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OCCI_OG\Documents\Olivier\C+FOR\A.S.O\Tour de France 2024\Colombey-les-Deux-Eglises\"/>
    </mc:Choice>
  </mc:AlternateContent>
  <bookViews>
    <workbookView xWindow="0" yWindow="0" windowWidth="17925" windowHeight="2340" tabRatio="866" activeTab="5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79" i="1" l="1"/>
  <c r="B80" i="1"/>
  <c r="B81" i="1"/>
  <c r="D81" i="1" s="1"/>
  <c r="D80" i="1"/>
  <c r="D78" i="1"/>
  <c r="B78" i="1"/>
  <c r="B77" i="1"/>
  <c r="D76" i="1"/>
  <c r="B76" i="1"/>
  <c r="B75" i="1"/>
  <c r="D74" i="1"/>
  <c r="B74" i="1"/>
  <c r="B73" i="1"/>
  <c r="D72" i="1"/>
  <c r="B72" i="1"/>
  <c r="B71" i="1"/>
  <c r="D70" i="1"/>
  <c r="B70" i="1"/>
  <c r="B69" i="1"/>
  <c r="B68" i="1"/>
  <c r="B67" i="1"/>
  <c r="D68" i="1"/>
  <c r="D66" i="1"/>
  <c r="B66" i="1"/>
  <c r="B65" i="1"/>
  <c r="D64" i="1"/>
  <c r="B64" i="1"/>
  <c r="B63" i="1"/>
  <c r="B62" i="1"/>
  <c r="B159" i="1"/>
  <c r="D159" i="1" s="1"/>
  <c r="B158" i="1"/>
  <c r="B157" i="1"/>
  <c r="D156" i="1"/>
  <c r="B156" i="1"/>
  <c r="B155" i="1"/>
  <c r="D154" i="1"/>
  <c r="B154" i="1"/>
  <c r="B153" i="1"/>
  <c r="B152" i="1"/>
  <c r="B151" i="1"/>
  <c r="D152" i="1"/>
  <c r="D150" i="1"/>
  <c r="B150" i="1"/>
  <c r="B149" i="1"/>
  <c r="D148" i="1"/>
  <c r="B148" i="1"/>
  <c r="B147" i="1"/>
  <c r="B146" i="1"/>
  <c r="B145" i="1"/>
  <c r="D146" i="1"/>
  <c r="D144" i="1"/>
  <c r="B144" i="1"/>
  <c r="B143" i="1"/>
  <c r="D142" i="1"/>
  <c r="B142" i="1"/>
  <c r="B141" i="1"/>
  <c r="B140" i="1"/>
  <c r="B127" i="1" l="1"/>
  <c r="D127" i="1" s="1"/>
  <c r="B126" i="1"/>
  <c r="D124" i="1"/>
  <c r="B124" i="1"/>
  <c r="B122" i="1"/>
  <c r="B120" i="1"/>
  <c r="B118" i="1"/>
  <c r="D122" i="1"/>
  <c r="D120" i="1"/>
  <c r="D118" i="1"/>
  <c r="D116" i="1"/>
  <c r="B116" i="1"/>
  <c r="B95" i="1"/>
  <c r="D94" i="1"/>
  <c r="B94" i="1"/>
  <c r="B93" i="1"/>
  <c r="D92" i="1"/>
  <c r="B92" i="1"/>
  <c r="B91" i="1"/>
  <c r="D90" i="1"/>
  <c r="B90" i="1"/>
  <c r="B89" i="1"/>
  <c r="B43" i="1"/>
  <c r="D42" i="1"/>
  <c r="B42" i="1"/>
  <c r="B41" i="1"/>
  <c r="D40" i="1"/>
  <c r="B40" i="1"/>
  <c r="B39" i="1"/>
  <c r="D38" i="1"/>
  <c r="B38" i="1"/>
  <c r="B37" i="1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FR4" i="2" s="1"/>
  <c r="DY4" i="2"/>
  <c r="ES4" i="2"/>
  <c r="DX4" i="2"/>
  <c r="EA4" i="2" s="1"/>
  <c r="GI4" i="2"/>
  <c r="GL4" i="2" s="1"/>
  <c r="CI4" i="2"/>
  <c r="ET4" i="2"/>
  <c r="DC4" i="2"/>
  <c r="BM4" i="2"/>
  <c r="DD4" i="2"/>
  <c r="CH4" i="2"/>
  <c r="BN4" i="2"/>
  <c r="BQ4" i="2" s="1"/>
  <c r="AS4" i="2"/>
  <c r="AR4" i="2"/>
  <c r="FN4" i="2"/>
  <c r="FQ4" i="2" s="1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HI4" i="2" l="1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R5" i="2" s="1"/>
  <c r="FN5" i="2"/>
  <c r="DY5" i="2"/>
  <c r="ET5" i="2"/>
  <c r="ES5" i="2"/>
  <c r="DD5" i="2"/>
  <c r="CH5" i="2"/>
  <c r="AS5" i="2"/>
  <c r="DX5" i="2"/>
  <c r="EA5" i="2" s="1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EX5" i="2" s="1"/>
  <c r="DV5" i="2"/>
  <c r="DM5" i="2"/>
  <c r="DA5" i="2"/>
  <c r="CR5" i="2"/>
  <c r="CQ5" i="2"/>
  <c r="EU5" i="2"/>
  <c r="EG5" i="2"/>
  <c r="DW5" i="2"/>
  <c r="EC5" i="2" s="1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HI5" i="2" l="1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HH6" i="2" s="1"/>
  <c r="GI6" i="2"/>
  <c r="GJ6" i="2"/>
  <c r="ET6" i="2"/>
  <c r="FO6" i="2"/>
  <c r="FR6" i="2" s="1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EA6" i="2" s="1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V6" i="2" l="1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V7" i="2" s="1"/>
  <c r="ET7" i="2"/>
  <c r="EW7" i="2" s="1"/>
  <c r="FO7" i="2"/>
  <c r="FN7" i="2"/>
  <c r="DY7" i="2"/>
  <c r="EB7" i="2" s="1"/>
  <c r="DD7" i="2"/>
  <c r="DC7" i="2"/>
  <c r="BM7" i="2"/>
  <c r="BN7" i="2"/>
  <c r="DX7" i="2"/>
  <c r="EA7" i="2" s="1"/>
  <c r="CH7" i="2"/>
  <c r="AS7" i="2"/>
  <c r="W7" i="2"/>
  <c r="CI7" i="2"/>
  <c r="AR7" i="2"/>
  <c r="X7" i="2"/>
  <c r="HB7" i="2"/>
  <c r="HC7" i="2"/>
  <c r="HI7" i="2" s="1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EX7" i="2" s="1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FS7" i="2" l="1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EX8" i="2" s="1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HG8" i="2" l="1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HG9" i="2" s="1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I9" i="2" l="1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HH10" i="2" s="1"/>
  <c r="GI10" i="2"/>
  <c r="GJ10" i="2"/>
  <c r="ET10" i="2"/>
  <c r="FN10" i="2"/>
  <c r="FO10" i="2"/>
  <c r="BN10" i="2"/>
  <c r="ES10" i="2"/>
  <c r="DX10" i="2"/>
  <c r="EA10" i="2" s="1"/>
  <c r="CH10" i="2"/>
  <c r="AS10" i="2"/>
  <c r="DC10" i="2"/>
  <c r="BM10" i="2"/>
  <c r="W10" i="2"/>
  <c r="X10" i="2"/>
  <c r="DY10" i="2"/>
  <c r="EB10" i="2" s="1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HI10" i="2" l="1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HH12" i="2" s="1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I12" i="2" l="1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HG13" i="2" s="1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EC13" i="2" s="1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I13" i="2" l="1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G14" i="2" s="1"/>
  <c r="HE14" i="2"/>
  <c r="HH14" i="2" s="1"/>
  <c r="GI14" i="2"/>
  <c r="ET14" i="2"/>
  <c r="FO14" i="2"/>
  <c r="FN14" i="2"/>
  <c r="GJ14" i="2"/>
  <c r="DY14" i="2"/>
  <c r="EB14" i="2" s="1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EX14" i="2" s="1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I14" i="2" l="1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V15" i="2" s="1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FS15" i="2" s="1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HI15" i="2" l="1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HH16" i="2" s="1"/>
  <c r="FO16" i="2"/>
  <c r="GI16" i="2"/>
  <c r="DY16" i="2"/>
  <c r="ES16" i="2"/>
  <c r="DX16" i="2"/>
  <c r="EA16" i="2" s="1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C16" i="2" l="1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G18" i="2" s="1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EX18" i="2" s="1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HI18" i="2" l="1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HG20" i="2" s="1"/>
  <c r="GJ20" i="2"/>
  <c r="FO20" i="2"/>
  <c r="DY20" i="2"/>
  <c r="ES20" i="2"/>
  <c r="EV20" i="2" s="1"/>
  <c r="DX20" i="2"/>
  <c r="CI20" i="2"/>
  <c r="BM20" i="2"/>
  <c r="GI20" i="2"/>
  <c r="ET20" i="2"/>
  <c r="EW20" i="2" s="1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S20" i="2" s="1"/>
  <c r="FB20" i="2"/>
  <c r="ER20" i="2"/>
  <c r="DV20" i="2"/>
  <c r="DM20" i="2"/>
  <c r="DA20" i="2"/>
  <c r="EU20" i="2"/>
  <c r="EG20" i="2"/>
  <c r="DW20" i="2"/>
  <c r="EC20" i="2" s="1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HI20" i="2" l="1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HH21" i="2" s="1"/>
  <c r="GJ21" i="2"/>
  <c r="HD21" i="2"/>
  <c r="GI21" i="2"/>
  <c r="FO21" i="2"/>
  <c r="FN21" i="2"/>
  <c r="DY21" i="2"/>
  <c r="EB21" i="2" s="1"/>
  <c r="ET21" i="2"/>
  <c r="EW21" i="2" s="1"/>
  <c r="ES21" i="2"/>
  <c r="EV21" i="2" s="1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X21" i="2" l="1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G22" i="2" s="1"/>
  <c r="HE22" i="2"/>
  <c r="HH22" i="2" s="1"/>
  <c r="GI22" i="2"/>
  <c r="GJ22" i="2"/>
  <c r="ET22" i="2"/>
  <c r="EW22" i="2" s="1"/>
  <c r="FO22" i="2"/>
  <c r="FN22" i="2"/>
  <c r="DY22" i="2"/>
  <c r="EB22" i="2" s="1"/>
  <c r="ES22" i="2"/>
  <c r="BN22" i="2"/>
  <c r="CH22" i="2"/>
  <c r="AS22" i="2"/>
  <c r="W22" i="2"/>
  <c r="DX22" i="2"/>
  <c r="EA22" i="2" s="1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I22" i="2" l="1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HG24" i="2" s="1"/>
  <c r="GJ24" i="2"/>
  <c r="FO24" i="2"/>
  <c r="FR24" i="2" s="1"/>
  <c r="GI24" i="2"/>
  <c r="DY24" i="2"/>
  <c r="ES24" i="2"/>
  <c r="DX24" i="2"/>
  <c r="FN24" i="2"/>
  <c r="ET24" i="2"/>
  <c r="EW24" i="2" s="1"/>
  <c r="CI24" i="2"/>
  <c r="BM24" i="2"/>
  <c r="DD24" i="2"/>
  <c r="DC24" i="2"/>
  <c r="AR24" i="2"/>
  <c r="AS24" i="2"/>
  <c r="CH24" i="2"/>
  <c r="BN24" i="2"/>
  <c r="X24" i="2"/>
  <c r="W24" i="2"/>
  <c r="HE24" i="2"/>
  <c r="HH24" i="2" s="1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EC24" i="2" l="1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HH26" i="2" s="1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C26" i="2" s="1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FS26" i="2" l="1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EX27" i="2" s="1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C27" i="2" l="1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B28" i="2" s="1"/>
  <c r="ES28" i="2"/>
  <c r="EV28" i="2" s="1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HI28" i="2" s="1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FS28" i="2" s="1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X28" i="2" l="1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S29" i="2" s="1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C29" i="2" l="1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EV30" i="2" s="1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HI30" i="2" l="1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HH33" i="2" s="1"/>
  <c r="GJ33" i="2"/>
  <c r="HD33" i="2"/>
  <c r="HG33" i="2" s="1"/>
  <c r="FO33" i="2"/>
  <c r="FN33" i="2"/>
  <c r="GI33" i="2"/>
  <c r="DY33" i="2"/>
  <c r="EB33" i="2" s="1"/>
  <c r="DD33" i="2"/>
  <c r="ET33" i="2"/>
  <c r="EW33" i="2" s="1"/>
  <c r="CH33" i="2"/>
  <c r="AS33" i="2"/>
  <c r="CI33" i="2"/>
  <c r="BM33" i="2"/>
  <c r="X33" i="2"/>
  <c r="ES33" i="2"/>
  <c r="EV33" i="2" s="1"/>
  <c r="DX33" i="2"/>
  <c r="EA33" i="2" s="1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GM33" i="2" l="1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EW34" i="2" s="1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CM34" i="2" l="1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HH35" i="2" s="1"/>
  <c r="GI35" i="2"/>
  <c r="FO35" i="2"/>
  <c r="ES35" i="2"/>
  <c r="ET35" i="2"/>
  <c r="DX35" i="2"/>
  <c r="EA35" i="2" s="1"/>
  <c r="DC35" i="2"/>
  <c r="DD35" i="2"/>
  <c r="BN35" i="2"/>
  <c r="CI35" i="2"/>
  <c r="BM35" i="2"/>
  <c r="W35" i="2"/>
  <c r="FN35" i="2"/>
  <c r="FQ35" i="2" s="1"/>
  <c r="DY35" i="2"/>
  <c r="EB35" i="2" s="1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B37" i="2" s="1"/>
  <c r="ET37" i="2"/>
  <c r="ES37" i="2"/>
  <c r="DD37" i="2"/>
  <c r="CH37" i="2"/>
  <c r="AS37" i="2"/>
  <c r="DX37" i="2"/>
  <c r="EA37" i="2" s="1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HI37" i="2" l="1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HH38" i="2" s="1"/>
  <c r="GI38" i="2"/>
  <c r="GJ38" i="2"/>
  <c r="ET38" i="2"/>
  <c r="EW38" i="2" s="1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I38" i="2" s="1"/>
  <c r="HF38" i="2"/>
  <c r="GS38" i="2"/>
  <c r="GR38" i="2"/>
  <c r="GK38" i="2"/>
  <c r="GH38" i="2"/>
  <c r="FL38" i="2"/>
  <c r="FC38" i="2"/>
  <c r="FW38" i="2"/>
  <c r="FM38" i="2"/>
  <c r="FS38" i="2" s="1"/>
  <c r="FP38" i="2"/>
  <c r="DZ38" i="2"/>
  <c r="DL38" i="2"/>
  <c r="DE38" i="2"/>
  <c r="FX38" i="2"/>
  <c r="EQ38" i="2"/>
  <c r="EH38" i="2"/>
  <c r="CJ38" i="2"/>
  <c r="GG38" i="2"/>
  <c r="FB38" i="2"/>
  <c r="ER38" i="2"/>
  <c r="EX38" i="2" s="1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V38" i="2" l="1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HG40" i="2" s="1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EX40" i="2" l="1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G42" i="2" s="1"/>
  <c r="HE42" i="2"/>
  <c r="GI42" i="2"/>
  <c r="GJ42" i="2"/>
  <c r="ET42" i="2"/>
  <c r="FN42" i="2"/>
  <c r="FO42" i="2"/>
  <c r="DY42" i="2"/>
  <c r="BN42" i="2"/>
  <c r="ES42" i="2"/>
  <c r="EV42" i="2" s="1"/>
  <c r="DX42" i="2"/>
  <c r="EA42" i="2" s="1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C42" i="2" l="1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EA43" i="2" s="1"/>
  <c r="W43" i="2"/>
  <c r="DD43" i="2"/>
  <c r="CH43" i="2"/>
  <c r="X43" i="2"/>
  <c r="AS43" i="2"/>
  <c r="AR43" i="2"/>
  <c r="HC43" i="2"/>
  <c r="HI43" i="2" s="1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EX43" i="2" s="1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DG43" i="2" l="1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EW44" i="2" s="1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HI44" i="2" l="1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B45" i="2" s="1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C45" i="2" l="1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EW46" i="2" s="1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C46" i="2" s="1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FS46" i="2" l="1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G47" i="2" s="1"/>
  <c r="HE47" i="2"/>
  <c r="GI47" i="2"/>
  <c r="GJ47" i="2"/>
  <c r="ES47" i="2"/>
  <c r="ET47" i="2"/>
  <c r="FN47" i="2"/>
  <c r="FO47" i="2"/>
  <c r="DC47" i="2"/>
  <c r="DX47" i="2"/>
  <c r="EA47" i="2" s="1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FS47" i="2" l="1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G48" i="2" s="1"/>
  <c r="HE48" i="2"/>
  <c r="HH48" i="2" s="1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EC48" i="2" s="1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FS48" i="2" l="1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G50" i="2" s="1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I50" i="2" s="1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C50" i="2" s="1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EW50" i="2" l="1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EB51" i="2" s="1"/>
  <c r="DX51" i="2"/>
  <c r="EA51" i="2" s="1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EX51" i="2" s="1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HI51" i="2" l="1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EV52" i="2" s="1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HI52" i="2" l="1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HG53" i="2" s="1"/>
  <c r="GI53" i="2"/>
  <c r="FO53" i="2"/>
  <c r="FN53" i="2"/>
  <c r="DY53" i="2"/>
  <c r="ET53" i="2"/>
  <c r="ES53" i="2"/>
  <c r="DD53" i="2"/>
  <c r="CH53" i="2"/>
  <c r="AS53" i="2"/>
  <c r="DX53" i="2"/>
  <c r="EA53" i="2" s="1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C53" i="2" l="1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I55" i="2" s="1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EX55" i="2" s="1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FS55" i="2" l="1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HG56" i="2" s="1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FS56" i="2" l="1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HG57" i="2" s="1"/>
  <c r="FN57" i="2"/>
  <c r="DY57" i="2"/>
  <c r="EB57" i="2" s="1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HI57" i="2" s="1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C57" i="2" l="1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EA58" i="2" s="1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C58" i="2" s="1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X58" i="2" l="1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EC59" i="2" s="1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FS59" i="2" l="1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G60" i="2" s="1"/>
  <c r="HE60" i="2"/>
  <c r="HH60" i="2" s="1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EW60" i="2" s="1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FS60" i="2" l="1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EV61" i="2" s="1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HI61" i="2" l="1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HH62" i="2" s="1"/>
  <c r="GI62" i="2"/>
  <c r="GJ62" i="2"/>
  <c r="ET62" i="2"/>
  <c r="FO62" i="2"/>
  <c r="FN62" i="2"/>
  <c r="DY62" i="2"/>
  <c r="EB62" i="2" s="1"/>
  <c r="ES62" i="2"/>
  <c r="DX62" i="2"/>
  <c r="EA62" i="2" s="1"/>
  <c r="BN62" i="2"/>
  <c r="DD62" i="2"/>
  <c r="CH62" i="2"/>
  <c r="AS62" i="2"/>
  <c r="W62" i="2"/>
  <c r="DC62" i="2"/>
  <c r="CI62" i="2"/>
  <c r="BM62" i="2"/>
  <c r="X62" i="2"/>
  <c r="AR62" i="2"/>
  <c r="HC62" i="2"/>
  <c r="HI62" i="2" s="1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C62" i="2" l="1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EC63" i="2" s="1"/>
  <c r="DB63" i="2"/>
  <c r="DZ63" i="2"/>
  <c r="DL63" i="2"/>
  <c r="DE63" i="2"/>
  <c r="EQ63" i="2"/>
  <c r="EH63" i="2"/>
  <c r="CJ63" i="2"/>
  <c r="GR63" i="2"/>
  <c r="FB63" i="2"/>
  <c r="ER63" i="2"/>
  <c r="EX63" i="2" s="1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HI63" i="2" l="1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EV64" i="2" s="1"/>
  <c r="DX64" i="2"/>
  <c r="EA64" i="2" s="1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HI64" i="2" l="1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HH66" i="2" s="1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EW66" i="2" l="1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HH67" i="2" s="1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FS67" i="2" l="1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EC69" i="2" s="1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HI69" i="2" l="1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G70" i="2" s="1"/>
  <c r="HE70" i="2"/>
  <c r="GI70" i="2"/>
  <c r="GJ70" i="2"/>
  <c r="ET70" i="2"/>
  <c r="EW70" i="2" s="1"/>
  <c r="FO70" i="2"/>
  <c r="FN70" i="2"/>
  <c r="ES70" i="2"/>
  <c r="BN70" i="2"/>
  <c r="DY70" i="2"/>
  <c r="EB70" i="2" s="1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C70" i="2" l="1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HH71" i="2" s="1"/>
  <c r="GI71" i="2"/>
  <c r="GJ71" i="2"/>
  <c r="ES71" i="2"/>
  <c r="ET71" i="2"/>
  <c r="EW71" i="2" s="1"/>
  <c r="FO71" i="2"/>
  <c r="FN71" i="2"/>
  <c r="DY71" i="2"/>
  <c r="DD71" i="2"/>
  <c r="DC71" i="2"/>
  <c r="BN71" i="2"/>
  <c r="DX71" i="2"/>
  <c r="EA71" i="2" s="1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HI71" i="2" l="1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EW73" i="2" s="1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X73" i="2" l="1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G74" i="2" s="1"/>
  <c r="HE74" i="2"/>
  <c r="GI74" i="2"/>
  <c r="GJ74" i="2"/>
  <c r="ET74" i="2"/>
  <c r="EW74" i="2" s="1"/>
  <c r="FN74" i="2"/>
  <c r="FO74" i="2"/>
  <c r="FR74" i="2" s="1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S74" i="2" s="1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EC74" i="2" l="1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EB75" i="2" s="1"/>
  <c r="FN75" i="2"/>
  <c r="DC75" i="2"/>
  <c r="BN75" i="2"/>
  <c r="CI75" i="2"/>
  <c r="BM75" i="2"/>
  <c r="DX75" i="2"/>
  <c r="EA75" i="2" s="1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X75" i="2" l="1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W77" i="2" s="1"/>
  <c r="ES77" i="2"/>
  <c r="DD77" i="2"/>
  <c r="CH77" i="2"/>
  <c r="AS77" i="2"/>
  <c r="CI77" i="2"/>
  <c r="BM77" i="2"/>
  <c r="DY77" i="2"/>
  <c r="EB77" i="2" s="1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FS77" i="2" l="1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EW78" i="2" s="1"/>
  <c r="FO78" i="2"/>
  <c r="FN78" i="2"/>
  <c r="ES78" i="2"/>
  <c r="EV78" i="2" s="1"/>
  <c r="DX78" i="2"/>
  <c r="BN78" i="2"/>
  <c r="DD78" i="2"/>
  <c r="CH78" i="2"/>
  <c r="AS78" i="2"/>
  <c r="W78" i="2"/>
  <c r="DY78" i="2"/>
  <c r="EB78" i="2" s="1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C78" i="2" s="1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AU78" i="2" l="1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G80" i="2" s="1"/>
  <c r="HE80" i="2"/>
  <c r="HH80" i="2" s="1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EC80" i="2" l="1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G82" i="2" s="1"/>
  <c r="HE82" i="2"/>
  <c r="HH82" i="2" s="1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X82" i="2" l="1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HG84" i="2" s="1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 s="1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EC84" i="2" l="1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HG85" i="2" s="1"/>
  <c r="GI85" i="2"/>
  <c r="FO85" i="2"/>
  <c r="FN85" i="2"/>
  <c r="ET85" i="2"/>
  <c r="EW85" i="2" s="1"/>
  <c r="ES85" i="2"/>
  <c r="EV85" i="2" s="1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EC85" i="2" s="1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FS85" i="2" l="1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EB86" i="2" s="1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FS86" i="2" l="1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G87" i="2" s="1"/>
  <c r="HE87" i="2"/>
  <c r="GI87" i="2"/>
  <c r="GJ87" i="2"/>
  <c r="ES87" i="2"/>
  <c r="ET87" i="2"/>
  <c r="FO87" i="2"/>
  <c r="FN87" i="2"/>
  <c r="DY87" i="2"/>
  <c r="EB87" i="2" s="1"/>
  <c r="DD87" i="2"/>
  <c r="DC87" i="2"/>
  <c r="BN87" i="2"/>
  <c r="CI87" i="2"/>
  <c r="CH87" i="2"/>
  <c r="AS87" i="2"/>
  <c r="W87" i="2"/>
  <c r="DX87" i="2"/>
  <c r="EA87" i="2" s="1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HI87" i="2" l="1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HG89" i="2" s="1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FS89" i="2" l="1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G90" i="2" s="1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EC90" i="2" l="1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EA91" i="2" s="1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X91" i="2" l="1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EW92" i="2" s="1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EX92" i="2" s="1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HI92" i="2" l="1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EC93" i="2" s="1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FS93" i="2" l="1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G94" i="2" s="1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EX94" i="2" l="1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FQ95" i="2" s="1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S95" i="2" l="1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S98" i="2" s="1"/>
  <c r="FP98" i="2"/>
  <c r="FX98" i="2"/>
  <c r="DZ98" i="2"/>
  <c r="DL98" i="2"/>
  <c r="DE98" i="2"/>
  <c r="GG98" i="2"/>
  <c r="EQ98" i="2"/>
  <c r="EH98" i="2"/>
  <c r="CJ98" i="2"/>
  <c r="CR98" i="2"/>
  <c r="FB98" i="2"/>
  <c r="ER98" i="2"/>
  <c r="EX98" i="2" s="1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C98" i="2" l="1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HH99" i="2" s="1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X99" i="2" l="1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EV100" i="2" s="1"/>
  <c r="DX100" i="2"/>
  <c r="GI100" i="2"/>
  <c r="CI100" i="2"/>
  <c r="BM100" i="2"/>
  <c r="ET100" i="2"/>
  <c r="EW100" i="2" s="1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EX100" i="2" s="1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AU100" i="2" l="1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EX104" i="2" s="1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HI104" i="2" l="1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HH105" i="2" s="1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X105" i="2" l="1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G106" i="2" s="1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I106" i="2" l="1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EB107" i="2" s="1"/>
  <c r="FN107" i="2"/>
  <c r="DC107" i="2"/>
  <c r="DD107" i="2"/>
  <c r="BN107" i="2"/>
  <c r="CI107" i="2"/>
  <c r="BM107" i="2"/>
  <c r="DX107" i="2"/>
  <c r="EA107" i="2" s="1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EC107" i="2" s="1"/>
  <c r="DB107" i="2"/>
  <c r="DZ107" i="2"/>
  <c r="DL107" i="2"/>
  <c r="DE107" i="2"/>
  <c r="EQ107" i="2"/>
  <c r="EH107" i="2"/>
  <c r="CJ107" i="2"/>
  <c r="CR107" i="2"/>
  <c r="FP107" i="2"/>
  <c r="FB107" i="2"/>
  <c r="ER107" i="2"/>
  <c r="EX107" i="2" s="1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HI107" i="2" l="1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EA108" i="2" s="1"/>
  <c r="CI108" i="2"/>
  <c r="BM108" i="2"/>
  <c r="FN108" i="2"/>
  <c r="DY108" i="2"/>
  <c r="EB108" i="2" s="1"/>
  <c r="DC108" i="2"/>
  <c r="ET108" i="2"/>
  <c r="EW108" i="2" s="1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X108" i="2" l="1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EB109" i="2" s="1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EX109" i="2" s="1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HI109" i="2" l="1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G110" i="2" s="1"/>
  <c r="HE110" i="2"/>
  <c r="HH110" i="2" s="1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EB110" i="2" s="1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HI110" i="2" l="1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EB112" i="2" s="1"/>
  <c r="CI112" i="2"/>
  <c r="BM112" i="2"/>
  <c r="DC112" i="2"/>
  <c r="AR112" i="2"/>
  <c r="CH112" i="2"/>
  <c r="DD112" i="2"/>
  <c r="BN112" i="2"/>
  <c r="AS112" i="2"/>
  <c r="X112" i="2"/>
  <c r="W112" i="2"/>
  <c r="HC112" i="2"/>
  <c r="HI112" i="2" s="1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FS112" i="2" l="1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HG113" i="2" s="1"/>
  <c r="GJ113" i="2"/>
  <c r="FO113" i="2"/>
  <c r="FN113" i="2"/>
  <c r="GI113" i="2"/>
  <c r="ET113" i="2"/>
  <c r="EW113" i="2" s="1"/>
  <c r="CH113" i="2"/>
  <c r="AS113" i="2"/>
  <c r="DY113" i="2"/>
  <c r="EB113" i="2" s="1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AW113" i="2" l="1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EW114" i="2" s="1"/>
  <c r="FN114" i="2"/>
  <c r="DD114" i="2"/>
  <c r="BN114" i="2"/>
  <c r="FO114" i="2"/>
  <c r="CH114" i="2"/>
  <c r="AS114" i="2"/>
  <c r="ES114" i="2"/>
  <c r="EV114" i="2" s="1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C114" i="2" l="1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FS115" i="2" s="1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HI115" i="2" l="1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HG116" i="2" s="1"/>
  <c r="FO116" i="2"/>
  <c r="HE116" i="2"/>
  <c r="GJ116" i="2"/>
  <c r="ES116" i="2"/>
  <c r="EV116" i="2" s="1"/>
  <c r="DX116" i="2"/>
  <c r="EA116" i="2" s="1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I116" i="2" l="1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HI117" i="2" s="1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X117" i="2" l="1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FQ118" i="2" s="1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S118" i="2" s="1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HI118" i="2" l="1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G119" i="2" s="1"/>
  <c r="HE119" i="2"/>
  <c r="GI119" i="2"/>
  <c r="GJ119" i="2"/>
  <c r="ES119" i="2"/>
  <c r="ET119" i="2"/>
  <c r="FO119" i="2"/>
  <c r="FR119" i="2" s="1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EX119" i="2" s="1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HI119" i="2" l="1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HH120" i="2" s="1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I120" i="2" s="1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EC120" i="2" l="1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EA121" i="2" s="1"/>
  <c r="CH121" i="2"/>
  <c r="AS121" i="2"/>
  <c r="CI121" i="2"/>
  <c r="BM121" i="2"/>
  <c r="X121" i="2"/>
  <c r="ET121" i="2"/>
  <c r="DY121" i="2"/>
  <c r="EB121" i="2" s="1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AW121" i="2" l="1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HH122" i="2" s="1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I122" i="2" s="1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AU122" i="2" l="1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HH123" i="2" s="1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FS123" i="2" l="1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HH124" i="2" s="1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EX124" i="2" s="1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C124" i="2" l="1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EC125" i="2" s="1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FS125" i="2" l="1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G126" i="2" s="1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I126" i="2" l="1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V127" i="2" s="1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I127" i="2" s="1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EC127" i="2" l="1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EB128" i="2" s="1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EX128" i="2" s="1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HI128" i="2" l="1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EV129" i="2" s="1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X129" i="2" l="1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G130" i="2" s="1"/>
  <c r="HE130" i="2"/>
  <c r="HH130" i="2" s="1"/>
  <c r="GI130" i="2"/>
  <c r="GJ130" i="2"/>
  <c r="ET130" i="2"/>
  <c r="EW130" i="2" s="1"/>
  <c r="FN130" i="2"/>
  <c r="DD130" i="2"/>
  <c r="BN130" i="2"/>
  <c r="CH130" i="2"/>
  <c r="AS130" i="2"/>
  <c r="DY130" i="2"/>
  <c r="EB130" i="2" s="1"/>
  <c r="DC130" i="2"/>
  <c r="W130" i="2"/>
  <c r="FO130" i="2"/>
  <c r="X130" i="2"/>
  <c r="ES130" i="2"/>
  <c r="DX130" i="2"/>
  <c r="CI130" i="2"/>
  <c r="AR130" i="2"/>
  <c r="BM130" i="2"/>
  <c r="HC130" i="2"/>
  <c r="HI130" i="2" s="1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A130" i="2" l="1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G132" i="2" s="1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S132" i="2" s="1"/>
  <c r="FB132" i="2"/>
  <c r="ER132" i="2"/>
  <c r="DV132" i="2"/>
  <c r="DM132" i="2"/>
  <c r="DA132" i="2"/>
  <c r="HF132" i="2"/>
  <c r="EU132" i="2"/>
  <c r="EG132" i="2"/>
  <c r="DW132" i="2"/>
  <c r="EC132" i="2" s="1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HI132" i="2" l="1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W133" i="2" s="1"/>
  <c r="ES133" i="2"/>
  <c r="EV133" i="2" s="1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I133" i="2" l="1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EW134" i="2" s="1"/>
  <c r="FO134" i="2"/>
  <c r="FN134" i="2"/>
  <c r="ES134" i="2"/>
  <c r="EV134" i="2" s="1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C134" i="2" l="1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EW135" i="2" s="1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HI135" i="2" l="1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FS136" i="2" s="1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HI136" i="2" l="1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H137" i="2" s="1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EX137" i="2" s="1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FS137" i="2" l="1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EB138" i="2" s="1"/>
  <c r="DD138" i="2"/>
  <c r="BN138" i="2"/>
  <c r="ES138" i="2"/>
  <c r="EV138" i="2" s="1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C138" i="2" s="1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HI138" i="2" l="1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EB139" i="2" s="1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X139" i="2" l="1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G140" i="2" s="1"/>
  <c r="HE140" i="2"/>
  <c r="HH140" i="2" s="1"/>
  <c r="FO140" i="2"/>
  <c r="FR140" i="2" s="1"/>
  <c r="GI140" i="2"/>
  <c r="ES140" i="2"/>
  <c r="DX140" i="2"/>
  <c r="CI140" i="2"/>
  <c r="BM140" i="2"/>
  <c r="GJ140" i="2"/>
  <c r="FN140" i="2"/>
  <c r="DY140" i="2"/>
  <c r="EB140" i="2" s="1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EX140" i="2" s="1"/>
  <c r="DV140" i="2"/>
  <c r="DM140" i="2"/>
  <c r="DA140" i="2"/>
  <c r="EU140" i="2"/>
  <c r="EG140" i="2"/>
  <c r="DW140" i="2"/>
  <c r="EC140" i="2" s="1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HI140" i="2" l="1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HG141" i="2" s="1"/>
  <c r="CH141" i="2"/>
  <c r="CI141" i="2"/>
  <c r="BM141" i="2"/>
  <c r="DY141" i="2"/>
  <c r="EB141" i="2" s="1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S141" i="2" s="1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X141" i="2" l="1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G142" i="2" s="1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FS142" i="2" l="1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FS143" i="2" s="1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C143" i="2" l="1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G144" i="2" s="1"/>
  <c r="HE144" i="2"/>
  <c r="HH144" i="2" s="1"/>
  <c r="FO144" i="2"/>
  <c r="FR144" i="2" s="1"/>
  <c r="GJ144" i="2"/>
  <c r="GI144" i="2"/>
  <c r="ES144" i="2"/>
  <c r="DX144" i="2"/>
  <c r="EA144" i="2" s="1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HI144" i="2" l="1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EX145" i="2" s="1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HI145" i="2" l="1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G146" i="2" s="1"/>
  <c r="HE146" i="2"/>
  <c r="HH146" i="2" s="1"/>
  <c r="GJ146" i="2"/>
  <c r="GI146" i="2"/>
  <c r="ET146" i="2"/>
  <c r="FN146" i="2"/>
  <c r="DD146" i="2"/>
  <c r="BN146" i="2"/>
  <c r="FO146" i="2"/>
  <c r="FR146" i="2" s="1"/>
  <c r="CH146" i="2"/>
  <c r="ES146" i="2"/>
  <c r="DX146" i="2"/>
  <c r="EA146" i="2" s="1"/>
  <c r="DC146" i="2"/>
  <c r="W146" i="2"/>
  <c r="X146" i="2"/>
  <c r="DY146" i="2"/>
  <c r="BM146" i="2"/>
  <c r="AR146" i="2"/>
  <c r="CI146" i="2"/>
  <c r="AS146" i="2"/>
  <c r="HC146" i="2"/>
  <c r="HI146" i="2" s="1"/>
  <c r="HF146" i="2"/>
  <c r="HB146" i="2"/>
  <c r="GS146" i="2"/>
  <c r="GR146" i="2"/>
  <c r="GH146" i="2"/>
  <c r="FL146" i="2"/>
  <c r="FC146" i="2"/>
  <c r="FW146" i="2"/>
  <c r="FM146" i="2"/>
  <c r="FS146" i="2" s="1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X146" i="2" l="1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EW147" i="2" s="1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EX147" i="2" s="1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HI147" i="2" l="1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HH149" i="2" s="1"/>
  <c r="GJ149" i="2"/>
  <c r="HD149" i="2"/>
  <c r="HG149" i="2" s="1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EX149" i="2" s="1"/>
  <c r="DV149" i="2"/>
  <c r="DM149" i="2"/>
  <c r="DA149" i="2"/>
  <c r="EU149" i="2"/>
  <c r="EG149" i="2"/>
  <c r="DW149" i="2"/>
  <c r="EC149" i="2" s="1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FS149" i="2" l="1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EV150" i="2" s="1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I150" i="2" s="1"/>
  <c r="HF150" i="2"/>
  <c r="HB150" i="2"/>
  <c r="GS150" i="2"/>
  <c r="GR150" i="2"/>
  <c r="GK150" i="2"/>
  <c r="GH150" i="2"/>
  <c r="FL150" i="2"/>
  <c r="FC150" i="2"/>
  <c r="FW150" i="2"/>
  <c r="FM150" i="2"/>
  <c r="FS150" i="2" s="1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X150" i="2" l="1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V151" i="2" s="1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EC151" i="2" s="1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HI151" i="2" l="1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EV152" i="2" s="1"/>
  <c r="DX152" i="2"/>
  <c r="FN152" i="2"/>
  <c r="ET152" i="2"/>
  <c r="CI152" i="2"/>
  <c r="BM152" i="2"/>
  <c r="HE152" i="2"/>
  <c r="DC152" i="2"/>
  <c r="DY152" i="2"/>
  <c r="EB152" i="2" s="1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C152" i="2" l="1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EA153" i="2" s="1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HI153" i="2" l="1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B154" i="2" s="1"/>
  <c r="AX150" i="2"/>
  <c r="Z153" i="2"/>
  <c r="AC152" i="2"/>
  <c r="EX154" i="2" l="1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EW155" i="2" s="1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3" i="2"/>
  <c r="FT153" i="2"/>
  <c r="CN153" i="2"/>
  <c r="HJ153" i="2"/>
  <c r="GO153" i="2"/>
  <c r="EY153" i="2"/>
  <c r="ED153" i="2"/>
  <c r="AC153" i="2"/>
  <c r="AX151" i="2"/>
  <c r="DI154" i="2" l="1"/>
  <c r="AC154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HI156" i="2" s="1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AB156" i="2" s="1"/>
  <c r="H194" i="2"/>
  <c r="D195" i="2"/>
  <c r="G195" i="2" s="1"/>
  <c r="EY155" i="2"/>
  <c r="ED155" i="2"/>
  <c r="AX152" i="2"/>
  <c r="DH156" i="2" l="1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B157" i="2" s="1"/>
  <c r="EG157" i="2"/>
  <c r="EH157" i="2"/>
  <c r="GK157" i="2"/>
  <c r="ER157" i="2"/>
  <c r="EX157" i="2" s="1"/>
  <c r="DM157" i="2"/>
  <c r="ES157" i="2"/>
  <c r="ET157" i="2"/>
  <c r="DW157" i="2"/>
  <c r="EC157" i="2" s="1"/>
  <c r="CQ157" i="2"/>
  <c r="BW157" i="2"/>
  <c r="FB157" i="2"/>
  <c r="DX157" i="2"/>
  <c r="EA157" i="2" s="1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CN156" i="2" l="1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HG158" i="2" s="1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EW158" i="2" s="1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EV158" i="2" s="1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AU158" i="2" l="1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ED158" i="2" s="1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HH159" i="2" s="1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HI159" i="2" s="1"/>
  <c r="GI159" i="2"/>
  <c r="FP159" i="2"/>
  <c r="EG159" i="2"/>
  <c r="ER159" i="2"/>
  <c r="FL159" i="2"/>
  <c r="ES159" i="2"/>
  <c r="ET159" i="2"/>
  <c r="DW159" i="2"/>
  <c r="EC159" i="2" s="1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FS159" i="2" l="1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FS160" i="2" s="1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EC160" i="2" s="1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DG160" i="2" l="1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AB161" i="2" s="1"/>
  <c r="H199" i="2"/>
  <c r="AX158" i="2"/>
  <c r="D200" i="2"/>
  <c r="G200" i="2" s="1"/>
  <c r="AW161" i="2" l="1"/>
  <c r="EC161" i="2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HG162" i="2" s="1"/>
  <c r="GJ162" i="2"/>
  <c r="HE162" i="2"/>
  <c r="HH162" i="2" s="1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B162" i="2" s="1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DI161" i="2" l="1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I163" i="2" s="1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V163" i="2" s="1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EA163" i="2" s="1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FS163" i="2" l="1"/>
  <c r="EC163" i="2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G164" i="2" s="1"/>
  <c r="HE164" i="2"/>
  <c r="HH164" i="2" s="1"/>
  <c r="GK164" i="2"/>
  <c r="FB164" i="2"/>
  <c r="HF164" i="2"/>
  <c r="FC164" i="2"/>
  <c r="FW164" i="2"/>
  <c r="FL164" i="2"/>
  <c r="GR164" i="2"/>
  <c r="FX164" i="2"/>
  <c r="FM164" i="2"/>
  <c r="FS164" i="2" s="1"/>
  <c r="ET164" i="2"/>
  <c r="ES164" i="2"/>
  <c r="EV164" i="2" s="1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I163" i="2" l="1"/>
  <c r="DH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CN165" i="2" l="1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HI167" i="2" s="1"/>
  <c r="GI167" i="2"/>
  <c r="FP167" i="2"/>
  <c r="EG167" i="2"/>
  <c r="FL167" i="2"/>
  <c r="EQ167" i="2"/>
  <c r="FW167" i="2"/>
  <c r="EU167" i="2"/>
  <c r="DW167" i="2"/>
  <c r="EC167" i="2" s="1"/>
  <c r="DY167" i="2"/>
  <c r="EB167" i="2" s="1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EX167" i="2" s="1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EV168" i="2" s="1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EW168" i="2" s="1"/>
  <c r="DM168" i="2"/>
  <c r="BV168" i="2"/>
  <c r="BO168" i="2"/>
  <c r="EU168" i="2"/>
  <c r="DV168" i="2"/>
  <c r="CQ168" i="2"/>
  <c r="DW168" i="2"/>
  <c r="EC168" i="2" s="1"/>
  <c r="DY168" i="2"/>
  <c r="EB168" i="2" s="1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DI167" i="2" l="1"/>
  <c r="DG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HH169" i="2" s="1"/>
  <c r="GK169" i="2"/>
  <c r="FB169" i="2"/>
  <c r="EQ169" i="2"/>
  <c r="EU169" i="2"/>
  <c r="DM169" i="2"/>
  <c r="FN169" i="2"/>
  <c r="EH169" i="2"/>
  <c r="DY169" i="2"/>
  <c r="EB169" i="2" s="1"/>
  <c r="GG169" i="2"/>
  <c r="ES169" i="2"/>
  <c r="DC169" i="2"/>
  <c r="CI169" i="2"/>
  <c r="ET169" i="2"/>
  <c r="DL169" i="2"/>
  <c r="DD169" i="2"/>
  <c r="CJ169" i="2"/>
  <c r="DW169" i="2"/>
  <c r="DX169" i="2"/>
  <c r="EA169" i="2" s="1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HI169" i="2" l="1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G172" i="2" s="1"/>
  <c r="HE172" i="2"/>
  <c r="GK172" i="2"/>
  <c r="FB172" i="2"/>
  <c r="HF172" i="2"/>
  <c r="FC172" i="2"/>
  <c r="FW172" i="2"/>
  <c r="FL172" i="2"/>
  <c r="GR172" i="2"/>
  <c r="FX172" i="2"/>
  <c r="FM172" i="2"/>
  <c r="ET172" i="2"/>
  <c r="EW172" i="2" s="1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C172" i="2" l="1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H173" i="2" s="1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EB173" i="2" s="1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C173" i="2" l="1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HG174" i="2" s="1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C174" i="2" s="1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A174" i="2" l="1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FS175" i="2" s="1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EW175" i="2" s="1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EA175" i="2" s="1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ED174" i="2"/>
  <c r="AX172" i="2"/>
  <c r="EX175" i="2" l="1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X176" i="2" l="1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I177" i="2" l="1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EA178" i="2" s="1"/>
  <c r="CQ178" i="2"/>
  <c r="EH178" i="2"/>
  <c r="DY178" i="2"/>
  <c r="EB178" i="2" s="1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HI178" i="2" l="1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HG179" i="2" s="1"/>
  <c r="GJ179" i="2"/>
  <c r="HE179" i="2"/>
  <c r="HH179" i="2" s="1"/>
  <c r="GK179" i="2"/>
  <c r="FB179" i="2"/>
  <c r="HF179" i="2"/>
  <c r="FC179" i="2"/>
  <c r="FW179" i="2"/>
  <c r="FL179" i="2"/>
  <c r="ES179" i="2"/>
  <c r="EV179" i="2" s="1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A179" i="2" s="1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DF179" i="2" l="1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G180" i="2" s="1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EC180" i="2" l="1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DG182" i="2" l="1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EB183" i="2" s="1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EA183" i="2" s="1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X183" i="2" l="1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HG185" i="2" s="1"/>
  <c r="GJ185" i="2"/>
  <c r="HE185" i="2"/>
  <c r="HH185" i="2" s="1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D184" i="2"/>
  <c r="AU185" i="2" l="1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HG186" i="2" s="1"/>
  <c r="GJ186" i="2"/>
  <c r="HE186" i="2"/>
  <c r="HH186" i="2" s="1"/>
  <c r="GK186" i="2"/>
  <c r="FB186" i="2"/>
  <c r="HF186" i="2"/>
  <c r="FC186" i="2"/>
  <c r="ER186" i="2"/>
  <c r="EU186" i="2"/>
  <c r="FO186" i="2"/>
  <c r="FR186" i="2" s="1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EA186" i="2" s="1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X186" i="2" l="1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HG187" i="2" s="1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HI187" i="2" l="1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FS188" i="2" l="1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EB189" i="2" s="1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A189" i="2" s="1"/>
  <c r="EY188" i="2"/>
  <c r="AX186" i="2"/>
  <c r="EC189" i="2" l="1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HG190" i="2" s="1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EW190" i="2" s="1"/>
  <c r="FC190" i="2"/>
  <c r="EH190" i="2"/>
  <c r="FN190" i="2"/>
  <c r="FP190" i="2"/>
  <c r="ER190" i="2"/>
  <c r="DX190" i="2"/>
  <c r="CR190" i="2"/>
  <c r="ES190" i="2"/>
  <c r="EV190" i="2" s="1"/>
  <c r="DY190" i="2"/>
  <c r="EB190" i="2" s="1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HI190" i="2" l="1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HG191" i="2" s="1"/>
  <c r="GJ191" i="2"/>
  <c r="HE191" i="2"/>
  <c r="HH191" i="2" s="1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EC191" i="2" l="1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HH192" i="2" s="1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HG192" i="2" s="1"/>
  <c r="GJ192" i="2"/>
  <c r="EH192" i="2"/>
  <c r="FM192" i="2"/>
  <c r="EG192" i="2"/>
  <c r="FN192" i="2"/>
  <c r="FX192" i="2"/>
  <c r="FO192" i="2"/>
  <c r="ET192" i="2"/>
  <c r="EW192" i="2" s="1"/>
  <c r="FB192" i="2"/>
  <c r="FC192" i="2"/>
  <c r="DZ192" i="2"/>
  <c r="DB192" i="2"/>
  <c r="FL192" i="2"/>
  <c r="DC192" i="2"/>
  <c r="DM192" i="2"/>
  <c r="FP192" i="2"/>
  <c r="DV192" i="2"/>
  <c r="DW192" i="2"/>
  <c r="EC192" i="2" s="1"/>
  <c r="CQ192" i="2"/>
  <c r="CI192" i="2"/>
  <c r="BN192" i="2"/>
  <c r="EQ192" i="2"/>
  <c r="DX192" i="2"/>
  <c r="EA192" i="2" s="1"/>
  <c r="CR192" i="2"/>
  <c r="CJ192" i="2"/>
  <c r="BO192" i="2"/>
  <c r="ER192" i="2"/>
  <c r="DY192" i="2"/>
  <c r="EB192" i="2" s="1"/>
  <c r="ES192" i="2"/>
  <c r="EV192" i="2" s="1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AW192" i="2" l="1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EX193" i="2" s="1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A193" i="2" s="1"/>
  <c r="EU193" i="2"/>
  <c r="DY193" i="2"/>
  <c r="EB193" i="2" s="1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DI192" i="2" l="1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HI194" i="2" s="1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CN193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EB195" i="2" s="1"/>
  <c r="DA195" i="2"/>
  <c r="BW195" i="2"/>
  <c r="EG195" i="2"/>
  <c r="DZ195" i="2"/>
  <c r="EH195" i="2"/>
  <c r="ER195" i="2"/>
  <c r="EX195" i="2" s="1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A195" i="2" s="1"/>
  <c r="AX192" i="2"/>
  <c r="DH195" i="2" l="1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HH196" i="2" s="1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FS196" i="2" l="1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EC197" i="2" s="1"/>
  <c r="CQ197" i="2"/>
  <c r="GK197" i="2"/>
  <c r="FM197" i="2"/>
  <c r="FS197" i="2" s="1"/>
  <c r="EH197" i="2"/>
  <c r="DX197" i="2"/>
  <c r="EA197" i="2" s="1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X197" i="2" l="1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EV198" i="2" s="1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EW198" i="2" s="1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FS198" i="2" l="1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HG199" i="2" s="1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FS199" i="2" s="1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I199" i="2" l="1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EX200" i="2" s="1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HI200" i="2" l="1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EA201" i="2" s="1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/>
  <c r="ED200" i="2"/>
  <c r="DI200" i="2" l="1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HH202" i="2" s="1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FR202" i="2" s="1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EV202" i="2" l="1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R203" i="2" s="1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DN124" i="2" a="1"/>
  <c r="DN124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EI195" i="2" a="1"/>
  <c r="EI195" i="2" s="1"/>
  <c r="DN123" i="2" a="1"/>
  <c r="DN123" i="2" s="1"/>
  <c r="DN103" i="2" a="1"/>
  <c r="DN103" i="2" s="1"/>
  <c r="DN114" i="2" a="1"/>
  <c r="DN114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DN80" i="2" a="1"/>
  <c r="DN80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DN45" i="2" a="1"/>
  <c r="DN45" i="2" s="1"/>
  <c r="FD82" i="2" a="1"/>
  <c r="FD82" i="2" s="1"/>
  <c r="DN187" i="2" a="1"/>
  <c r="DN187" i="2" s="1"/>
  <c r="HJ202" i="2"/>
  <c r="EY202" i="2"/>
  <c r="AX200" i="2"/>
  <c r="AH163" i="2" l="1" a="1"/>
  <c r="AH163" i="2" s="1"/>
  <c r="AH166" i="2" a="1"/>
  <c r="AH166" i="2" s="1"/>
  <c r="AH90" i="2" a="1"/>
  <c r="AH90" i="2" s="1"/>
  <c r="AH62" i="2" a="1"/>
  <c r="AH62" i="2" s="1"/>
  <c r="AH19" i="2" a="1"/>
  <c r="AH19" i="2" s="1"/>
  <c r="AH151" i="2" a="1"/>
  <c r="AH151" i="2" s="1"/>
  <c r="AH92" i="2" a="1"/>
  <c r="AH92" i="2" s="1"/>
  <c r="AH199" i="2" a="1"/>
  <c r="AH199" i="2" s="1"/>
  <c r="CS72" i="2" a="1"/>
  <c r="CS72" i="2" s="1"/>
  <c r="CS134" i="2" a="1"/>
  <c r="CS134" i="2" s="1"/>
  <c r="CS38" i="2" a="1"/>
  <c r="CS38" i="2" s="1"/>
  <c r="CS56" i="2" a="1"/>
  <c r="CS56" i="2" s="1"/>
  <c r="CS129" i="2" a="1"/>
  <c r="CS129" i="2" s="1"/>
  <c r="CS52" i="2" a="1"/>
  <c r="CS52" i="2" s="1"/>
  <c r="CS137" i="2" a="1"/>
  <c r="CS137" i="2" s="1"/>
  <c r="CS114" i="2" a="1"/>
  <c r="CS114" i="2" s="1"/>
  <c r="CS66" i="2" a="1"/>
  <c r="CS66" i="2" s="1"/>
  <c r="CS116" i="2" a="1"/>
  <c r="CS116" i="2" s="1"/>
  <c r="CS105" i="2" a="1"/>
  <c r="CS105" i="2" s="1"/>
  <c r="CS77" i="2" a="1"/>
  <c r="CS77" i="2" s="1"/>
  <c r="CS185" i="2" a="1"/>
  <c r="CS185" i="2" s="1"/>
  <c r="CS161" i="2" a="1"/>
  <c r="CS161" i="2" s="1"/>
  <c r="CS24" i="2" a="1"/>
  <c r="CS24" i="2" s="1"/>
  <c r="CS120" i="2" a="1"/>
  <c r="CS120" i="2" s="1"/>
  <c r="BX107" i="2" a="1"/>
  <c r="BX107" i="2" s="1"/>
  <c r="BP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DI203" i="2" l="1"/>
  <c r="CN203" i="2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Z195" i="2" l="1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CY24" i="2" l="1"/>
  <c r="CY11" i="2"/>
  <c r="CY59" i="2"/>
  <c r="CY87" i="2"/>
  <c r="CY187" i="2"/>
  <c r="CY4" i="2"/>
  <c r="CY80" i="2"/>
  <c r="CY105" i="2"/>
  <c r="CY35" i="2"/>
  <c r="CY147" i="2"/>
  <c r="CY81" i="2"/>
  <c r="CY192" i="2"/>
  <c r="CY136" i="2"/>
  <c r="CY45" i="2"/>
  <c r="CY159" i="2"/>
  <c r="CY154" i="2"/>
  <c r="CY64" i="2"/>
  <c r="CY202" i="2"/>
  <c r="CY151" i="2"/>
  <c r="CY167" i="2"/>
  <c r="CY70" i="2"/>
  <c r="CY79" i="2"/>
  <c r="CY23" i="2"/>
  <c r="CY26" i="2"/>
  <c r="CY60" i="2"/>
  <c r="CY113" i="2"/>
  <c r="CY43" i="2"/>
  <c r="CY156" i="2"/>
  <c r="CY12" i="2"/>
  <c r="CY185" i="2"/>
  <c r="CY122" i="2"/>
  <c r="CY181" i="2"/>
  <c r="CY52" i="2"/>
  <c r="CY91" i="2"/>
  <c r="CY175" i="2"/>
  <c r="CY126" i="2"/>
  <c r="CY134" i="2"/>
  <c r="CY28" i="2"/>
  <c r="CY97" i="2"/>
  <c r="CY41" i="2"/>
  <c r="CY66" i="2"/>
  <c r="CY88" i="2"/>
  <c r="CY34" i="2"/>
  <c r="CY48" i="2"/>
  <c r="CY86" i="2"/>
  <c r="CY191" i="2"/>
  <c r="CY14" i="2"/>
  <c r="CY158" i="2"/>
  <c r="CY186" i="2"/>
  <c r="CY77" i="2"/>
  <c r="CY153" i="2"/>
  <c r="CY98" i="2"/>
  <c r="CY65" i="2"/>
  <c r="CY6" i="2"/>
  <c r="CY100" i="2"/>
  <c r="CY68" i="2"/>
  <c r="CY141" i="2"/>
  <c r="CY188" i="2"/>
  <c r="CY61" i="2"/>
  <c r="CY164" i="2"/>
  <c r="CY40" i="2"/>
  <c r="CY123" i="2"/>
  <c r="CY184" i="2"/>
  <c r="CY102" i="2"/>
  <c r="CY173" i="2"/>
  <c r="CY128" i="2"/>
  <c r="CY84" i="2"/>
  <c r="CY119" i="2"/>
  <c r="CY54" i="2"/>
  <c r="CY75" i="2"/>
  <c r="CY193" i="2"/>
  <c r="CY50" i="2"/>
  <c r="CY168" i="2"/>
  <c r="CY117" i="2"/>
  <c r="CY10" i="2"/>
  <c r="CY29" i="2"/>
  <c r="CY53" i="2"/>
  <c r="CY200" i="2"/>
  <c r="CY133" i="2"/>
  <c r="CY71" i="2"/>
  <c r="CY92" i="2"/>
  <c r="CY112" i="2"/>
  <c r="CY37" i="2"/>
  <c r="CY130" i="2"/>
  <c r="CY8" i="2"/>
  <c r="CY49" i="2"/>
  <c r="CY160" i="2"/>
  <c r="CY196" i="2"/>
  <c r="CY27" i="2"/>
  <c r="CY93" i="2"/>
  <c r="CY171" i="2"/>
  <c r="CY21" i="2"/>
  <c r="CY145" i="2"/>
  <c r="CY33" i="2"/>
  <c r="CY95" i="2"/>
  <c r="CY62" i="2"/>
  <c r="CY124" i="2"/>
  <c r="CY55" i="2"/>
  <c r="CY139" i="2"/>
  <c r="CY36" i="2"/>
  <c r="CY198" i="2"/>
  <c r="CY143" i="2"/>
  <c r="CY72" i="2"/>
  <c r="CY165" i="2"/>
  <c r="CY9" i="2"/>
  <c r="CY32" i="2"/>
  <c r="CY47" i="2"/>
  <c r="CY140" i="2"/>
  <c r="CY99" i="2"/>
  <c r="CY63" i="2"/>
  <c r="CY110" i="2"/>
  <c r="CY155" i="2"/>
  <c r="CY39" i="2"/>
  <c r="CY177" i="2"/>
  <c r="CY180" i="2"/>
  <c r="CY73" i="2"/>
  <c r="CY78" i="2"/>
  <c r="CY197" i="2"/>
  <c r="CY46" i="2"/>
  <c r="CY25" i="2"/>
  <c r="CY31" i="2"/>
  <c r="CY199" i="2"/>
  <c r="CY135" i="2"/>
  <c r="CY125" i="2"/>
  <c r="CY149" i="2"/>
  <c r="CY104" i="2"/>
  <c r="CY90" i="2"/>
  <c r="CY174" i="2"/>
  <c r="CY161" i="2"/>
  <c r="CY83" i="2"/>
  <c r="CY190" i="2"/>
  <c r="CY106" i="2"/>
  <c r="CY121" i="2"/>
  <c r="CY76" i="2"/>
  <c r="CY178" i="2"/>
  <c r="CY129" i="2"/>
  <c r="CY89" i="2"/>
  <c r="CY132" i="2"/>
  <c r="CY18" i="2"/>
  <c r="CY74" i="2"/>
  <c r="CY111" i="2"/>
  <c r="CY203" i="2"/>
  <c r="CY146" i="2"/>
  <c r="CY17" i="2"/>
  <c r="CY162" i="2"/>
  <c r="CY67" i="2"/>
  <c r="CY194" i="2"/>
  <c r="CY115" i="2"/>
  <c r="CY172" i="2"/>
  <c r="CY30" i="2"/>
  <c r="CY13" i="2"/>
  <c r="CY22" i="2"/>
  <c r="CY109" i="2"/>
  <c r="CY170" i="2"/>
  <c r="CY166" i="2"/>
  <c r="CY69" i="2"/>
  <c r="CY56" i="2"/>
  <c r="CY16" i="2"/>
  <c r="CY7" i="2"/>
  <c r="CY44" i="2"/>
  <c r="CY189" i="2"/>
  <c r="CY20" i="2"/>
  <c r="CY85" i="2"/>
  <c r="CY183" i="2"/>
  <c r="CY57" i="2"/>
  <c r="CY38" i="2"/>
  <c r="CY19" i="2"/>
  <c r="CY108" i="2"/>
  <c r="CY157" i="2"/>
  <c r="CY137" i="2"/>
  <c r="CY118" i="2"/>
  <c r="CY82" i="2"/>
  <c r="CY3" i="2"/>
  <c r="C10" i="4" s="1"/>
  <c r="E10" i="4" s="1"/>
  <c r="F10" i="4" s="1"/>
  <c r="G10" i="4" s="1"/>
  <c r="L10" i="4" s="1"/>
  <c r="CY131" i="2"/>
  <c r="CY96" i="2"/>
  <c r="CY114" i="2"/>
  <c r="CY152" i="2"/>
  <c r="CY150" i="2"/>
  <c r="CY15" i="2"/>
  <c r="CY5" i="2"/>
  <c r="CY120" i="2"/>
  <c r="CY176" i="2"/>
  <c r="CY103" i="2"/>
  <c r="CY116" i="2"/>
  <c r="CY94" i="2"/>
  <c r="CY182" i="2"/>
  <c r="CY58" i="2"/>
  <c r="CY169" i="2"/>
  <c r="CY42" i="2"/>
  <c r="CY127" i="2"/>
  <c r="CY179" i="2"/>
  <c r="CY195" i="2"/>
  <c r="CY107" i="2"/>
  <c r="CY163" i="2"/>
  <c r="CY138" i="2"/>
  <c r="CY51" i="2"/>
  <c r="CY144" i="2"/>
  <c r="CY201" i="2"/>
  <c r="CY142" i="2"/>
  <c r="CY101" i="2"/>
  <c r="CY148" i="2"/>
  <c r="FE115" i="2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I148" i="2" l="1"/>
  <c r="BI128" i="2"/>
  <c r="BI117" i="2"/>
  <c r="BI201" i="2"/>
  <c r="BI20" i="2"/>
  <c r="BI169" i="2"/>
  <c r="BI118" i="2"/>
  <c r="BI174" i="2"/>
  <c r="BI76" i="2"/>
  <c r="BI182" i="2"/>
  <c r="BI130" i="2"/>
  <c r="BI167" i="2"/>
  <c r="BI8" i="2"/>
  <c r="BI10" i="2"/>
  <c r="BI31" i="2"/>
  <c r="BI62" i="2"/>
  <c r="BI18" i="2"/>
  <c r="BI92" i="2"/>
  <c r="BI105" i="2"/>
  <c r="BI126" i="2"/>
  <c r="BI112" i="2"/>
  <c r="BI124" i="2"/>
  <c r="BI89" i="2"/>
  <c r="BI42" i="2"/>
  <c r="BI155" i="2"/>
  <c r="BI24" i="2"/>
  <c r="BI15" i="2"/>
  <c r="BI197" i="2"/>
  <c r="BI95" i="2"/>
  <c r="BI179" i="2"/>
  <c r="BI83" i="2"/>
  <c r="BI175" i="2"/>
  <c r="BI50" i="2"/>
  <c r="BI69" i="2"/>
  <c r="BI67" i="2"/>
  <c r="BI74" i="2"/>
  <c r="BI40" i="2"/>
  <c r="BI159" i="2"/>
  <c r="BI102" i="2"/>
  <c r="BI45" i="2"/>
  <c r="BI17" i="2"/>
  <c r="BI28" i="2"/>
  <c r="BI38" i="2"/>
  <c r="BI72" i="2"/>
  <c r="BI41" i="2"/>
  <c r="BI61" i="2"/>
  <c r="BI137" i="2"/>
  <c r="BI147" i="2"/>
  <c r="BI93" i="2"/>
  <c r="BI162" i="2"/>
  <c r="BI81" i="2"/>
  <c r="BI13" i="2"/>
  <c r="BI46" i="2"/>
  <c r="BI140" i="2"/>
  <c r="BI71" i="2"/>
  <c r="BI173" i="2"/>
  <c r="BI57" i="2"/>
  <c r="BI176" i="2"/>
  <c r="BI86" i="2"/>
  <c r="BI56" i="2"/>
  <c r="BI19" i="2"/>
  <c r="BI202" i="2"/>
  <c r="BI98" i="2"/>
  <c r="BI168" i="2"/>
  <c r="BI65" i="2"/>
  <c r="BI53" i="2"/>
  <c r="BI64" i="2"/>
  <c r="BI157" i="2"/>
  <c r="BI39" i="2"/>
  <c r="BI135" i="2"/>
  <c r="BI123" i="2"/>
  <c r="BI187" i="2"/>
  <c r="BI29" i="2"/>
  <c r="BI183" i="2"/>
  <c r="BI47" i="2"/>
  <c r="BI133" i="2"/>
  <c r="BI54" i="2"/>
  <c r="BI171" i="2"/>
  <c r="BI194" i="2"/>
  <c r="BI181" i="2"/>
  <c r="BI132" i="2"/>
  <c r="BI51" i="2"/>
  <c r="BI60" i="2"/>
  <c r="BI127" i="2"/>
  <c r="BI195" i="2"/>
  <c r="BI96" i="2"/>
  <c r="BI35" i="2"/>
  <c r="BI103" i="2"/>
  <c r="BI131" i="2"/>
  <c r="BI142" i="2"/>
  <c r="BI78" i="2"/>
  <c r="BI184" i="2"/>
  <c r="BI94" i="2"/>
  <c r="BI200" i="2"/>
  <c r="BI37" i="2"/>
  <c r="BI134" i="2"/>
  <c r="BI185" i="2"/>
  <c r="BI6" i="2"/>
  <c r="BI33" i="2"/>
  <c r="BI26" i="2"/>
  <c r="BI21" i="2"/>
  <c r="BI106" i="2"/>
  <c r="BI120" i="2"/>
  <c r="BI203" i="2"/>
  <c r="BI192" i="2"/>
  <c r="BI44" i="2"/>
  <c r="BI58" i="2"/>
  <c r="BI11" i="2"/>
  <c r="BI145" i="2"/>
  <c r="BI59" i="2"/>
  <c r="BI144" i="2"/>
  <c r="BI5" i="2"/>
  <c r="BI84" i="2"/>
  <c r="BI85" i="2"/>
  <c r="BI196" i="2"/>
  <c r="BI119" i="2"/>
  <c r="BI186" i="2"/>
  <c r="BI25" i="2"/>
  <c r="BI97" i="2"/>
  <c r="BI30" i="2"/>
  <c r="BI151" i="2"/>
  <c r="BI143" i="2"/>
  <c r="BI138" i="2"/>
  <c r="BI193" i="2"/>
  <c r="BI146" i="2"/>
  <c r="BI115" i="2"/>
  <c r="BI150" i="2"/>
  <c r="BI90" i="2"/>
  <c r="BI116" i="2"/>
  <c r="BI161" i="2"/>
  <c r="BI77" i="2"/>
  <c r="BI163" i="2"/>
  <c r="BI156" i="2"/>
  <c r="BI122" i="2"/>
  <c r="BI111" i="2"/>
  <c r="BI189" i="2"/>
  <c r="BI199" i="2"/>
  <c r="BI34" i="2"/>
  <c r="BI4" i="2"/>
  <c r="BI141" i="2"/>
  <c r="BI14" i="2"/>
  <c r="BI160" i="2"/>
  <c r="BI16" i="2"/>
  <c r="BI43" i="2"/>
  <c r="BI177" i="2"/>
  <c r="BI139" i="2"/>
  <c r="BI172" i="2"/>
  <c r="BI113" i="2"/>
  <c r="BI73" i="2"/>
  <c r="BI178" i="2"/>
  <c r="BI198" i="2"/>
  <c r="BI36" i="2"/>
  <c r="BI165" i="2"/>
  <c r="BI27" i="2"/>
  <c r="BI22" i="2"/>
  <c r="BI191" i="2"/>
  <c r="BI55" i="2"/>
  <c r="BI158" i="2"/>
  <c r="BI190" i="2"/>
  <c r="BI129" i="2"/>
  <c r="BI170" i="2"/>
  <c r="BI99" i="2"/>
  <c r="BI23" i="2"/>
  <c r="BI109" i="2"/>
  <c r="BI80" i="2"/>
  <c r="BI188" i="2"/>
  <c r="BI166" i="2"/>
  <c r="BI100" i="2"/>
  <c r="BI7" i="2"/>
  <c r="BI121" i="2"/>
  <c r="BI12" i="2"/>
  <c r="BI66" i="2"/>
  <c r="BI70" i="2"/>
  <c r="BI107" i="2"/>
  <c r="BI75" i="2"/>
  <c r="BI136" i="2"/>
  <c r="BI110" i="2"/>
  <c r="BI52" i="2"/>
  <c r="BI101" i="2"/>
  <c r="BI108" i="2"/>
  <c r="BI152" i="2"/>
  <c r="BI48" i="2"/>
  <c r="BI154" i="2"/>
  <c r="BI104" i="2"/>
  <c r="BI49" i="2"/>
  <c r="BI149" i="2"/>
  <c r="BI68" i="2"/>
  <c r="BI180" i="2"/>
  <c r="BI88" i="2"/>
  <c r="BI87" i="2"/>
  <c r="BI114" i="2"/>
  <c r="BI79" i="2"/>
  <c r="BI91" i="2"/>
  <c r="BI125" i="2"/>
  <c r="BI3" i="2"/>
  <c r="C8" i="4" s="1"/>
  <c r="E8" i="4" s="1"/>
  <c r="F8" i="4" s="1"/>
  <c r="G8" i="4" s="1"/>
  <c r="L8" i="4" s="1"/>
  <c r="BI153" i="2"/>
  <c r="BI82" i="2"/>
  <c r="BI164" i="2"/>
  <c r="BI63" i="2"/>
  <c r="BI9" i="2"/>
  <c r="BI32" i="2"/>
  <c r="BS152" i="2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<sst xmlns="http://schemas.openxmlformats.org/spreadsheetml/2006/main" count="1174" uniqueCount="324">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</sst>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1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2.7663252338256172</c:v>
                </c:pt>
                <c:pt idx="2">
                  <c:v>3.3122877098209038</c:v>
                </c:pt>
                <c:pt idx="3">
                  <c:v>3.966401906447405</c:v>
                </c:pt>
                <c:pt idx="4">
                  <c:v>4.7501668593059909</c:v>
                </c:pt>
                <c:pt idx="5">
                  <c:v>5.6893692517736758</c:v>
                </c:pt>
                <c:pt idx="6">
                  <c:v>6.8149411073641248</c:v>
                </c:pt>
                <c:pt idx="7">
                  <c:v>8.1639895318585136</c:v>
                </c:pt>
                <c:pt idx="8">
                  <c:v>9.7810331060211926</c:v>
                </c:pt>
                <c:pt idx="9">
                  <c:v>11.719486504501022</c:v>
                </c:pt>
                <c:pt idx="10">
                  <c:v>14.043443300253207</c:v>
                </c:pt>
                <c:pt idx="11">
                  <c:v>16.829816991658799</c:v>
                </c:pt>
                <c:pt idx="12">
                  <c:v>20.170912404444739</c:v>
                </c:pt>
                <c:pt idx="13">
                  <c:v>24.177514185044988</c:v>
                </c:pt>
                <c:pt idx="14">
                  <c:v>28.982596612402116</c:v>
                </c:pt>
                <c:pt idx="15">
                  <c:v>34.745780008276633</c:v>
                </c:pt>
                <c:pt idx="16">
                  <c:v>41.658684339935689</c:v>
                </c:pt>
                <c:pt idx="17">
                  <c:v>49.951361047417038</c:v>
                </c:pt>
                <c:pt idx="18">
                  <c:v>59.900020729580547</c:v>
                </c:pt>
                <c:pt idx="19">
                  <c:v>71.836318339091292</c:v>
                </c:pt>
                <c:pt idx="20">
                  <c:v>86.158510470515978</c:v>
                </c:pt>
                <c:pt idx="21">
                  <c:v>97.318927922969635</c:v>
                </c:pt>
                <c:pt idx="22">
                  <c:v>108.4475019129206</c:v>
                </c:pt>
                <c:pt idx="23">
                  <c:v>119.54796628555846</c:v>
                </c:pt>
                <c:pt idx="24">
                  <c:v>130.62330272297189</c:v>
                </c:pt>
                <c:pt idx="25">
                  <c:v>141.67594470663133</c:v>
                </c:pt>
                <c:pt idx="26">
                  <c:v>155.46288225618903</c:v>
                </c:pt>
                <c:pt idx="27">
                  <c:v>169.22076873606747</c:v>
                </c:pt>
                <c:pt idx="28">
                  <c:v>182.95230030612535</c:v>
                </c:pt>
                <c:pt idx="29">
                  <c:v>196.65973476943884</c:v>
                </c:pt>
                <c:pt idx="30">
                  <c:v>210.34498910896306</c:v>
                </c:pt>
                <c:pt idx="31">
                  <c:v>169.22076873606747</c:v>
                </c:pt>
                <c:pt idx="32">
                  <c:v>184.91193253803269</c:v>
                </c:pt>
                <c:pt idx="33">
                  <c:v>200.57199414028256</c:v>
                </c:pt>
                <c:pt idx="34">
                  <c:v>216.20372460175972</c:v>
                </c:pt>
                <c:pt idx="35">
                  <c:v>231.8094611658297</c:v>
                </c:pt>
                <c:pt idx="36">
                  <c:v>248.16968942779488</c:v>
                </c:pt>
                <c:pt idx="37">
                  <c:v>264.50544806917611</c:v>
                </c:pt>
                <c:pt idx="38">
                  <c:v>280.81846105391611</c:v>
                </c:pt>
                <c:pt idx="39">
                  <c:v>297.11023564036316</c:v>
                </c:pt>
                <c:pt idx="40">
                  <c:v>313.38210026249641</c:v>
                </c:pt>
                <c:pt idx="41">
                  <c:v>248.16968942779496</c:v>
                </c:pt>
                <c:pt idx="42">
                  <c:v>264.50544806917623</c:v>
                </c:pt>
                <c:pt idx="43">
                  <c:v>280.81846105391611</c:v>
                </c:pt>
                <c:pt idx="44">
                  <c:v>297.11023564036327</c:v>
                </c:pt>
                <c:pt idx="45">
                  <c:v>313.38210026249641</c:v>
                </c:pt>
                <c:pt idx="46">
                  <c:v>329.24846413649914</c:v>
                </c:pt>
                <c:pt idx="47">
                  <c:v>345.09796018035962</c:v>
                </c:pt>
                <c:pt idx="48">
                  <c:v>360.93147205550491</c:v>
                </c:pt>
                <c:pt idx="49">
                  <c:v>376.74979957167847</c:v>
                </c:pt>
                <c:pt idx="50">
                  <c:v>392.55366990377706</c:v>
                </c:pt>
                <c:pt idx="51">
                  <c:v>326.9276331083118</c:v>
                </c:pt>
                <c:pt idx="52">
                  <c:v>342.393103483792</c:v>
                </c:pt>
                <c:pt idx="53">
                  <c:v>357.84322260194625</c:v>
                </c:pt>
                <c:pt idx="54">
                  <c:v>373.27874650728046</c:v>
                </c:pt>
                <c:pt idx="55">
                  <c:v>388.70036362009404</c:v>
                </c:pt>
                <c:pt idx="56">
                  <c:v>403.33859253105862</c:v>
                </c:pt>
                <c:pt idx="57">
                  <c:v>417.96533499156266</c:v>
                </c:pt>
                <c:pt idx="58">
                  <c:v>432.58104952108766</c:v>
                </c:pt>
                <c:pt idx="59">
                  <c:v>447.18616113243911</c:v>
                </c:pt>
                <c:pt idx="60">
                  <c:v>461.78106481747727</c:v>
                </c:pt>
                <c:pt idx="61">
                  <c:v>394.86525935006392</c:v>
                </c:pt>
                <c:pt idx="62">
                  <c:v>408.72870365690932</c:v>
                </c:pt>
                <c:pt idx="63">
                  <c:v>422.5819944009279</c:v>
                </c:pt>
                <c:pt idx="64">
                  <c:v>436.42551129808606</c:v>
                </c:pt>
                <c:pt idx="65">
                  <c:v>450.25960801246725</c:v>
                </c:pt>
                <c:pt idx="66">
                  <c:v>463.31679190893482</c:v>
                </c:pt>
                <c:pt idx="67">
                  <c:v>476.36612856926143</c:v>
                </c:pt>
                <c:pt idx="68">
                  <c:v>489.40786321667775</c:v>
                </c:pt>
                <c:pt idx="69">
                  <c:v>502.44222694105241</c:v>
                </c:pt>
                <c:pt idx="70">
                  <c:v>515.4694378666801</c:v>
                </c:pt>
                <c:pt idx="71">
                  <c:v>446.80194854061978</c:v>
                </c:pt>
                <c:pt idx="72">
                  <c:v>458.70928319621316</c:v>
                </c:pt>
                <c:pt idx="73">
                  <c:v>470.61001955868869</c:v>
                </c:pt>
                <c:pt idx="74">
                  <c:v>482.50434799892832</c:v>
                </c:pt>
                <c:pt idx="75">
                  <c:v>494.39244873679587</c:v>
                </c:pt>
                <c:pt idx="76">
                  <c:v>505.89129373820577</c:v>
                </c:pt>
                <c:pt idx="77">
                  <c:v>517.38461348648957</c:v>
                </c:pt>
                <c:pt idx="78">
                  <c:v>528.87254801147833</c:v>
                </c:pt>
                <c:pt idx="79">
                  <c:v>540.35523076412733</c:v>
                </c:pt>
                <c:pt idx="80">
                  <c:v>551.83278906179692</c:v>
                </c:pt>
                <c:pt idx="81">
                  <c:v>482.12075813367829</c:v>
                </c:pt>
                <c:pt idx="82">
                  <c:v>492.85884412246605</c:v>
                </c:pt>
                <c:pt idx="83">
                  <c:v>503.59197136026643</c:v>
                </c:pt>
                <c:pt idx="84">
                  <c:v>514.32026043494204</c:v>
                </c:pt>
                <c:pt idx="85">
                  <c:v>525.04382649327351</c:v>
                </c:pt>
                <c:pt idx="86">
                  <c:v>535.76277959494894</c:v>
                </c:pt>
                <c:pt idx="87">
                  <c:v>546.47722503675357</c:v>
                </c:pt>
                <c:pt idx="88">
                  <c:v>557.18726365001555</c:v>
                </c:pt>
                <c:pt idx="89">
                  <c:v>567.89299207399438</c:v>
                </c:pt>
                <c:pt idx="90">
                  <c:v>578.59450300758806</c:v>
                </c:pt>
                <c:pt idx="91">
                  <c:v>507.61564043595672</c:v>
                </c:pt>
                <c:pt idx="92">
                  <c:v>517.00159034875594</c:v>
                </c:pt>
                <c:pt idx="93">
                  <c:v>526.3839456981226</c:v>
                </c:pt>
                <c:pt idx="94">
                  <c:v>535.76277959494894</c:v>
                </c:pt>
                <c:pt idx="95">
                  <c:v>545.13816238142283</c:v>
                </c:pt>
                <c:pt idx="96">
                  <c:v>554.51016178271254</c:v>
                </c:pt>
                <c:pt idx="97">
                  <c:v>563.87884304786564</c:v>
                </c:pt>
                <c:pt idx="98">
                  <c:v>573.24426908085582</c:v>
                </c:pt>
                <c:pt idx="99">
                  <c:v>582.60650056262409</c:v>
                </c:pt>
                <c:pt idx="100">
                  <c:v>591.9655960648646</c:v>
                </c:pt>
                <c:pt idx="101">
                  <c:v>520.06560820994252</c:v>
                </c:pt>
                <c:pt idx="102">
                  <c:v>528.48970219589648</c:v>
                </c:pt>
                <c:pt idx="103">
                  <c:v>536.91096968482657</c:v>
                </c:pt>
                <c:pt idx="104">
                  <c:v>545.32946126916943</c:v>
                </c:pt>
                <c:pt idx="105">
                  <c:v>553.74522585166278</c:v>
                </c:pt>
                <c:pt idx="106">
                  <c:v>562.15831072715287</c:v>
                </c:pt>
                <c:pt idx="107">
                  <c:v>570.56876165925303</c:v>
                </c:pt>
                <c:pt idx="108">
                  <c:v>578.97662295224757</c:v>
                </c:pt>
                <c:pt idx="109">
                  <c:v>587.38193751859842</c:v>
                </c:pt>
                <c:pt idx="110">
                  <c:v>595.7847469423923</c:v>
                </c:pt>
                <c:pt idx="111">
                  <c:v>528.29827709857079</c:v>
                </c:pt>
                <c:pt idx="112">
                  <c:v>535.38003807305233</c:v>
                </c:pt>
                <c:pt idx="113">
                  <c:v>542.45982974283959</c:v>
                </c:pt>
                <c:pt idx="114">
                  <c:v>549.53768144295657</c:v>
                </c:pt>
                <c:pt idx="115">
                  <c:v>556.61362169091774</c:v>
                </c:pt>
                <c:pt idx="116">
                  <c:v>563.68767821983818</c:v>
                </c:pt>
                <c:pt idx="117">
                  <c:v>570.75987800979885</c:v>
                </c:pt>
                <c:pt idx="118">
                  <c:v>577.8302473175728</c:v>
                </c:pt>
                <c:pt idx="119">
                  <c:v>584.89881170482306</c:v>
                </c:pt>
                <c:pt idx="120">
                  <c:v>591.96559606486414</c:v>
                </c:pt>
                <c:pt idx="121">
                  <c:v>531.16950054399888</c:v>
                </c:pt>
                <c:pt idx="122">
                  <c:v>537.29368823845141</c:v>
                </c:pt>
                <c:pt idx="123">
                  <c:v>543.41640891561519</c:v>
                </c:pt>
                <c:pt idx="124">
                  <c:v>549.53768144295634</c:v>
                </c:pt>
                <c:pt idx="125">
                  <c:v>555.65752423315837</c:v>
                </c:pt>
                <c:pt idx="126">
                  <c:v>561.77595526008167</c:v>
                </c:pt>
                <c:pt idx="127">
                  <c:v>567.89299207399313</c:v>
                </c:pt>
                <c:pt idx="128">
                  <c:v>574.00865181610322</c:v>
                </c:pt>
                <c:pt idx="129">
                  <c:v>580.12295123245383</c:v>
                </c:pt>
                <c:pt idx="130">
                  <c:v>586.23590668718714</c:v>
                </c:pt>
                <c:pt idx="131">
                  <c:v>532.12650235188266</c:v>
                </c:pt>
                <c:pt idx="132">
                  <c:v>537.29368823845118</c:v>
                </c:pt>
                <c:pt idx="133">
                  <c:v>542.45982974283925</c:v>
                </c:pt>
                <c:pt idx="134">
                  <c:v>547.62493821970475</c:v>
                </c:pt>
                <c:pt idx="135">
                  <c:v>552.78902479193243</c:v>
                </c:pt>
                <c:pt idx="136">
                  <c:v>557.95210035753337</c:v>
                </c:pt>
                <c:pt idx="137">
                  <c:v>563.11417559627546</c:v>
                </c:pt>
                <c:pt idx="138">
                  <c:v>568.27526097606062</c:v>
                </c:pt>
                <c:pt idx="139">
                  <c:v>573.43536675905443</c:v>
                </c:pt>
                <c:pt idx="140">
                  <c:v>578.59450300758647</c:v>
                </c:pt>
                <c:pt idx="141">
                  <c:v>531.55230561741405</c:v>
                </c:pt>
                <c:pt idx="142">
                  <c:v>536.14551536775082</c:v>
                </c:pt>
                <c:pt idx="143">
                  <c:v>540.73789791143247</c:v>
                </c:pt>
                <c:pt idx="144">
                  <c:v>545.32946126916829</c:v>
                </c:pt>
                <c:pt idx="145">
                  <c:v>549.92021331550427</c:v>
                </c:pt>
                <c:pt idx="146">
                  <c:v>554.51016178271107</c:v>
                </c:pt>
                <c:pt idx="147">
                  <c:v>559.09931426453841</c:v>
                </c:pt>
                <c:pt idx="148">
                  <c:v>563.68767821983727</c:v>
                </c:pt>
                <c:pt idx="149">
                  <c:v>568.27526097606028</c:v>
                </c:pt>
                <c:pt idx="150">
                  <c:v>572.86206973264132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7803888"/>
        <c:axId val="107804432"/>
      </c:scatterChart>
      <c:valAx>
        <c:axId val="10780388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07804432"/>
        <c:crosses val="autoZero"/>
        <c:crossBetween val="midCat"/>
      </c:valAx>
      <c:valAx>
        <c:axId val="1078044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0780388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58082528"/>
        <c:axId val="458076544"/>
      </c:scatterChart>
      <c:valAx>
        <c:axId val="45808252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58076544"/>
        <c:crosses val="autoZero"/>
        <c:crossBetween val="midCat"/>
      </c:valAx>
      <c:valAx>
        <c:axId val="4580765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5808252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3.0562900081048716</c:v>
                </c:pt>
                <c:pt idx="2">
                  <c:v>3.8516445674544162</c:v>
                </c:pt>
                <c:pt idx="3">
                  <c:v>4.8547804100799219</c:v>
                </c:pt>
                <c:pt idx="4">
                  <c:v>6.1201763242133866</c:v>
                </c:pt>
                <c:pt idx="5">
                  <c:v>7.7166433859878012</c:v>
                </c:pt>
                <c:pt idx="6">
                  <c:v>9.7311072999956902</c:v>
                </c:pt>
                <c:pt idx="7">
                  <c:v>12.273391783795576</c:v>
                </c:pt>
                <c:pt idx="8">
                  <c:v>15.4822686316353</c:v>
                </c:pt>
                <c:pt idx="9">
                  <c:v>19.53311074960536</c:v>
                </c:pt>
                <c:pt idx="10">
                  <c:v>24.647573946215513</c:v>
                </c:pt>
                <c:pt idx="11">
                  <c:v>31.105846619534645</c:v>
                </c:pt>
                <c:pt idx="12">
                  <c:v>39.262150081012997</c:v>
                </c:pt>
                <c:pt idx="13">
                  <c:v>49.564354179988463</c:v>
                </c:pt>
                <c:pt idx="14">
                  <c:v>62.578803388802356</c:v>
                </c:pt>
                <c:pt idx="15">
                  <c:v>79.021740567855332</c:v>
                </c:pt>
                <c:pt idx="16">
                  <c:v>92.212001931830386</c:v>
                </c:pt>
                <c:pt idx="17">
                  <c:v>105.35503866631923</c:v>
                </c:pt>
                <c:pt idx="18">
                  <c:v>118.45758522816597</c:v>
                </c:pt>
                <c:pt idx="19">
                  <c:v>131.52475843384721</c:v>
                </c:pt>
                <c:pt idx="20">
                  <c:v>144.56057213518989</c:v>
                </c:pt>
                <c:pt idx="21">
                  <c:v>158.0986236785229</c:v>
                </c:pt>
                <c:pt idx="22">
                  <c:v>171.60917678429962</c:v>
                </c:pt>
                <c:pt idx="23">
                  <c:v>185.09470275268441</c:v>
                </c:pt>
                <c:pt idx="24">
                  <c:v>198.55728287495404</c:v>
                </c:pt>
                <c:pt idx="25">
                  <c:v>211.99869283942743</c:v>
                </c:pt>
                <c:pt idx="26">
                  <c:v>166.04916974626312</c:v>
                </c:pt>
                <c:pt idx="27">
                  <c:v>179.54472893341881</c:v>
                </c:pt>
                <c:pt idx="28">
                  <c:v>193.01652648469147</c:v>
                </c:pt>
                <c:pt idx="29">
                  <c:v>206.46645534524563</c:v>
                </c:pt>
                <c:pt idx="30">
                  <c:v>219.89614143914181</c:v>
                </c:pt>
                <c:pt idx="31">
                  <c:v>233.04421068758657</c:v>
                </c:pt>
                <c:pt idx="32">
                  <c:v>246.17534534972108</c:v>
                </c:pt>
                <c:pt idx="33">
                  <c:v>259.29057630253902</c:v>
                </c:pt>
                <c:pt idx="34">
                  <c:v>272.39082156263629</c:v>
                </c:pt>
                <c:pt idx="35">
                  <c:v>285.47690359204631</c:v>
                </c:pt>
                <c:pt idx="36">
                  <c:v>241.1874408154728</c:v>
                </c:pt>
                <c:pt idx="37">
                  <c:v>253.25948437245322</c:v>
                </c:pt>
                <c:pt idx="38">
                  <c:v>265.31849858266679</c:v>
                </c:pt>
                <c:pt idx="39">
                  <c:v>277.36515935475296</c:v>
                </c:pt>
                <c:pt idx="40">
                  <c:v>289.40007905838712</c:v>
                </c:pt>
                <c:pt idx="41">
                  <c:v>301.16254465599701</c:v>
                </c:pt>
                <c:pt idx="42">
                  <c:v>312.91478465880073</c:v>
                </c:pt>
                <c:pt idx="43">
                  <c:v>324.65723737677945</c:v>
                </c:pt>
                <c:pt idx="44">
                  <c:v>336.39030681291359</c:v>
                </c:pt>
                <c:pt idx="45">
                  <c:v>348.11436647695382</c:v>
                </c:pt>
                <c:pt idx="46">
                  <c:v>298.02690596205656</c:v>
                </c:pt>
                <c:pt idx="47">
                  <c:v>309.25960083487399</c:v>
                </c:pt>
                <c:pt idx="48">
                  <c:v>320.48323832967958</c:v>
                </c:pt>
                <c:pt idx="49">
                  <c:v>331.69818048501048</c:v>
                </c:pt>
                <c:pt idx="50">
                  <c:v>342.90476284898187</c:v>
                </c:pt>
                <c:pt idx="51">
                  <c:v>353.5826093609457</c:v>
                </c:pt>
                <c:pt idx="52">
                  <c:v>364.25339147358585</c:v>
                </c:pt>
                <c:pt idx="53">
                  <c:v>374.91734538946025</c:v>
                </c:pt>
                <c:pt idx="54">
                  <c:v>385.57469277282826</c:v>
                </c:pt>
                <c:pt idx="55">
                  <c:v>396.22564203021716</c:v>
                </c:pt>
                <c:pt idx="56">
                  <c:v>344.988811500976</c:v>
                </c:pt>
                <c:pt idx="57">
                  <c:v>354.88429760392893</c:v>
                </c:pt>
                <c:pt idx="58">
                  <c:v>364.77374091176654</c:v>
                </c:pt>
                <c:pt idx="59">
                  <c:v>374.65732842785474</c:v>
                </c:pt>
                <c:pt idx="60">
                  <c:v>384.5352364794324</c:v>
                </c:pt>
                <c:pt idx="61">
                  <c:v>393.88816670507435</c:v>
                </c:pt>
                <c:pt idx="62">
                  <c:v>403.236283206461</c:v>
                </c:pt>
                <c:pt idx="63">
                  <c:v>412.57971336343076</c:v>
                </c:pt>
                <c:pt idx="64">
                  <c:v>421.91857831328997</c:v>
                </c:pt>
                <c:pt idx="65">
                  <c:v>431.25299339113445</c:v>
                </c:pt>
                <c:pt idx="66">
                  <c:v>380.37679863746172</c:v>
                </c:pt>
                <c:pt idx="67">
                  <c:v>389.21231152581714</c:v>
                </c:pt>
                <c:pt idx="68">
                  <c:v>398.04347171553718</c:v>
                </c:pt>
                <c:pt idx="69">
                  <c:v>406.87038944607758</c:v>
                </c:pt>
                <c:pt idx="70">
                  <c:v>415.69316978100875</c:v>
                </c:pt>
                <c:pt idx="71">
                  <c:v>424.25259487459419</c:v>
                </c:pt>
                <c:pt idx="72">
                  <c:v>432.80830440561408</c:v>
                </c:pt>
                <c:pt idx="73">
                  <c:v>441.36038221438162</c:v>
                </c:pt>
                <c:pt idx="74">
                  <c:v>449.90890862564243</c:v>
                </c:pt>
                <c:pt idx="75">
                  <c:v>458.45396066143621</c:v>
                </c:pt>
                <c:pt idx="76">
                  <c:v>409.46574974833038</c:v>
                </c:pt>
                <c:pt idx="77">
                  <c:v>417.50912019336829</c:v>
                </c:pt>
                <c:pt idx="78">
                  <c:v>425.549151223612</c:v>
                </c:pt>
                <c:pt idx="79">
                  <c:v>433.58591486422864</c:v>
                </c:pt>
                <c:pt idx="80">
                  <c:v>441.61948025110081</c:v>
                </c:pt>
                <c:pt idx="81">
                  <c:v>449.39091577872472</c:v>
                </c:pt>
                <c:pt idx="82">
                  <c:v>457.15947617571402</c:v>
                </c:pt>
                <c:pt idx="83">
                  <c:v>464.92521721380848</c:v>
                </c:pt>
                <c:pt idx="84">
                  <c:v>472.68819264876225</c:v>
                </c:pt>
                <c:pt idx="85">
                  <c:v>480.44845432585157</c:v>
                </c:pt>
                <c:pt idx="86">
                  <c:v>434.62268223024967</c:v>
                </c:pt>
                <c:pt idx="87">
                  <c:v>441.87857502910379</c:v>
                </c:pt>
                <c:pt idx="88">
                  <c:v>449.13191456472799</c:v>
                </c:pt>
                <c:pt idx="89">
                  <c:v>456.38274791123871</c:v>
                </c:pt>
                <c:pt idx="90">
                  <c:v>463.63112052410901</c:v>
                </c:pt>
                <c:pt idx="91">
                  <c:v>470.87707632081725</c:v>
                </c:pt>
                <c:pt idx="92">
                  <c:v>478.1206577562703</c:v>
                </c:pt>
                <c:pt idx="93">
                  <c:v>485.36190589341709</c:v>
                </c:pt>
                <c:pt idx="94">
                  <c:v>492.60086046942803</c:v>
                </c:pt>
                <c:pt idx="95">
                  <c:v>499.83755995777932</c:v>
                </c:pt>
                <c:pt idx="96">
                  <c:v>456.12383221540205</c:v>
                </c:pt>
                <c:pt idx="97">
                  <c:v>462.85462553575667</c:v>
                </c:pt>
                <c:pt idx="98">
                  <c:v>469.58333098744265</c:v>
                </c:pt>
                <c:pt idx="99">
                  <c:v>476.3099827249934</c:v>
                </c:pt>
                <c:pt idx="100">
                  <c:v>483.03461385901943</c:v>
                </c:pt>
                <c:pt idx="101">
                  <c:v>489.24020002780748</c:v>
                </c:pt>
                <c:pt idx="102">
                  <c:v>495.44411640657046</c:v>
                </c:pt>
                <c:pt idx="103">
                  <c:v>501.64638686546306</c:v>
                </c:pt>
                <c:pt idx="104">
                  <c:v>507.84703463591728</c:v>
                </c:pt>
                <c:pt idx="105">
                  <c:v>514.04608233549698</c:v>
                </c:pt>
                <c:pt idx="106">
                  <c:v>473.46434009613796</c:v>
                </c:pt>
                <c:pt idx="107">
                  <c:v>479.41390774717365</c:v>
                </c:pt>
                <c:pt idx="108">
                  <c:v>485.36190589341726</c:v>
                </c:pt>
                <c:pt idx="109">
                  <c:v>491.30835649408982</c:v>
                </c:pt>
                <c:pt idx="110">
                  <c:v>497.25328093317017</c:v>
                </c:pt>
                <c:pt idx="111">
                  <c:v>503.19670004131376</c:v>
                </c:pt>
                <c:pt idx="112">
                  <c:v>509.13863411668063</c:v>
                </c:pt>
                <c:pt idx="113">
                  <c:v>515.07910294474061</c:v>
                </c:pt>
                <c:pt idx="114">
                  <c:v>521.01812581711727</c:v>
                </c:pt>
                <c:pt idx="115">
                  <c:v>526.95572154952742</c:v>
                </c:pt>
                <c:pt idx="116">
                  <c:v>532.89190849886916</c:v>
                </c:pt>
                <c:pt idx="117">
                  <c:v>538.82670457951008</c:v>
                </c:pt>
                <c:pt idx="118">
                  <c:v>544.76012727881891</c:v>
                </c:pt>
                <c:pt idx="119">
                  <c:v>550.69219367198605</c:v>
                </c:pt>
                <c:pt idx="120">
                  <c:v>556.6229204361706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7807152"/>
        <c:axId val="108865072"/>
      </c:scatterChart>
      <c:valAx>
        <c:axId val="10780715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08865072"/>
        <c:crosses val="autoZero"/>
        <c:crossBetween val="midCat"/>
      </c:valAx>
      <c:valAx>
        <c:axId val="1088650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0780715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2.9499424774398109</c:v>
                </c:pt>
                <c:pt idx="2">
                  <c:v>3.5322712998141292</c:v>
                </c:pt>
                <c:pt idx="3">
                  <c:v>4.2299796423063247</c:v>
                </c:pt>
                <c:pt idx="4">
                  <c:v>5.0660077681280073</c:v>
                </c:pt>
                <c:pt idx="5">
                  <c:v>6.0678718432979295</c:v>
                </c:pt>
                <c:pt idx="6">
                  <c:v>7.2685794435074236</c:v>
                </c:pt>
                <c:pt idx="7">
                  <c:v>8.707728736258824</c:v>
                </c:pt>
                <c:pt idx="8">
                  <c:v>10.432828282263435</c:v>
                </c:pt>
                <c:pt idx="9">
                  <c:v>12.500881848154869</c:v>
                </c:pt>
                <c:pt idx="10">
                  <c:v>14.98029157537014</c:v>
                </c:pt>
                <c:pt idx="11">
                  <c:v>17.953143612152349</c:v>
                </c:pt>
                <c:pt idx="12">
                  <c:v>21.517953253369303</c:v>
                </c:pt>
                <c:pt idx="13">
                  <c:v>25.792962186854144</c:v>
                </c:pt>
                <c:pt idx="14">
                  <c:v>30.920099145277529</c:v>
                </c:pt>
                <c:pt idx="15">
                  <c:v>37.069737746726702</c:v>
                </c:pt>
                <c:pt idx="16">
                  <c:v>44.446412342171662</c:v>
                </c:pt>
                <c:pt idx="17">
                  <c:v>53.29568519652458</c:v>
                </c:pt>
                <c:pt idx="18">
                  <c:v>63.912397422094891</c:v>
                </c:pt>
                <c:pt idx="19">
                  <c:v>76.650583094416518</c:v>
                </c:pt>
                <c:pt idx="20">
                  <c:v>91.935382517505545</c:v>
                </c:pt>
                <c:pt idx="21">
                  <c:v>103.84617756844348</c:v>
                </c:pt>
                <c:pt idx="22">
                  <c:v>115.72319627792427</c:v>
                </c:pt>
                <c:pt idx="23">
                  <c:v>127.57039913328697</c:v>
                </c:pt>
                <c:pt idx="24">
                  <c:v>139.39094880292336</c:v>
                </c:pt>
                <c:pt idx="25">
                  <c:v>151.18742647916039</c:v>
                </c:pt>
                <c:pt idx="26">
                  <c:v>165.90240656060988</c:v>
                </c:pt>
                <c:pt idx="27">
                  <c:v>180.58657218998462</c:v>
                </c:pt>
                <c:pt idx="28">
                  <c:v>195.24278318241954</c:v>
                </c:pt>
                <c:pt idx="29">
                  <c:v>209.87343438827483</c:v>
                </c:pt>
                <c:pt idx="30">
                  <c:v>224.48055915021379</c:v>
                </c:pt>
                <c:pt idx="31">
                  <c:v>180.58657218998462</c:v>
                </c:pt>
                <c:pt idx="32">
                  <c:v>197.3343901571734</c:v>
                </c:pt>
                <c:pt idx="33">
                  <c:v>214.04921803989632</c:v>
                </c:pt>
                <c:pt idx="34">
                  <c:v>230.73399509870114</c:v>
                </c:pt>
                <c:pt idx="35">
                  <c:v>247.39120044621509</c:v>
                </c:pt>
                <c:pt idx="36">
                  <c:v>264.85390518195555</c:v>
                </c:pt>
                <c:pt idx="37">
                  <c:v>282.29065500591173</c:v>
                </c:pt>
                <c:pt idx="38">
                  <c:v>299.70327852559689</c:v>
                </c:pt>
                <c:pt idx="39">
                  <c:v>317.09337448903148</c:v>
                </c:pt>
                <c:pt idx="40">
                  <c:v>334.46235196533502</c:v>
                </c:pt>
                <c:pt idx="41">
                  <c:v>264.85390518195561</c:v>
                </c:pt>
                <c:pt idx="42">
                  <c:v>282.29065500591184</c:v>
                </c:pt>
                <c:pt idx="43">
                  <c:v>299.70327852559694</c:v>
                </c:pt>
                <c:pt idx="44">
                  <c:v>317.09337448903153</c:v>
                </c:pt>
                <c:pt idx="45">
                  <c:v>334.46235196533513</c:v>
                </c:pt>
                <c:pt idx="46">
                  <c:v>351.39860979301596</c:v>
                </c:pt>
                <c:pt idx="47">
                  <c:v>368.3169759234454</c:v>
                </c:pt>
                <c:pt idx="48">
                  <c:v>385.21838765576626</c:v>
                </c:pt>
                <c:pt idx="49">
                  <c:v>402.10369334769052</c:v>
                </c:pt>
                <c:pt idx="50">
                  <c:v>418.97366431319239</c:v>
                </c:pt>
                <c:pt idx="51">
                  <c:v>348.92127422322784</c:v>
                </c:pt>
                <c:pt idx="52">
                  <c:v>365.42969930916388</c:v>
                </c:pt>
                <c:pt idx="53">
                  <c:v>381.9218413257197</c:v>
                </c:pt>
                <c:pt idx="54">
                  <c:v>398.39850220884642</c:v>
                </c:pt>
                <c:pt idx="55">
                  <c:v>414.86041216554025</c:v>
                </c:pt>
                <c:pt idx="56">
                  <c:v>430.48617222970438</c:v>
                </c:pt>
                <c:pt idx="57">
                  <c:v>446.0997486227979</c:v>
                </c:pt>
                <c:pt idx="58">
                  <c:v>461.70162769615786</c:v>
                </c:pt>
                <c:pt idx="59">
                  <c:v>477.29226026061059</c:v>
                </c:pt>
                <c:pt idx="60">
                  <c:v>492.87206528378402</c:v>
                </c:pt>
                <c:pt idx="61">
                  <c:v>421.44119734263637</c:v>
                </c:pt>
                <c:pt idx="62">
                  <c:v>436.23993334518991</c:v>
                </c:pt>
                <c:pt idx="63">
                  <c:v>451.02789946978169</c:v>
                </c:pt>
                <c:pt idx="64">
                  <c:v>465.80549848090754</c:v>
                </c:pt>
                <c:pt idx="65">
                  <c:v>480.57310550984766</c:v>
                </c:pt>
                <c:pt idx="66">
                  <c:v>494.51143108208981</c:v>
                </c:pt>
                <c:pt idx="67">
                  <c:v>508.44143309569387</c:v>
                </c:pt>
                <c:pt idx="68">
                  <c:v>522.36337165879229</c:v>
                </c:pt>
                <c:pt idx="69">
                  <c:v>536.27749188826908</c:v>
                </c:pt>
                <c:pt idx="70">
                  <c:v>550.1840251484324</c:v>
                </c:pt>
                <c:pt idx="71">
                  <c:v>476.88212094653812</c:v>
                </c:pt>
                <c:pt idx="72">
                  <c:v>489.59298637351299</c:v>
                </c:pt>
                <c:pt idx="73">
                  <c:v>502.29685299496032</c:v>
                </c:pt>
                <c:pt idx="74">
                  <c:v>514.99392273715932</c:v>
                </c:pt>
                <c:pt idx="75">
                  <c:v>527.68438675921141</c:v>
                </c:pt>
                <c:pt idx="76">
                  <c:v>539.95936220671649</c:v>
                </c:pt>
                <c:pt idx="77">
                  <c:v>552.22847702156594</c:v>
                </c:pt>
                <c:pt idx="78">
                  <c:v>564.49187973331675</c:v>
                </c:pt>
                <c:pt idx="79">
                  <c:v>576.74971189331643</c:v>
                </c:pt>
                <c:pt idx="80">
                  <c:v>589.00210854701243</c:v>
                </c:pt>
                <c:pt idx="81">
                  <c:v>514.58444394878302</c:v>
                </c:pt>
                <c:pt idx="82">
                  <c:v>526.04727227111368</c:v>
                </c:pt>
                <c:pt idx="83">
                  <c:v>537.50484084926495</c:v>
                </c:pt>
                <c:pt idx="84">
                  <c:v>548.95727759070985</c:v>
                </c:pt>
                <c:pt idx="85">
                  <c:v>560.40470463156907</c:v>
                </c:pt>
                <c:pt idx="86">
                  <c:v>571.84723871208746</c:v>
                </c:pt>
                <c:pt idx="87">
                  <c:v>583.28499152050188</c:v>
                </c:pt>
                <c:pt idx="88">
                  <c:v>594.71807000854017</c:v>
                </c:pt>
                <c:pt idx="89">
                  <c:v>606.14657668140785</c:v>
                </c:pt>
                <c:pt idx="90">
                  <c:v>617.57060986476938</c:v>
                </c:pt>
                <c:pt idx="91">
                  <c:v>541.80009933248743</c:v>
                </c:pt>
                <c:pt idx="92">
                  <c:v>551.81959936072451</c:v>
                </c:pt>
                <c:pt idx="93">
                  <c:v>561.835286637698</c:v>
                </c:pt>
                <c:pt idx="94">
                  <c:v>571.84723871208746</c:v>
                </c:pt>
                <c:pt idx="95">
                  <c:v>581.85553019580914</c:v>
                </c:pt>
                <c:pt idx="96">
                  <c:v>591.86023292490802</c:v>
                </c:pt>
                <c:pt idx="97">
                  <c:v>601.86141610900938</c:v>
                </c:pt>
                <c:pt idx="98">
                  <c:v>611.85914647032064</c:v>
                </c:pt>
                <c:pt idx="99">
                  <c:v>621.85348837307845</c:v>
                </c:pt>
                <c:pt idx="100">
                  <c:v>631.84450394424437</c:v>
                </c:pt>
                <c:pt idx="101">
                  <c:v>555.09044325536718</c:v>
                </c:pt>
                <c:pt idx="102">
                  <c:v>564.08319015797451</c:v>
                </c:pt>
                <c:pt idx="103">
                  <c:v>573.07293899689409</c:v>
                </c:pt>
                <c:pt idx="104">
                  <c:v>582.05974343549417</c:v>
                </c:pt>
                <c:pt idx="105">
                  <c:v>591.04365534487806</c:v>
                </c:pt>
                <c:pt idx="106">
                  <c:v>600.0247248906611</c:v>
                </c:pt>
                <c:pt idx="107">
                  <c:v>609.00300061428027</c:v>
                </c:pt>
                <c:pt idx="108">
                  <c:v>617.97852950926267</c:v>
                </c:pt>
                <c:pt idx="109">
                  <c:v>626.95135709283159</c:v>
                </c:pt>
                <c:pt idx="110">
                  <c:v>635.92152747320199</c:v>
                </c:pt>
                <c:pt idx="111">
                  <c:v>563.87884304786473</c:v>
                </c:pt>
                <c:pt idx="112">
                  <c:v>571.43865976099426</c:v>
                </c:pt>
                <c:pt idx="113">
                  <c:v>578.99638763382268</c:v>
                </c:pt>
                <c:pt idx="114">
                  <c:v>586.55205778199286</c:v>
                </c:pt>
                <c:pt idx="115">
                  <c:v>594.10570045401494</c:v>
                </c:pt>
                <c:pt idx="116">
                  <c:v>601.65734506638762</c:v>
                </c:pt>
                <c:pt idx="117">
                  <c:v>609.20702023686624</c:v>
                </c:pt>
                <c:pt idx="118">
                  <c:v>616.75475381599438</c:v>
                </c:pt>
                <c:pt idx="119">
                  <c:v>624.300572917012</c:v>
                </c:pt>
                <c:pt idx="120">
                  <c:v>631.84450394424357</c:v>
                </c:pt>
                <c:pt idx="121">
                  <c:v>566.94388739716328</c:v>
                </c:pt>
                <c:pt idx="122">
                  <c:v>573.48149358555565</c:v>
                </c:pt>
                <c:pt idx="123">
                  <c:v>580.01754370959543</c:v>
                </c:pt>
                <c:pt idx="124">
                  <c:v>586.55205778199274</c:v>
                </c:pt>
                <c:pt idx="125">
                  <c:v>593.08505533306914</c:v>
                </c:pt>
                <c:pt idx="126">
                  <c:v>599.61655542768813</c:v>
                </c:pt>
                <c:pt idx="127">
                  <c:v>606.1465766814066</c:v>
                </c:pt>
                <c:pt idx="128">
                  <c:v>612.67513727589676</c:v>
                </c:pt>
                <c:pt idx="129">
                  <c:v>619.20225497367471</c:v>
                </c:pt>
                <c:pt idx="130">
                  <c:v>625.72794713217661</c:v>
                </c:pt>
                <c:pt idx="131">
                  <c:v>567.96549176174028</c:v>
                </c:pt>
                <c:pt idx="132">
                  <c:v>573.48149358555554</c:v>
                </c:pt>
                <c:pt idx="133">
                  <c:v>578.99638763382234</c:v>
                </c:pt>
                <c:pt idx="134">
                  <c:v>584.51018595041944</c:v>
                </c:pt>
                <c:pt idx="135">
                  <c:v>590.0229003333842</c:v>
                </c:pt>
                <c:pt idx="136">
                  <c:v>595.53454234222977</c:v>
                </c:pt>
                <c:pt idx="137">
                  <c:v>601.04512330498039</c:v>
                </c:pt>
                <c:pt idx="138">
                  <c:v>606.55465432493247</c:v>
                </c:pt>
                <c:pt idx="139">
                  <c:v>612.06314628715938</c:v>
                </c:pt>
                <c:pt idx="140">
                  <c:v>617.57060986476779</c:v>
                </c:pt>
                <c:pt idx="141">
                  <c:v>567.35253375731406</c:v>
                </c:pt>
                <c:pt idx="142">
                  <c:v>572.25581156511964</c:v>
                </c:pt>
                <c:pt idx="143">
                  <c:v>577.15821195532533</c:v>
                </c:pt>
                <c:pt idx="144">
                  <c:v>582.05974343549315</c:v>
                </c:pt>
                <c:pt idx="145">
                  <c:v>586.96041435814834</c:v>
                </c:pt>
                <c:pt idx="146">
                  <c:v>591.86023292490643</c:v>
                </c:pt>
                <c:pt idx="147">
                  <c:v>596.75920719045291</c:v>
                </c:pt>
                <c:pt idx="148">
                  <c:v>601.65734506638671</c:v>
                </c:pt>
                <c:pt idx="149">
                  <c:v>606.55465432493213</c:v>
                </c:pt>
                <c:pt idx="150">
                  <c:v>611.45114260252456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8867248"/>
        <c:axId val="108868880"/>
      </c:scatterChart>
      <c:valAx>
        <c:axId val="10886724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08868880"/>
        <c:crosses val="autoZero"/>
        <c:crossBetween val="midCat"/>
      </c:valAx>
      <c:valAx>
        <c:axId val="1088688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0886724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2.5722677930534954</c:v>
                </c:pt>
                <c:pt idx="2">
                  <c:v>2.9621842966335081</c:v>
                </c:pt>
                <c:pt idx="3">
                  <c:v>3.4114188821959091</c:v>
                </c:pt>
                <c:pt idx="4">
                  <c:v>3.9290262090163979</c:v>
                </c:pt>
                <c:pt idx="5">
                  <c:v>4.5254474752842002</c:v>
                </c:pt>
                <c:pt idx="6">
                  <c:v>5.2127233645153082</c:v>
                </c:pt>
                <c:pt idx="7">
                  <c:v>6.0047397856420881</c:v>
                </c:pt>
                <c:pt idx="8">
                  <c:v>6.9175114696400923</c:v>
                </c:pt>
                <c:pt idx="9">
                  <c:v>7.9695092689740825</c:v>
                </c:pt>
                <c:pt idx="10">
                  <c:v>9.182037911044862</c:v>
                </c:pt>
                <c:pt idx="11">
                  <c:v>10.579672002068646</c:v>
                </c:pt>
                <c:pt idx="12">
                  <c:v>12.190759285230749</c:v>
                </c:pt>
                <c:pt idx="13">
                  <c:v>14.048001551728753</c:v>
                </c:pt>
                <c:pt idx="14">
                  <c:v>16.189125214584752</c:v>
                </c:pt>
                <c:pt idx="15">
                  <c:v>18.657655416524996</c:v>
                </c:pt>
                <c:pt idx="16">
                  <c:v>37.727903052748182</c:v>
                </c:pt>
                <c:pt idx="17">
                  <c:v>56.524479039485897</c:v>
                </c:pt>
                <c:pt idx="18">
                  <c:v>75.154841693095705</c:v>
                </c:pt>
                <c:pt idx="19">
                  <c:v>93.666644730165203</c:v>
                </c:pt>
                <c:pt idx="20">
                  <c:v>112.08679847851981</c:v>
                </c:pt>
                <c:pt idx="21">
                  <c:v>131.19552875292825</c:v>
                </c:pt>
                <c:pt idx="22">
                  <c:v>150.23693675874819</c:v>
                </c:pt>
                <c:pt idx="23">
                  <c:v>169.22076873606747</c:v>
                </c:pt>
                <c:pt idx="24">
                  <c:v>188.15439824972211</c:v>
                </c:pt>
                <c:pt idx="25">
                  <c:v>207.04359025710687</c:v>
                </c:pt>
                <c:pt idx="26">
                  <c:v>146.05306344957884</c:v>
                </c:pt>
                <c:pt idx="27">
                  <c:v>164.6694744129513</c:v>
                </c:pt>
                <c:pt idx="28">
                  <c:v>183.23613938898782</c:v>
                </c:pt>
                <c:pt idx="29">
                  <c:v>201.75881092692782</c:v>
                </c:pt>
                <c:pt idx="30">
                  <c:v>220.24209728386407</c:v>
                </c:pt>
                <c:pt idx="31">
                  <c:v>236.43267338641553</c:v>
                </c:pt>
                <c:pt idx="32">
                  <c:v>252.59797413681909</c:v>
                </c:pt>
                <c:pt idx="33">
                  <c:v>268.73984484198553</c:v>
                </c:pt>
                <c:pt idx="34">
                  <c:v>284.85989094555777</c:v>
                </c:pt>
                <c:pt idx="35">
                  <c:v>300.95952130477968</c:v>
                </c:pt>
                <c:pt idx="36">
                  <c:v>236.43267338641553</c:v>
                </c:pt>
                <c:pt idx="37">
                  <c:v>250.71952474895636</c:v>
                </c:pt>
                <c:pt idx="38">
                  <c:v>264.98792439409277</c:v>
                </c:pt>
                <c:pt idx="39">
                  <c:v>279.23900597474045</c:v>
                </c:pt>
                <c:pt idx="40">
                  <c:v>293.47377793906486</c:v>
                </c:pt>
                <c:pt idx="41">
                  <c:v>305.82302433005208</c:v>
                </c:pt>
                <c:pt idx="42">
                  <c:v>318.16118821698814</c:v>
                </c:pt>
                <c:pt idx="43">
                  <c:v>330.48876005573726</c:v>
                </c:pt>
                <c:pt idx="44">
                  <c:v>342.80619071488059</c:v>
                </c:pt>
                <c:pt idx="45">
                  <c:v>355.11389600890431</c:v>
                </c:pt>
                <c:pt idx="46">
                  <c:v>292.35055150938035</c:v>
                </c:pt>
                <c:pt idx="47">
                  <c:v>302.45616879398875</c:v>
                </c:pt>
                <c:pt idx="48">
                  <c:v>312.55427347160997</c:v>
                </c:pt>
                <c:pt idx="49">
                  <c:v>322.6451426246872</c:v>
                </c:pt>
                <c:pt idx="50">
                  <c:v>332.72903457884451</c:v>
                </c:pt>
                <c:pt idx="51">
                  <c:v>341.68683217968459</c:v>
                </c:pt>
                <c:pt idx="52">
                  <c:v>350.63946715468188</c:v>
                </c:pt>
                <c:pt idx="53">
                  <c:v>359.58708999068585</c:v>
                </c:pt>
                <c:pt idx="54">
                  <c:v>368.52984306951663</c:v>
                </c:pt>
                <c:pt idx="55">
                  <c:v>377.46786129486031</c:v>
                </c:pt>
                <c:pt idx="56">
                  <c:v>340.56739298972934</c:v>
                </c:pt>
                <c:pt idx="57">
                  <c:v>348.40178403373949</c:v>
                </c:pt>
                <c:pt idx="58">
                  <c:v>356.23230957994457</c:v>
                </c:pt>
                <c:pt idx="59">
                  <c:v>364.05906664989806</c:v>
                </c:pt>
                <c:pt idx="60">
                  <c:v>371.88214774985937</c:v>
                </c:pt>
                <c:pt idx="61">
                  <c:v>377.84017788163402</c:v>
                </c:pt>
                <c:pt idx="62">
                  <c:v>383.79616295666898</c:v>
                </c:pt>
                <c:pt idx="63">
                  <c:v>389.75013922020366</c:v>
                </c:pt>
                <c:pt idx="64">
                  <c:v>395.70214171866616</c:v>
                </c:pt>
                <c:pt idx="65">
                  <c:v>401.65220435716355</c:v>
                </c:pt>
                <c:pt idx="66">
                  <c:v>375.60615822359949</c:v>
                </c:pt>
                <c:pt idx="67">
                  <c:v>381.19066877305676</c:v>
                </c:pt>
                <c:pt idx="68">
                  <c:v>386.7733999720669</c:v>
                </c:pt>
                <c:pt idx="69">
                  <c:v>392.35438115419703</c:v>
                </c:pt>
                <c:pt idx="70">
                  <c:v>397.93364074958481</c:v>
                </c:pt>
                <c:pt idx="71">
                  <c:v>402.76762782233112</c:v>
                </c:pt>
                <c:pt idx="72">
                  <c:v>407.60035995338347</c:v>
                </c:pt>
                <c:pt idx="73">
                  <c:v>412.4318541373803</c:v>
                </c:pt>
                <c:pt idx="74">
                  <c:v>417.26212693788665</c:v>
                </c:pt>
                <c:pt idx="75">
                  <c:v>422.091194503304</c:v>
                </c:pt>
                <c:pt idx="76">
                  <c:v>426.54773922354394</c:v>
                </c:pt>
                <c:pt idx="77">
                  <c:v>431.00328251520631</c:v>
                </c:pt>
                <c:pt idx="78">
                  <c:v>435.45783620208459</c:v>
                </c:pt>
                <c:pt idx="79">
                  <c:v>439.91141184608779</c:v>
                </c:pt>
                <c:pt idx="80">
                  <c:v>444.36402075569316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8870512"/>
        <c:axId val="458079808"/>
      </c:scatterChart>
      <c:valAx>
        <c:axId val="1088705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58079808"/>
        <c:crosses val="autoZero"/>
        <c:crossBetween val="midCat"/>
      </c:valAx>
      <c:valAx>
        <c:axId val="4580798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088705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2.226622737697221</c:v>
                </c:pt>
                <c:pt idx="2">
                  <c:v>2.8625265097424397</c:v>
                </c:pt>
                <c:pt idx="3">
                  <c:v>3.6807673232046039</c:v>
                </c:pt>
                <c:pt idx="4">
                  <c:v>4.7338249191760466</c:v>
                </c:pt>
                <c:pt idx="5">
                  <c:v>6.0893366647592657</c:v>
                </c:pt>
                <c:pt idx="6">
                  <c:v>7.8344897360718626</c:v>
                </c:pt>
                <c:pt idx="7">
                  <c:v>10.081689817520575</c:v>
                </c:pt>
                <c:pt idx="8">
                  <c:v>12.975878330143091</c:v>
                </c:pt>
                <c:pt idx="9">
                  <c:v>16.70397888629628</c:v>
                </c:pt>
                <c:pt idx="10">
                  <c:v>21.507094176298665</c:v>
                </c:pt>
                <c:pt idx="11">
                  <c:v>27.696256162013025</c:v>
                </c:pt>
                <c:pt idx="12">
                  <c:v>35.672767364515572</c:v>
                </c:pt>
                <c:pt idx="13">
                  <c:v>45.954474822239945</c:v>
                </c:pt>
                <c:pt idx="14">
                  <c:v>59.209711195430032</c:v>
                </c:pt>
                <c:pt idx="15">
                  <c:v>76.301145689172856</c:v>
                </c:pt>
                <c:pt idx="16">
                  <c:v>88.457340034120918</c:v>
                </c:pt>
                <c:pt idx="17">
                  <c:v>100.57156022593183</c:v>
                </c:pt>
                <c:pt idx="18">
                  <c:v>112.64958590196655</c:v>
                </c:pt>
                <c:pt idx="19">
                  <c:v>124.69585112217392</c:v>
                </c:pt>
                <c:pt idx="20">
                  <c:v>136.71386058122562</c:v>
                </c:pt>
                <c:pt idx="21">
                  <c:v>149.08083642624183</c:v>
                </c:pt>
                <c:pt idx="22">
                  <c:v>161.42333771015896</c:v>
                </c:pt>
                <c:pt idx="23">
                  <c:v>173.74350098129582</c:v>
                </c:pt>
                <c:pt idx="24">
                  <c:v>186.04313457943746</c:v>
                </c:pt>
                <c:pt idx="25">
                  <c:v>198.3237879023018</c:v>
                </c:pt>
                <c:pt idx="26">
                  <c:v>151.32668038460233</c:v>
                </c:pt>
                <c:pt idx="27">
                  <c:v>163.10463194167394</c:v>
                </c:pt>
                <c:pt idx="28">
                  <c:v>174.86247286052662</c:v>
                </c:pt>
                <c:pt idx="29">
                  <c:v>186.60174701218963</c:v>
                </c:pt>
                <c:pt idx="30">
                  <c:v>198.3237879023018</c:v>
                </c:pt>
                <c:pt idx="31">
                  <c:v>209.47268002053463</c:v>
                </c:pt>
                <c:pt idx="32">
                  <c:v>220.60788240530158</c:v>
                </c:pt>
                <c:pt idx="33">
                  <c:v>231.73018391404943</c:v>
                </c:pt>
                <c:pt idx="34">
                  <c:v>242.84029142815552</c:v>
                </c:pt>
                <c:pt idx="35">
                  <c:v>253.93884181380466</c:v>
                </c:pt>
                <c:pt idx="36">
                  <c:v>215.22752536323185</c:v>
                </c:pt>
                <c:pt idx="37">
                  <c:v>225.61447053517361</c:v>
                </c:pt>
                <c:pt idx="38">
                  <c:v>235.99046358292765</c:v>
                </c:pt>
                <c:pt idx="39">
                  <c:v>246.35605429682815</c:v>
                </c:pt>
                <c:pt idx="40">
                  <c:v>256.71174238331611</c:v>
                </c:pt>
                <c:pt idx="41">
                  <c:v>266.50395342082282</c:v>
                </c:pt>
                <c:pt idx="42">
                  <c:v>276.28805817875133</c:v>
                </c:pt>
                <c:pt idx="43">
                  <c:v>286.06438440827782</c:v>
                </c:pt>
                <c:pt idx="44">
                  <c:v>295.83323561247477</c:v>
                </c:pt>
                <c:pt idx="45">
                  <c:v>305.59489359914369</c:v>
                </c:pt>
                <c:pt idx="46">
                  <c:v>265.76520570407018</c:v>
                </c:pt>
                <c:pt idx="47">
                  <c:v>274.81171839209077</c:v>
                </c:pt>
                <c:pt idx="48">
                  <c:v>283.85154171752492</c:v>
                </c:pt>
                <c:pt idx="49">
                  <c:v>292.88491893596591</c:v>
                </c:pt>
                <c:pt idx="50">
                  <c:v>301.91207706001927</c:v>
                </c:pt>
                <c:pt idx="51">
                  <c:v>310.19702819862067</c:v>
                </c:pt>
                <c:pt idx="52">
                  <c:v>318.47706788363627</c:v>
                </c:pt>
                <c:pt idx="53">
                  <c:v>326.75234192487511</c:v>
                </c:pt>
                <c:pt idx="54">
                  <c:v>335.02298813768715</c:v>
                </c:pt>
                <c:pt idx="55">
                  <c:v>343.28913697215444</c:v>
                </c:pt>
                <c:pt idx="56">
                  <c:v>305.96312075604669</c:v>
                </c:pt>
                <c:pt idx="57">
                  <c:v>313.69363540885166</c:v>
                </c:pt>
                <c:pt idx="58">
                  <c:v>321.41992623463261</c:v>
                </c:pt>
                <c:pt idx="59">
                  <c:v>329.14210918127691</c:v>
                </c:pt>
                <c:pt idx="60">
                  <c:v>336.86029430705372</c:v>
                </c:pt>
                <c:pt idx="61">
                  <c:v>344.2073257714755</c:v>
                </c:pt>
                <c:pt idx="62">
                  <c:v>351.55091207847835</c:v>
                </c:pt>
                <c:pt idx="63">
                  <c:v>358.89113540947892</c:v>
                </c:pt>
                <c:pt idx="64">
                  <c:v>366.22807430704466</c:v>
                </c:pt>
                <c:pt idx="65">
                  <c:v>373.56180390729855</c:v>
                </c:pt>
                <c:pt idx="66">
                  <c:v>340.35056918220118</c:v>
                </c:pt>
                <c:pt idx="67">
                  <c:v>347.51236094515139</c:v>
                </c:pt>
                <c:pt idx="68">
                  <c:v>354.67091326876107</c:v>
                </c:pt>
                <c:pt idx="69">
                  <c:v>361.82630081896724</c:v>
                </c:pt>
                <c:pt idx="70">
                  <c:v>368.97859506497747</c:v>
                </c:pt>
                <c:pt idx="71">
                  <c:v>375.57802655568088</c:v>
                </c:pt>
                <c:pt idx="72">
                  <c:v>382.17493242028701</c:v>
                </c:pt>
                <c:pt idx="73">
                  <c:v>388.76936244388736</c:v>
                </c:pt>
                <c:pt idx="74">
                  <c:v>395.36136458336085</c:v>
                </c:pt>
                <c:pt idx="75">
                  <c:v>401.9509850645498</c:v>
                </c:pt>
                <c:pt idx="76">
                  <c:v>368.61188489876866</c:v>
                </c:pt>
                <c:pt idx="77">
                  <c:v>374.66159103269359</c:v>
                </c:pt>
                <c:pt idx="78">
                  <c:v>380.70916902435778</c:v>
                </c:pt>
                <c:pt idx="79">
                  <c:v>386.75465748199412</c:v>
                </c:pt>
                <c:pt idx="80">
                  <c:v>392.79809370720199</c:v>
                </c:pt>
                <c:pt idx="81">
                  <c:v>398.65646970722736</c:v>
                </c:pt>
                <c:pt idx="82">
                  <c:v>404.51298169693911</c:v>
                </c:pt>
                <c:pt idx="83">
                  <c:v>410.3676604956475</c:v>
                </c:pt>
                <c:pt idx="84">
                  <c:v>416.2205359707321</c:v>
                </c:pt>
                <c:pt idx="85">
                  <c:v>422.07163708031618</c:v>
                </c:pt>
                <c:pt idx="86">
                  <c:v>391.88255202569809</c:v>
                </c:pt>
                <c:pt idx="87">
                  <c:v>397.37511032418206</c:v>
                </c:pt>
                <c:pt idx="88">
                  <c:v>402.86602430053199</c:v>
                </c:pt>
                <c:pt idx="89">
                  <c:v>408.35531955034389</c:v>
                </c:pt>
                <c:pt idx="90">
                  <c:v>413.84302092427475</c:v>
                </c:pt>
                <c:pt idx="91">
                  <c:v>419.1463065457321</c:v>
                </c:pt>
                <c:pt idx="92">
                  <c:v>424.44814653245072</c:v>
                </c:pt>
                <c:pt idx="93">
                  <c:v>429.74856150658394</c:v>
                </c:pt>
                <c:pt idx="94">
                  <c:v>435.04757153962402</c:v>
                </c:pt>
                <c:pt idx="95">
                  <c:v>440.3451961737847</c:v>
                </c:pt>
                <c:pt idx="96">
                  <c:v>411.64813007939989</c:v>
                </c:pt>
                <c:pt idx="97">
                  <c:v>416.7691516343059</c:v>
                </c:pt>
                <c:pt idx="98">
                  <c:v>421.88881674752474</c:v>
                </c:pt>
                <c:pt idx="99">
                  <c:v>427.00714421800632</c:v>
                </c:pt>
                <c:pt idx="100">
                  <c:v>432.12415235683972</c:v>
                </c:pt>
                <c:pt idx="101">
                  <c:v>436.69180930289593</c:v>
                </c:pt>
                <c:pt idx="102">
                  <c:v>441.25844110945718</c:v>
                </c:pt>
                <c:pt idx="103">
                  <c:v>445.82405989308518</c:v>
                </c:pt>
                <c:pt idx="104">
                  <c:v>450.38867750169101</c:v>
                </c:pt>
                <c:pt idx="105">
                  <c:v>454.95230552321573</c:v>
                </c:pt>
                <c:pt idx="106">
                  <c:v>459.69744109486152</c:v>
                </c:pt>
                <c:pt idx="107">
                  <c:v>464.44153106100742</c:v>
                </c:pt>
                <c:pt idx="108">
                  <c:v>469.18458761820108</c:v>
                </c:pt>
                <c:pt idx="109">
                  <c:v>473.92662269607325</c:v>
                </c:pt>
                <c:pt idx="110">
                  <c:v>478.66764796585034</c:v>
                </c:pt>
                <c:pt idx="111">
                  <c:v>4.0650021179971913E-12</c:v>
                </c:pt>
                <c:pt idx="112">
                  <c:v>4.0650021179971913E-12</c:v>
                </c:pt>
                <c:pt idx="113">
                  <c:v>4.0650021179971913E-12</c:v>
                </c:pt>
                <c:pt idx="114">
                  <c:v>4.0650021179971913E-12</c:v>
                </c:pt>
                <c:pt idx="115">
                  <c:v>4.0650021179971913E-12</c:v>
                </c:pt>
                <c:pt idx="116">
                  <c:v>4.0650021179971913E-12</c:v>
                </c:pt>
                <c:pt idx="117">
                  <c:v>4.0650021179971913E-12</c:v>
                </c:pt>
                <c:pt idx="118">
                  <c:v>4.0650021179971913E-12</c:v>
                </c:pt>
                <c:pt idx="119">
                  <c:v>4.0650021179971913E-12</c:v>
                </c:pt>
                <c:pt idx="120">
                  <c:v>4.0650021179971913E-12</c:v>
                </c:pt>
                <c:pt idx="121">
                  <c:v>4.0650021179971913E-12</c:v>
                </c:pt>
                <c:pt idx="122">
                  <c:v>4.0650021179971913E-12</c:v>
                </c:pt>
                <c:pt idx="123">
                  <c:v>4.0650021179971913E-12</c:v>
                </c:pt>
                <c:pt idx="124">
                  <c:v>4.0650021179971913E-12</c:v>
                </c:pt>
                <c:pt idx="125">
                  <c:v>4.0650021179971913E-12</c:v>
                </c:pt>
                <c:pt idx="126">
                  <c:v>4.0650021179971913E-12</c:v>
                </c:pt>
                <c:pt idx="127">
                  <c:v>4.0650021179971913E-12</c:v>
                </c:pt>
                <c:pt idx="128">
                  <c:v>4.0650021179971913E-12</c:v>
                </c:pt>
                <c:pt idx="129">
                  <c:v>4.0650021179971913E-12</c:v>
                </c:pt>
                <c:pt idx="130">
                  <c:v>4.0650021179971913E-12</c:v>
                </c:pt>
                <c:pt idx="131">
                  <c:v>4.0650021179971913E-12</c:v>
                </c:pt>
                <c:pt idx="132">
                  <c:v>4.0650021179971913E-12</c:v>
                </c:pt>
                <c:pt idx="133">
                  <c:v>4.0650021179971913E-12</c:v>
                </c:pt>
                <c:pt idx="134">
                  <c:v>4.0650021179971913E-12</c:v>
                </c:pt>
                <c:pt idx="135">
                  <c:v>4.0650021179971913E-12</c:v>
                </c:pt>
                <c:pt idx="136">
                  <c:v>4.0650021179971913E-12</c:v>
                </c:pt>
                <c:pt idx="137">
                  <c:v>4.0650021179971913E-12</c:v>
                </c:pt>
                <c:pt idx="138">
                  <c:v>4.0650021179971913E-12</c:v>
                </c:pt>
                <c:pt idx="139">
                  <c:v>4.0650021179971913E-12</c:v>
                </c:pt>
                <c:pt idx="140">
                  <c:v>4.0650021179971913E-12</c:v>
                </c:pt>
                <c:pt idx="141">
                  <c:v>4.0650021179971913E-12</c:v>
                </c:pt>
                <c:pt idx="142">
                  <c:v>4.0650021179971913E-12</c:v>
                </c:pt>
                <c:pt idx="143">
                  <c:v>4.0650021179971913E-12</c:v>
                </c:pt>
                <c:pt idx="144">
                  <c:v>4.0650021179971913E-12</c:v>
                </c:pt>
                <c:pt idx="145">
                  <c:v>4.0650021179971913E-12</c:v>
                </c:pt>
                <c:pt idx="146">
                  <c:v>4.0650021179971913E-12</c:v>
                </c:pt>
                <c:pt idx="147">
                  <c:v>4.0650021179971913E-12</c:v>
                </c:pt>
                <c:pt idx="148">
                  <c:v>4.0650021179971913E-12</c:v>
                </c:pt>
                <c:pt idx="149">
                  <c:v>4.0650021179971913E-12</c:v>
                </c:pt>
                <c:pt idx="150">
                  <c:v>4.0650021179971913E-12</c:v>
                </c:pt>
                <c:pt idx="151">
                  <c:v>4.0650021179971913E-12</c:v>
                </c:pt>
                <c:pt idx="152">
                  <c:v>4.0650021179971913E-12</c:v>
                </c:pt>
                <c:pt idx="153">
                  <c:v>4.0650021179971913E-12</c:v>
                </c:pt>
                <c:pt idx="154">
                  <c:v>4.0650021179971913E-12</c:v>
                </c:pt>
                <c:pt idx="155">
                  <c:v>4.0650021179971913E-12</c:v>
                </c:pt>
                <c:pt idx="156">
                  <c:v>4.0650021179971913E-12</c:v>
                </c:pt>
                <c:pt idx="157">
                  <c:v>4.0650021179971913E-12</c:v>
                </c:pt>
                <c:pt idx="158">
                  <c:v>4.0650021179971913E-12</c:v>
                </c:pt>
                <c:pt idx="159">
                  <c:v>4.0650021179971913E-12</c:v>
                </c:pt>
                <c:pt idx="160">
                  <c:v>4.0650021179971913E-12</c:v>
                </c:pt>
                <c:pt idx="161">
                  <c:v>4.0650021179971913E-12</c:v>
                </c:pt>
                <c:pt idx="162">
                  <c:v>4.0650021179971913E-12</c:v>
                </c:pt>
                <c:pt idx="163">
                  <c:v>4.0650021179971913E-12</c:v>
                </c:pt>
                <c:pt idx="164">
                  <c:v>4.0650021179971913E-12</c:v>
                </c:pt>
                <c:pt idx="165">
                  <c:v>4.0650021179971913E-12</c:v>
                </c:pt>
                <c:pt idx="166">
                  <c:v>4.0650021179971913E-12</c:v>
                </c:pt>
                <c:pt idx="167">
                  <c:v>4.0650021179971913E-12</c:v>
                </c:pt>
                <c:pt idx="168">
                  <c:v>4.0650021179971913E-12</c:v>
                </c:pt>
                <c:pt idx="169">
                  <c:v>4.0650021179971913E-12</c:v>
                </c:pt>
                <c:pt idx="170">
                  <c:v>4.0650021179971913E-12</c:v>
                </c:pt>
                <c:pt idx="171">
                  <c:v>4.0650021179971913E-12</c:v>
                </c:pt>
                <c:pt idx="172">
                  <c:v>4.0650021179971913E-12</c:v>
                </c:pt>
                <c:pt idx="173">
                  <c:v>4.0650021179971913E-12</c:v>
                </c:pt>
                <c:pt idx="174">
                  <c:v>4.0650021179971913E-12</c:v>
                </c:pt>
                <c:pt idx="175">
                  <c:v>4.0650021179971913E-12</c:v>
                </c:pt>
                <c:pt idx="176">
                  <c:v>4.0650021179971913E-12</c:v>
                </c:pt>
                <c:pt idx="177">
                  <c:v>4.0650021179971913E-12</c:v>
                </c:pt>
                <c:pt idx="178">
                  <c:v>4.0650021179971913E-12</c:v>
                </c:pt>
                <c:pt idx="179">
                  <c:v>4.0650021179971913E-12</c:v>
                </c:pt>
                <c:pt idx="180">
                  <c:v>4.0650021179971913E-12</c:v>
                </c:pt>
                <c:pt idx="181">
                  <c:v>4.0650021179971913E-12</c:v>
                </c:pt>
                <c:pt idx="182">
                  <c:v>4.0650021179971913E-12</c:v>
                </c:pt>
                <c:pt idx="183">
                  <c:v>4.0650021179971913E-12</c:v>
                </c:pt>
                <c:pt idx="184">
                  <c:v>4.0650021179971913E-12</c:v>
                </c:pt>
                <c:pt idx="185">
                  <c:v>4.0650021179971913E-12</c:v>
                </c:pt>
                <c:pt idx="186">
                  <c:v>4.0650021179971913E-12</c:v>
                </c:pt>
                <c:pt idx="187">
                  <c:v>4.0650021179971913E-12</c:v>
                </c:pt>
                <c:pt idx="188">
                  <c:v>4.0650021179971913E-12</c:v>
                </c:pt>
                <c:pt idx="189">
                  <c:v>4.0650021179971913E-12</c:v>
                </c:pt>
                <c:pt idx="190">
                  <c:v>4.0650021179971913E-12</c:v>
                </c:pt>
                <c:pt idx="191">
                  <c:v>4.0650021179971913E-12</c:v>
                </c:pt>
                <c:pt idx="192">
                  <c:v>4.0650021179971913E-12</c:v>
                </c:pt>
                <c:pt idx="193">
                  <c:v>4.0650021179971913E-12</c:v>
                </c:pt>
                <c:pt idx="194">
                  <c:v>4.0650021179971913E-12</c:v>
                </c:pt>
                <c:pt idx="195">
                  <c:v>4.0650021179971913E-12</c:v>
                </c:pt>
                <c:pt idx="196">
                  <c:v>4.0650021179971913E-12</c:v>
                </c:pt>
                <c:pt idx="197">
                  <c:v>4.0650021179971913E-12</c:v>
                </c:pt>
                <c:pt idx="198">
                  <c:v>4.0650021179971913E-12</c:v>
                </c:pt>
                <c:pt idx="199">
                  <c:v>4.0650021179971913E-12</c:v>
                </c:pt>
                <c:pt idx="200">
                  <c:v>4.0650021179971913E-12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58085248"/>
        <c:axId val="458073824"/>
      </c:scatterChart>
      <c:valAx>
        <c:axId val="45808524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58073824"/>
        <c:crosses val="autoZero"/>
        <c:crossBetween val="midCat"/>
      </c:valAx>
      <c:valAx>
        <c:axId val="4580738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5808524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58075456"/>
        <c:axId val="458087424"/>
      </c:scatterChart>
      <c:valAx>
        <c:axId val="4580754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58087424"/>
        <c:crosses val="autoZero"/>
        <c:crossBetween val="midCat"/>
      </c:valAx>
      <c:valAx>
        <c:axId val="4580874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580754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58081440"/>
        <c:axId val="458080896"/>
      </c:scatterChart>
      <c:valAx>
        <c:axId val="45808144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58080896"/>
        <c:crosses val="autoZero"/>
        <c:crossBetween val="midCat"/>
      </c:valAx>
      <c:valAx>
        <c:axId val="458080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5808144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58072192"/>
        <c:axId val="458076000"/>
      </c:scatterChart>
      <c:valAx>
        <c:axId val="45807219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58076000"/>
        <c:crosses val="autoZero"/>
        <c:crossBetween val="midCat"/>
      </c:valAx>
      <c:valAx>
        <c:axId val="4580760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5807219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58074368"/>
        <c:axId val="458074912"/>
      </c:scatterChart>
      <c:valAx>
        <c:axId val="4580743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58074912"/>
        <c:crosses val="autoZero"/>
        <c:crossBetween val="midCat"/>
      </c:valAx>
      <c:valAx>
        <c:axId val="458074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580743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=""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=""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=""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=""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=""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=""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=""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=""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=""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=""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1" t="s">
        <v>291</v>
      </c>
      <c r="C12" s="291"/>
      <c r="D12" s="291"/>
      <c r="E12" s="291"/>
      <c r="F12" s="291"/>
      <c r="G12" s="291"/>
      <c r="H12" s="291"/>
      <c r="I12" s="291"/>
      <c r="J12" s="291"/>
      <c r="K12" s="291"/>
      <c r="L12" s="291"/>
      <c r="M12" s="291"/>
    </row>
    <row r="13" spans="2:13" ht="15" customHeight="1" x14ac:dyDescent="0.25">
      <c r="B13" s="291"/>
      <c r="C13" s="291"/>
      <c r="D13" s="291"/>
      <c r="E13" s="291"/>
      <c r="F13" s="291"/>
      <c r="G13" s="291"/>
      <c r="H13" s="291"/>
      <c r="I13" s="291"/>
      <c r="J13" s="291"/>
      <c r="K13" s="291"/>
      <c r="L13" s="291"/>
      <c r="M13" s="291"/>
    </row>
    <row r="14" spans="2:13" ht="15" customHeight="1" x14ac:dyDescent="0.25">
      <c r="B14" s="291"/>
      <c r="C14" s="291"/>
      <c r="D14" s="291"/>
      <c r="E14" s="291"/>
      <c r="F14" s="291"/>
      <c r="G14" s="291"/>
      <c r="H14" s="291"/>
      <c r="I14" s="291"/>
      <c r="J14" s="291"/>
      <c r="K14" s="291"/>
      <c r="L14" s="291"/>
      <c r="M14" s="291"/>
    </row>
    <row r="15" spans="2:13" ht="18.75" customHeight="1" x14ac:dyDescent="0.25">
      <c r="B15" s="291"/>
      <c r="C15" s="291"/>
      <c r="D15" s="291"/>
      <c r="E15" s="291"/>
      <c r="F15" s="291"/>
      <c r="G15" s="291"/>
      <c r="H15" s="291"/>
      <c r="I15" s="291"/>
      <c r="J15" s="291"/>
      <c r="K15" s="291"/>
      <c r="L15" s="291"/>
      <c r="M15" s="291"/>
    </row>
    <row r="16" spans="2:13" ht="18.75" customHeight="1" x14ac:dyDescent="0.25">
      <c r="B16" s="291"/>
      <c r="C16" s="291"/>
      <c r="D16" s="291"/>
      <c r="E16" s="291"/>
      <c r="F16" s="291"/>
      <c r="G16" s="291"/>
      <c r="H16" s="291"/>
      <c r="I16" s="291"/>
      <c r="J16" s="291"/>
      <c r="K16" s="291"/>
      <c r="L16" s="291"/>
      <c r="M16" s="291"/>
    </row>
    <row r="18" spans="2:13" ht="12" customHeight="1" x14ac:dyDescent="0.25">
      <c r="B18" s="291" t="s">
        <v>292</v>
      </c>
      <c r="C18" s="291"/>
      <c r="D18" s="291"/>
      <c r="E18" s="291"/>
      <c r="F18" s="291"/>
      <c r="G18" s="291"/>
      <c r="H18" s="291"/>
      <c r="I18" s="291"/>
      <c r="J18" s="291"/>
      <c r="K18" s="291"/>
      <c r="L18" s="291"/>
      <c r="M18" s="291"/>
    </row>
    <row r="19" spans="2:13" ht="12" customHeight="1" x14ac:dyDescent="0.25">
      <c r="B19" s="291"/>
      <c r="C19" s="291"/>
      <c r="D19" s="291"/>
      <c r="E19" s="291"/>
      <c r="F19" s="291"/>
      <c r="G19" s="291"/>
      <c r="H19" s="291"/>
      <c r="I19" s="291"/>
      <c r="J19" s="291"/>
      <c r="K19" s="291"/>
      <c r="L19" s="291"/>
      <c r="M19" s="291"/>
    </row>
    <row r="20" spans="2:13" ht="12" customHeight="1" x14ac:dyDescent="0.25">
      <c r="B20" s="291"/>
      <c r="C20" s="291"/>
      <c r="D20" s="291"/>
      <c r="E20" s="291"/>
      <c r="F20" s="291"/>
      <c r="G20" s="291"/>
      <c r="H20" s="291"/>
      <c r="I20" s="291"/>
      <c r="J20" s="291"/>
      <c r="K20" s="291"/>
      <c r="L20" s="291"/>
      <c r="M20" s="291"/>
    </row>
    <row r="21" spans="2:13" ht="12" customHeight="1" x14ac:dyDescent="0.25">
      <c r="B21" s="291"/>
      <c r="C21" s="291"/>
      <c r="D21" s="291"/>
      <c r="E21" s="291"/>
      <c r="F21" s="291"/>
      <c r="G21" s="291"/>
      <c r="H21" s="291"/>
      <c r="I21" s="291"/>
      <c r="J21" s="291"/>
      <c r="K21" s="291"/>
      <c r="L21" s="291"/>
      <c r="M21" s="291"/>
    </row>
    <row r="22" spans="2:13" ht="12" customHeight="1" x14ac:dyDescent="0.25">
      <c r="B22" s="291"/>
      <c r="C22" s="291"/>
      <c r="D22" s="291"/>
      <c r="E22" s="291"/>
      <c r="F22" s="291"/>
      <c r="G22" s="291"/>
      <c r="H22" s="291"/>
      <c r="I22" s="291"/>
      <c r="J22" s="291"/>
      <c r="K22" s="291"/>
      <c r="L22" s="291"/>
      <c r="M22" s="291"/>
    </row>
    <row r="23" spans="2:13" ht="12" customHeight="1" x14ac:dyDescent="0.25">
      <c r="B23" s="291"/>
      <c r="C23" s="291"/>
      <c r="D23" s="291"/>
      <c r="E23" s="291"/>
      <c r="F23" s="291"/>
      <c r="G23" s="291"/>
      <c r="H23" s="291"/>
      <c r="I23" s="291"/>
      <c r="J23" s="291"/>
      <c r="K23" s="291"/>
      <c r="L23" s="291"/>
      <c r="M23" s="291"/>
    </row>
    <row r="24" spans="2:13" ht="12" customHeight="1" x14ac:dyDescent="0.25">
      <c r="B24" s="291"/>
      <c r="C24" s="291"/>
      <c r="D24" s="291"/>
      <c r="E24" s="291"/>
      <c r="F24" s="291"/>
      <c r="G24" s="291"/>
      <c r="H24" s="291"/>
      <c r="I24" s="291"/>
      <c r="J24" s="291"/>
      <c r="K24" s="291"/>
      <c r="L24" s="291"/>
      <c r="M24" s="291"/>
    </row>
    <row r="25" spans="2:13" ht="12" customHeight="1" x14ac:dyDescent="0.25">
      <c r="B25" s="291"/>
      <c r="C25" s="291"/>
      <c r="D25" s="291"/>
      <c r="E25" s="291"/>
      <c r="F25" s="291"/>
      <c r="G25" s="291"/>
      <c r="H25" s="291"/>
      <c r="I25" s="291"/>
      <c r="J25" s="291"/>
      <c r="K25" s="291"/>
      <c r="L25" s="291"/>
      <c r="M25" s="291"/>
    </row>
    <row r="26" spans="2:13" ht="12" customHeight="1" x14ac:dyDescent="0.25">
      <c r="B26" s="291"/>
      <c r="C26" s="291"/>
      <c r="D26" s="291"/>
      <c r="E26" s="291"/>
      <c r="F26" s="291"/>
      <c r="G26" s="291"/>
      <c r="H26" s="291"/>
      <c r="I26" s="291"/>
      <c r="J26" s="291"/>
      <c r="K26" s="291"/>
      <c r="L26" s="291"/>
      <c r="M26" s="291"/>
    </row>
    <row r="27" spans="2:13" ht="12" customHeight="1" x14ac:dyDescent="0.25">
      <c r="B27" s="291"/>
      <c r="C27" s="291"/>
      <c r="D27" s="291"/>
      <c r="E27" s="291"/>
      <c r="F27" s="291"/>
      <c r="G27" s="291"/>
      <c r="H27" s="291"/>
      <c r="I27" s="291"/>
      <c r="J27" s="291"/>
      <c r="K27" s="291"/>
      <c r="L27" s="291"/>
      <c r="M27" s="291"/>
    </row>
    <row r="28" spans="2:13" ht="12" customHeight="1" x14ac:dyDescent="0.25">
      <c r="B28" s="291"/>
      <c r="C28" s="291"/>
      <c r="D28" s="291"/>
      <c r="E28" s="291"/>
      <c r="F28" s="291"/>
      <c r="G28" s="291"/>
      <c r="H28" s="291"/>
      <c r="I28" s="291"/>
      <c r="J28" s="291"/>
      <c r="K28" s="291"/>
      <c r="L28" s="291"/>
      <c r="M28" s="291"/>
    </row>
    <row r="29" spans="2:13" ht="12" customHeight="1" x14ac:dyDescent="0.25">
      <c r="B29" s="291"/>
      <c r="C29" s="291"/>
      <c r="D29" s="291"/>
      <c r="E29" s="291"/>
      <c r="F29" s="291"/>
      <c r="G29" s="291"/>
      <c r="H29" s="291"/>
      <c r="I29" s="291"/>
      <c r="J29" s="291"/>
      <c r="K29" s="291"/>
      <c r="L29" s="291"/>
      <c r="M29" s="291"/>
    </row>
    <row r="30" spans="2:13" ht="12" customHeight="1" x14ac:dyDescent="0.25">
      <c r="B30" s="291"/>
      <c r="C30" s="291"/>
      <c r="D30" s="291"/>
      <c r="E30" s="291"/>
      <c r="F30" s="291"/>
      <c r="G30" s="291"/>
      <c r="H30" s="291"/>
      <c r="I30" s="291"/>
      <c r="J30" s="291"/>
      <c r="K30" s="291"/>
      <c r="L30" s="291"/>
      <c r="M30" s="291"/>
    </row>
    <row r="31" spans="2:13" ht="12" customHeight="1" x14ac:dyDescent="0.25">
      <c r="B31" s="291"/>
      <c r="C31" s="291"/>
      <c r="D31" s="291"/>
      <c r="E31" s="291"/>
      <c r="F31" s="291"/>
      <c r="G31" s="291"/>
      <c r="H31" s="291"/>
      <c r="I31" s="291"/>
      <c r="J31" s="291"/>
      <c r="K31" s="291"/>
      <c r="L31" s="291"/>
      <c r="M31" s="291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"/>
  <dimension ref="A1:AS427"/>
  <sheetViews>
    <sheetView zoomScale="80" zoomScaleNormal="80" workbookViewId="0">
      <selection activeCell="C6" sqref="C6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6" t="s">
        <v>190</v>
      </c>
      <c r="D1" s="296"/>
      <c r="E1" s="296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7" t="s">
        <v>192</v>
      </c>
      <c r="C3" s="298"/>
      <c r="D3" s="298"/>
      <c r="E3" s="298"/>
      <c r="F3" s="299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3" t="s">
        <v>231</v>
      </c>
      <c r="B5" s="303"/>
      <c r="C5" s="26">
        <v>0.9</v>
      </c>
      <c r="D5" s="304" t="s">
        <v>229</v>
      </c>
      <c r="E5" s="305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01" t="s">
        <v>226</v>
      </c>
      <c r="B7" s="301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14</v>
      </c>
      <c r="C9" s="35">
        <v>0.6</v>
      </c>
      <c r="D9" s="36">
        <f t="shared" ref="D9:D18" si="0">C9*$C$5</f>
        <v>0.54</v>
      </c>
      <c r="E9" s="37">
        <v>150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 t="s">
        <v>6</v>
      </c>
      <c r="C10" s="35">
        <v>0.1</v>
      </c>
      <c r="D10" s="36">
        <f t="shared" si="0"/>
        <v>9.0000000000000011E-2</v>
      </c>
      <c r="E10" s="37">
        <v>120</v>
      </c>
      <c r="F10" s="38" t="str">
        <f t="array" ref="F10">IF(E10="","",IF(INDEX(A:A,MAX(IF(ISNUMBER($A$62:$A$81),ROW($A$62:$A$81),"")))&lt;&gt;E10,"Corrigez : révolution incorrecte","OK"))</f>
        <v>OK</v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 t="s">
        <v>1</v>
      </c>
      <c r="C11" s="35">
        <v>0.1</v>
      </c>
      <c r="D11" s="36">
        <f t="shared" si="0"/>
        <v>9.0000000000000011E-2</v>
      </c>
      <c r="E11" s="37">
        <v>150</v>
      </c>
      <c r="F11" s="38" t="str">
        <f t="array" ref="F11">IF(E11="","",IF(INDEX(A:A,MAX(IF(ISNUMBER($A$88:$A$107),ROW($A$88:$A$107),"")))&lt;&gt;E11,"Corrigez : révolution incorrecte","OK"))</f>
        <v>OK</v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 t="s">
        <v>21</v>
      </c>
      <c r="C12" s="35">
        <v>0.1</v>
      </c>
      <c r="D12" s="36">
        <f t="shared" si="0"/>
        <v>9.0000000000000011E-2</v>
      </c>
      <c r="E12" s="37">
        <v>80</v>
      </c>
      <c r="F12" s="38" t="str">
        <f t="array" ref="F12">IF(E12="","",IF(INDEX(A:A,MAX(IF(ISNUMBER($A$114:$A$133),ROW($A$114:$A$133),"")))&lt;&gt;E12,"Corrigez : révolution incorrecte","OK"))</f>
        <v>OK</v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 t="s">
        <v>50</v>
      </c>
      <c r="C13" s="35">
        <v>0.08</v>
      </c>
      <c r="D13" s="36">
        <f t="shared" si="0"/>
        <v>7.2000000000000008E-2</v>
      </c>
      <c r="E13" s="37">
        <v>110</v>
      </c>
      <c r="F13" s="38" t="str">
        <f t="array" ref="F13">IF(E13="","",IF(INDEX(A:A,MAX(IF(ISNUMBER($A$140:$A$159),ROW($A$140:$A$159),"")))&lt;&gt;E13,"Corrigez : révolution incorrecte","OK"))</f>
        <v>OK</v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0.97999999999999987</v>
      </c>
      <c r="D19" s="41">
        <f>SUM(D9:D18)</f>
        <v>0.8819999999999999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0" t="s">
        <v>232</v>
      </c>
      <c r="B22" s="300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2" t="s">
        <v>227</v>
      </c>
      <c r="B30" s="302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Chêne sessile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92" t="s">
        <v>186</v>
      </c>
      <c r="D34" s="292"/>
      <c r="E34" s="293" t="s">
        <v>187</v>
      </c>
      <c r="F34" s="294"/>
      <c r="G34" s="294"/>
      <c r="H34" s="295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20</v>
      </c>
      <c r="B36" s="63">
        <v>42</v>
      </c>
      <c r="C36" s="63"/>
      <c r="D36" s="63"/>
      <c r="E36" s="54"/>
      <c r="F36" s="54"/>
      <c r="G36" s="54"/>
      <c r="H36" s="54"/>
      <c r="I36" s="52">
        <f>IFERROR(B36/A36,"")</f>
        <v>2.1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25</v>
      </c>
      <c r="B37" s="63">
        <f>62+8</f>
        <v>70</v>
      </c>
      <c r="C37" s="63"/>
      <c r="D37" s="63"/>
      <c r="E37" s="54"/>
      <c r="F37" s="54"/>
      <c r="G37" s="54"/>
      <c r="H37" s="54"/>
      <c r="I37" s="56">
        <f t="shared" ref="I37:I55" si="1">IF(A37&lt;&gt;0,(B37-(B36-D36))/(A37-A36),"")</f>
        <v>5.6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30</v>
      </c>
      <c r="B38" s="63">
        <f>76+8+21</f>
        <v>105</v>
      </c>
      <c r="C38" s="63">
        <v>1</v>
      </c>
      <c r="D38" s="63">
        <f>8+21</f>
        <v>29</v>
      </c>
      <c r="E38" s="54"/>
      <c r="F38" s="54"/>
      <c r="G38" s="54"/>
      <c r="H38" s="54">
        <v>1</v>
      </c>
      <c r="I38" s="56">
        <f t="shared" si="1"/>
        <v>7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35</v>
      </c>
      <c r="B39" s="63">
        <f>95+21</f>
        <v>116</v>
      </c>
      <c r="C39" s="63"/>
      <c r="D39" s="63"/>
      <c r="E39" s="54"/>
      <c r="F39" s="54"/>
      <c r="G39" s="54"/>
      <c r="H39" s="54"/>
      <c r="I39" s="52">
        <f t="shared" si="1"/>
        <v>8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>
        <v>40</v>
      </c>
      <c r="B40" s="63">
        <f>116+21+21</f>
        <v>158</v>
      </c>
      <c r="C40" s="63">
        <v>2</v>
      </c>
      <c r="D40" s="63">
        <f>21+21</f>
        <v>42</v>
      </c>
      <c r="E40" s="54"/>
      <c r="F40" s="54"/>
      <c r="G40" s="54"/>
      <c r="H40" s="54"/>
      <c r="I40" s="52">
        <f t="shared" si="1"/>
        <v>8.4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>
        <v>45</v>
      </c>
      <c r="B41" s="63">
        <f>137+21</f>
        <v>158</v>
      </c>
      <c r="C41" s="63"/>
      <c r="D41" s="63"/>
      <c r="E41" s="54"/>
      <c r="F41" s="54"/>
      <c r="G41" s="54"/>
      <c r="H41" s="54"/>
      <c r="I41" s="56">
        <f t="shared" si="1"/>
        <v>8.4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>
        <v>50</v>
      </c>
      <c r="B42" s="63">
        <f>157+21+21</f>
        <v>199</v>
      </c>
      <c r="C42" s="63">
        <v>3</v>
      </c>
      <c r="D42" s="63">
        <f>21+21</f>
        <v>42</v>
      </c>
      <c r="E42" s="54"/>
      <c r="F42" s="54"/>
      <c r="G42" s="54"/>
      <c r="H42" s="54"/>
      <c r="I42" s="56">
        <f t="shared" si="1"/>
        <v>8.1999999999999993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53">
        <v>55</v>
      </c>
      <c r="B43" s="63">
        <f>176+21</f>
        <v>197</v>
      </c>
      <c r="C43" s="63"/>
      <c r="D43" s="63"/>
      <c r="E43" s="54"/>
      <c r="F43" s="54"/>
      <c r="G43" s="54"/>
      <c r="H43" s="54"/>
      <c r="I43" s="52">
        <f t="shared" si="1"/>
        <v>8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53">
        <v>60</v>
      </c>
      <c r="B44" s="53">
        <v>235</v>
      </c>
      <c r="C44" s="53">
        <v>4</v>
      </c>
      <c r="D44" s="53">
        <v>42</v>
      </c>
      <c r="E44" s="54"/>
      <c r="F44" s="54"/>
      <c r="G44" s="54"/>
      <c r="H44" s="54"/>
      <c r="I44" s="52">
        <f t="shared" si="1"/>
        <v>7.6</v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53">
        <v>65</v>
      </c>
      <c r="B45" s="53">
        <v>229</v>
      </c>
      <c r="C45" s="53"/>
      <c r="D45" s="53"/>
      <c r="E45" s="54"/>
      <c r="F45" s="54"/>
      <c r="G45" s="54"/>
      <c r="H45" s="54"/>
      <c r="I45" s="52">
        <f t="shared" si="1"/>
        <v>7.2</v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53">
        <v>70</v>
      </c>
      <c r="B46" s="53">
        <v>263</v>
      </c>
      <c r="C46" s="53">
        <v>5</v>
      </c>
      <c r="D46" s="53">
        <v>42</v>
      </c>
      <c r="E46" s="54"/>
      <c r="F46" s="54"/>
      <c r="G46" s="54"/>
      <c r="H46" s="54"/>
      <c r="I46" s="52">
        <f t="shared" si="1"/>
        <v>6.8</v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53">
        <v>75</v>
      </c>
      <c r="B47" s="53">
        <v>252</v>
      </c>
      <c r="C47" s="53"/>
      <c r="D47" s="53"/>
      <c r="E47" s="54"/>
      <c r="F47" s="54"/>
      <c r="G47" s="54"/>
      <c r="H47" s="54"/>
      <c r="I47" s="52">
        <f t="shared" si="1"/>
        <v>6.2</v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53">
        <v>80</v>
      </c>
      <c r="B48" s="53">
        <v>282</v>
      </c>
      <c r="C48" s="53">
        <v>6</v>
      </c>
      <c r="D48" s="53">
        <v>42</v>
      </c>
      <c r="E48" s="54"/>
      <c r="F48" s="54"/>
      <c r="G48" s="54"/>
      <c r="H48" s="54"/>
      <c r="I48" s="52">
        <f t="shared" si="1"/>
        <v>6</v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53">
        <v>90</v>
      </c>
      <c r="B49" s="53">
        <v>296</v>
      </c>
      <c r="C49" s="53">
        <v>7</v>
      </c>
      <c r="D49" s="53">
        <v>42</v>
      </c>
      <c r="E49" s="54"/>
      <c r="F49" s="54"/>
      <c r="G49" s="54"/>
      <c r="H49" s="54"/>
      <c r="I49" s="52">
        <f t="shared" si="1"/>
        <v>5.6</v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53">
        <v>100</v>
      </c>
      <c r="B50" s="53">
        <v>303</v>
      </c>
      <c r="C50" s="53">
        <v>8</v>
      </c>
      <c r="D50" s="53">
        <v>42</v>
      </c>
      <c r="E50" s="54"/>
      <c r="F50" s="54"/>
      <c r="G50" s="54"/>
      <c r="H50" s="54"/>
      <c r="I50" s="52">
        <f t="shared" si="1"/>
        <v>4.9000000000000004</v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53">
        <v>110</v>
      </c>
      <c r="B51" s="53">
        <v>305</v>
      </c>
      <c r="C51" s="53">
        <v>9</v>
      </c>
      <c r="D51" s="53">
        <v>39</v>
      </c>
      <c r="E51" s="54"/>
      <c r="F51" s="54"/>
      <c r="G51" s="54"/>
      <c r="H51" s="54"/>
      <c r="I51" s="52">
        <f t="shared" si="1"/>
        <v>4.4000000000000004</v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53">
        <v>120</v>
      </c>
      <c r="B52" s="53">
        <v>303</v>
      </c>
      <c r="C52" s="53">
        <v>10</v>
      </c>
      <c r="D52" s="53">
        <v>35</v>
      </c>
      <c r="E52" s="54"/>
      <c r="F52" s="54"/>
      <c r="G52" s="54"/>
      <c r="H52" s="54"/>
      <c r="I52" s="52">
        <f t="shared" si="1"/>
        <v>3.7</v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53">
        <v>130</v>
      </c>
      <c r="B53" s="53">
        <v>300</v>
      </c>
      <c r="C53" s="53">
        <v>11</v>
      </c>
      <c r="D53" s="53">
        <v>31</v>
      </c>
      <c r="E53" s="54"/>
      <c r="F53" s="54"/>
      <c r="G53" s="54"/>
      <c r="H53" s="54"/>
      <c r="I53" s="52">
        <f t="shared" si="1"/>
        <v>3.2</v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53">
        <v>140</v>
      </c>
      <c r="B54" s="53">
        <v>296</v>
      </c>
      <c r="C54" s="53">
        <v>12</v>
      </c>
      <c r="D54" s="53">
        <v>27</v>
      </c>
      <c r="E54" s="54"/>
      <c r="F54" s="54"/>
      <c r="G54" s="54"/>
      <c r="H54" s="54"/>
      <c r="I54" s="52">
        <f t="shared" si="1"/>
        <v>2.7</v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53">
        <v>150</v>
      </c>
      <c r="B55" s="53">
        <v>293</v>
      </c>
      <c r="C55" s="53">
        <v>13</v>
      </c>
      <c r="D55" s="53">
        <v>293</v>
      </c>
      <c r="E55" s="54"/>
      <c r="F55" s="54"/>
      <c r="G55" s="54"/>
      <c r="H55" s="54"/>
      <c r="I55" s="52">
        <f t="shared" si="1"/>
        <v>2.4</v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>Charme</v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92" t="s">
        <v>186</v>
      </c>
      <c r="D60" s="292"/>
      <c r="E60" s="293" t="s">
        <v>187</v>
      </c>
      <c r="F60" s="294"/>
      <c r="G60" s="294"/>
      <c r="H60" s="295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>
        <v>15</v>
      </c>
      <c r="B62" s="63">
        <f>57/1.56</f>
        <v>36.53846153846154</v>
      </c>
      <c r="C62" s="63"/>
      <c r="D62" s="63"/>
      <c r="E62" s="54"/>
      <c r="F62" s="54"/>
      <c r="G62" s="54"/>
      <c r="H62" s="54"/>
      <c r="I62" s="56">
        <f>IFERROR(B62/A62,"")</f>
        <v>2.4358974358974361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>
        <v>20</v>
      </c>
      <c r="B63" s="63">
        <f>(95+11)/1.56</f>
        <v>67.948717948717942</v>
      </c>
      <c r="C63" s="63"/>
      <c r="D63" s="63"/>
      <c r="E63" s="54"/>
      <c r="F63" s="54"/>
      <c r="G63" s="54"/>
      <c r="H63" s="54"/>
      <c r="I63" s="52">
        <f>IF(A63&lt;&gt;0,(B63-(B62-D62))/(A63-A62),"")</f>
        <v>6.2820512820512802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>
        <v>25</v>
      </c>
      <c r="B64" s="63">
        <f>(131+11+15)/1.56</f>
        <v>100.64102564102564</v>
      </c>
      <c r="C64" s="63">
        <v>1</v>
      </c>
      <c r="D64" s="63">
        <f>(11+15+19)/1.56</f>
        <v>28.846153846153847</v>
      </c>
      <c r="E64" s="54"/>
      <c r="F64" s="54"/>
      <c r="G64" s="54"/>
      <c r="H64" s="54"/>
      <c r="I64" s="52">
        <f>IF(A64&lt;&gt;0,(B64-(B63-D63))/(A64-A63),"")</f>
        <v>6.5384615384615383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>
        <v>30</v>
      </c>
      <c r="B65" s="63">
        <f>163/1.56</f>
        <v>104.48717948717949</v>
      </c>
      <c r="C65" s="63"/>
      <c r="D65" s="63"/>
      <c r="E65" s="54"/>
      <c r="F65" s="54"/>
      <c r="G65" s="54"/>
      <c r="H65" s="54"/>
      <c r="I65" s="52">
        <f>IF(A65&lt;&gt;0,(B65-(B64-D64))/(A65-A64),"")</f>
        <v>6.5384615384615383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>
        <v>35</v>
      </c>
      <c r="B66" s="63">
        <f>(192+21)/1.56</f>
        <v>136.53846153846155</v>
      </c>
      <c r="C66" s="63">
        <v>2</v>
      </c>
      <c r="D66" s="63">
        <f>(21+22)/1.56</f>
        <v>27.564102564102562</v>
      </c>
      <c r="E66" s="54"/>
      <c r="F66" s="54"/>
      <c r="G66" s="54"/>
      <c r="H66" s="54"/>
      <c r="I66" s="52">
        <f t="shared" ref="I66:I81" si="2">IF(A66&lt;&gt;0,(B66-(B65-D65))/(A66-A65),"")</f>
        <v>6.4102564102564115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>
        <v>40</v>
      </c>
      <c r="B67" s="63">
        <f>216/1.56</f>
        <v>138.46153846153845</v>
      </c>
      <c r="C67" s="63"/>
      <c r="D67" s="63"/>
      <c r="E67" s="54"/>
      <c r="F67" s="54"/>
      <c r="G67" s="54"/>
      <c r="H67" s="54"/>
      <c r="I67" s="52">
        <f t="shared" si="2"/>
        <v>5.8974358974358951</v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>
        <v>45</v>
      </c>
      <c r="B68" s="63">
        <f>(238+23)/1.56</f>
        <v>167.30769230769229</v>
      </c>
      <c r="C68" s="63">
        <v>3</v>
      </c>
      <c r="D68" s="63">
        <f>(23+24)/1.56</f>
        <v>30.128205128205128</v>
      </c>
      <c r="E68" s="54"/>
      <c r="F68" s="54"/>
      <c r="G68" s="54"/>
      <c r="H68" s="54"/>
      <c r="I68" s="52">
        <f t="shared" si="2"/>
        <v>5.7692307692307683</v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>
        <v>50</v>
      </c>
      <c r="B69" s="53">
        <f>257/1.56</f>
        <v>164.74358974358975</v>
      </c>
      <c r="C69" s="53"/>
      <c r="D69" s="53"/>
      <c r="E69" s="54"/>
      <c r="F69" s="54"/>
      <c r="G69" s="54"/>
      <c r="H69" s="54"/>
      <c r="I69" s="52">
        <f t="shared" si="2"/>
        <v>5.5128205128205199</v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>
        <v>55</v>
      </c>
      <c r="B70" s="53">
        <f>(274+24)/1.56</f>
        <v>191.02564102564102</v>
      </c>
      <c r="C70" s="53">
        <v>4</v>
      </c>
      <c r="D70" s="53">
        <f>(24+23)/1.56</f>
        <v>30.128205128205128</v>
      </c>
      <c r="E70" s="54"/>
      <c r="F70" s="54"/>
      <c r="G70" s="54"/>
      <c r="H70" s="54"/>
      <c r="I70" s="52">
        <f t="shared" si="2"/>
        <v>5.2564102564102537</v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>
        <v>60</v>
      </c>
      <c r="B71" s="53">
        <f>289/1.56</f>
        <v>185.25641025641025</v>
      </c>
      <c r="C71" s="53"/>
      <c r="D71" s="53"/>
      <c r="E71" s="54"/>
      <c r="F71" s="54"/>
      <c r="G71" s="54"/>
      <c r="H71" s="54"/>
      <c r="I71" s="52">
        <f t="shared" si="2"/>
        <v>4.8717948717948731</v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>
        <v>65</v>
      </c>
      <c r="B72" s="53">
        <f>(302+23)/1.56</f>
        <v>208.33333333333331</v>
      </c>
      <c r="C72" s="53">
        <v>5</v>
      </c>
      <c r="D72" s="53">
        <f>(23+23)/1.56</f>
        <v>29.487179487179485</v>
      </c>
      <c r="E72" s="54"/>
      <c r="F72" s="54"/>
      <c r="G72" s="54"/>
      <c r="H72" s="54"/>
      <c r="I72" s="52">
        <f t="shared" si="2"/>
        <v>4.6153846153846132</v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>
        <v>70</v>
      </c>
      <c r="B73" s="53">
        <f>313/1.56</f>
        <v>200.64102564102564</v>
      </c>
      <c r="C73" s="53"/>
      <c r="D73" s="53"/>
      <c r="E73" s="54"/>
      <c r="F73" s="54"/>
      <c r="G73" s="54"/>
      <c r="H73" s="54"/>
      <c r="I73" s="52">
        <f t="shared" si="2"/>
        <v>4.3589743589743595</v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>
        <v>75</v>
      </c>
      <c r="B74" s="53">
        <f>(324+22)/1.56</f>
        <v>221.7948717948718</v>
      </c>
      <c r="C74" s="53">
        <v>6</v>
      </c>
      <c r="D74" s="53">
        <f>(22+22)/1.56</f>
        <v>28.205128205128204</v>
      </c>
      <c r="E74" s="54"/>
      <c r="F74" s="54"/>
      <c r="G74" s="54"/>
      <c r="H74" s="54"/>
      <c r="I74" s="52">
        <f t="shared" si="2"/>
        <v>4.2307692307692317</v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>
        <v>80</v>
      </c>
      <c r="B75" s="53">
        <f>333/1.56</f>
        <v>213.46153846153845</v>
      </c>
      <c r="C75" s="53"/>
      <c r="D75" s="53"/>
      <c r="E75" s="54"/>
      <c r="F75" s="54"/>
      <c r="G75" s="54"/>
      <c r="H75" s="54"/>
      <c r="I75" s="52">
        <f t="shared" si="2"/>
        <v>3.9743589743589722</v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>
        <v>85</v>
      </c>
      <c r="B76" s="53">
        <f>(342+21)/1.56</f>
        <v>232.69230769230768</v>
      </c>
      <c r="C76" s="53">
        <v>7</v>
      </c>
      <c r="D76" s="53">
        <f>(21+20)/1.56</f>
        <v>26.282051282051281</v>
      </c>
      <c r="E76" s="54"/>
      <c r="F76" s="54"/>
      <c r="G76" s="54"/>
      <c r="H76" s="54"/>
      <c r="I76" s="52">
        <f t="shared" si="2"/>
        <v>3.8461538461538454</v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>
        <v>90</v>
      </c>
      <c r="B77" s="53">
        <f>350/1.56</f>
        <v>224.35897435897436</v>
      </c>
      <c r="C77" s="53"/>
      <c r="D77" s="53"/>
      <c r="E77" s="54"/>
      <c r="F77" s="54"/>
      <c r="G77" s="54"/>
      <c r="H77" s="54"/>
      <c r="I77" s="52">
        <f t="shared" si="2"/>
        <v>3.5897435897435912</v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>
        <v>95</v>
      </c>
      <c r="B78" s="53">
        <f>(358+20)/1.56</f>
        <v>242.30769230769229</v>
      </c>
      <c r="C78" s="53">
        <v>8</v>
      </c>
      <c r="D78" s="53">
        <f>(20+19)/1.56</f>
        <v>25</v>
      </c>
      <c r="E78" s="54"/>
      <c r="F78" s="54"/>
      <c r="G78" s="54"/>
      <c r="H78" s="54"/>
      <c r="I78" s="52">
        <f t="shared" si="2"/>
        <v>3.5897435897435854</v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>
        <v>100</v>
      </c>
      <c r="B79" s="53">
        <f>365/1.56</f>
        <v>233.97435897435898</v>
      </c>
      <c r="C79" s="53"/>
      <c r="D79" s="53"/>
      <c r="E79" s="54"/>
      <c r="F79" s="54"/>
      <c r="G79" s="54"/>
      <c r="H79" s="54"/>
      <c r="I79" s="52">
        <f t="shared" si="2"/>
        <v>3.333333333333337</v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>
        <v>105</v>
      </c>
      <c r="B80" s="53">
        <f>(371+18)/1.56</f>
        <v>249.35897435897434</v>
      </c>
      <c r="C80" s="53">
        <v>9</v>
      </c>
      <c r="D80" s="53">
        <f>(18+18)/1.56</f>
        <v>23.076923076923077</v>
      </c>
      <c r="E80" s="54"/>
      <c r="F80" s="54"/>
      <c r="G80" s="54"/>
      <c r="H80" s="54"/>
      <c r="I80" s="52">
        <f t="shared" si="2"/>
        <v>3.0769230769230718</v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>
        <v>120</v>
      </c>
      <c r="B81" s="53">
        <f>(388+17+17)/1.56</f>
        <v>270.5128205128205</v>
      </c>
      <c r="C81" s="53">
        <v>10</v>
      </c>
      <c r="D81" s="53">
        <f>B81</f>
        <v>270.5128205128205</v>
      </c>
      <c r="E81" s="54"/>
      <c r="F81" s="54"/>
      <c r="G81" s="54"/>
      <c r="H81" s="54"/>
      <c r="I81" s="52">
        <f t="shared" si="2"/>
        <v>2.9487179487179485</v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>Alisier torminal</v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92" t="s">
        <v>186</v>
      </c>
      <c r="D86" s="292"/>
      <c r="E86" s="293" t="s">
        <v>187</v>
      </c>
      <c r="F86" s="294"/>
      <c r="G86" s="294"/>
      <c r="H86" s="295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>
        <v>20</v>
      </c>
      <c r="B88" s="63">
        <v>42</v>
      </c>
      <c r="C88" s="63"/>
      <c r="D88" s="63"/>
      <c r="E88" s="54"/>
      <c r="F88" s="54"/>
      <c r="G88" s="54"/>
      <c r="H88" s="54"/>
      <c r="I88" s="56">
        <f>IFERROR(B88/A88,"")</f>
        <v>2.1</v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>
        <v>25</v>
      </c>
      <c r="B89" s="63">
        <f>62+8</f>
        <v>70</v>
      </c>
      <c r="C89" s="63"/>
      <c r="D89" s="63"/>
      <c r="E89" s="54"/>
      <c r="F89" s="54"/>
      <c r="G89" s="54"/>
      <c r="H89" s="54"/>
      <c r="I89" s="56">
        <f t="shared" ref="I89:I107" si="3">IF(A89&lt;&gt;0,(B89-(B88-D88))/(A89-A88),"")</f>
        <v>5.6</v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>
        <v>30</v>
      </c>
      <c r="B90" s="63">
        <f>76+8+21</f>
        <v>105</v>
      </c>
      <c r="C90" s="63">
        <v>1</v>
      </c>
      <c r="D90" s="63">
        <f>8+21</f>
        <v>29</v>
      </c>
      <c r="E90" s="54"/>
      <c r="F90" s="54"/>
      <c r="G90" s="54"/>
      <c r="H90" s="54">
        <v>1</v>
      </c>
      <c r="I90" s="56">
        <f t="shared" si="3"/>
        <v>7</v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>
        <v>35</v>
      </c>
      <c r="B91" s="63">
        <f>95+21</f>
        <v>116</v>
      </c>
      <c r="C91" s="63"/>
      <c r="D91" s="63"/>
      <c r="E91" s="54"/>
      <c r="F91" s="54"/>
      <c r="G91" s="54"/>
      <c r="H91" s="54"/>
      <c r="I91" s="56">
        <f t="shared" si="3"/>
        <v>8</v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>
        <v>40</v>
      </c>
      <c r="B92" s="63">
        <f>116+21+21</f>
        <v>158</v>
      </c>
      <c r="C92" s="63">
        <v>2</v>
      </c>
      <c r="D92" s="63">
        <f>21+21</f>
        <v>42</v>
      </c>
      <c r="E92" s="54"/>
      <c r="F92" s="54"/>
      <c r="G92" s="54"/>
      <c r="H92" s="54"/>
      <c r="I92" s="56">
        <f t="shared" si="3"/>
        <v>8.4</v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>
        <v>45</v>
      </c>
      <c r="B93" s="63">
        <f>137+21</f>
        <v>158</v>
      </c>
      <c r="C93" s="63"/>
      <c r="D93" s="63"/>
      <c r="E93" s="54"/>
      <c r="F93" s="54"/>
      <c r="G93" s="54"/>
      <c r="H93" s="54"/>
      <c r="I93" s="56">
        <f t="shared" si="3"/>
        <v>8.4</v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>
        <v>50</v>
      </c>
      <c r="B94" s="63">
        <f>157+21+21</f>
        <v>199</v>
      </c>
      <c r="C94" s="63">
        <v>3</v>
      </c>
      <c r="D94" s="63">
        <f>21+21</f>
        <v>42</v>
      </c>
      <c r="E94" s="54"/>
      <c r="F94" s="54"/>
      <c r="G94" s="54"/>
      <c r="H94" s="54"/>
      <c r="I94" s="56">
        <f t="shared" si="3"/>
        <v>8.1999999999999993</v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53">
        <v>55</v>
      </c>
      <c r="B95" s="63">
        <f>176+21</f>
        <v>197</v>
      </c>
      <c r="C95" s="63"/>
      <c r="D95" s="63"/>
      <c r="E95" s="54"/>
      <c r="F95" s="54"/>
      <c r="G95" s="54"/>
      <c r="H95" s="54"/>
      <c r="I95" s="56">
        <f t="shared" si="3"/>
        <v>8</v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53">
        <v>60</v>
      </c>
      <c r="B96" s="53">
        <v>235</v>
      </c>
      <c r="C96" s="53">
        <v>4</v>
      </c>
      <c r="D96" s="53">
        <v>42</v>
      </c>
      <c r="E96" s="54"/>
      <c r="F96" s="54"/>
      <c r="G96" s="54"/>
      <c r="H96" s="54"/>
      <c r="I96" s="56">
        <f t="shared" si="3"/>
        <v>7.6</v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53">
        <v>65</v>
      </c>
      <c r="B97" s="53">
        <v>229</v>
      </c>
      <c r="C97" s="53"/>
      <c r="D97" s="53"/>
      <c r="E97" s="54"/>
      <c r="F97" s="54"/>
      <c r="G97" s="54"/>
      <c r="H97" s="54"/>
      <c r="I97" s="56">
        <f t="shared" si="3"/>
        <v>7.2</v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53">
        <v>70</v>
      </c>
      <c r="B98" s="53">
        <v>263</v>
      </c>
      <c r="C98" s="53">
        <v>5</v>
      </c>
      <c r="D98" s="53">
        <v>42</v>
      </c>
      <c r="E98" s="54"/>
      <c r="F98" s="54"/>
      <c r="G98" s="54"/>
      <c r="H98" s="54"/>
      <c r="I98" s="56">
        <f t="shared" si="3"/>
        <v>6.8</v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53">
        <v>75</v>
      </c>
      <c r="B99" s="53">
        <v>252</v>
      </c>
      <c r="C99" s="53"/>
      <c r="D99" s="53"/>
      <c r="E99" s="54"/>
      <c r="F99" s="54"/>
      <c r="G99" s="54"/>
      <c r="H99" s="54"/>
      <c r="I99" s="56">
        <f t="shared" si="3"/>
        <v>6.2</v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53">
        <v>80</v>
      </c>
      <c r="B100" s="53">
        <v>282</v>
      </c>
      <c r="C100" s="53">
        <v>6</v>
      </c>
      <c r="D100" s="53">
        <v>42</v>
      </c>
      <c r="E100" s="54"/>
      <c r="F100" s="54"/>
      <c r="G100" s="54"/>
      <c r="H100" s="54"/>
      <c r="I100" s="56">
        <f t="shared" si="3"/>
        <v>6</v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53">
        <v>90</v>
      </c>
      <c r="B101" s="53">
        <v>296</v>
      </c>
      <c r="C101" s="53">
        <v>7</v>
      </c>
      <c r="D101" s="53">
        <v>42</v>
      </c>
      <c r="E101" s="54"/>
      <c r="F101" s="54"/>
      <c r="G101" s="54"/>
      <c r="H101" s="54"/>
      <c r="I101" s="56">
        <f t="shared" si="3"/>
        <v>5.6</v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53">
        <v>100</v>
      </c>
      <c r="B102" s="53">
        <v>303</v>
      </c>
      <c r="C102" s="53">
        <v>8</v>
      </c>
      <c r="D102" s="53">
        <v>42</v>
      </c>
      <c r="E102" s="54"/>
      <c r="F102" s="54"/>
      <c r="G102" s="54"/>
      <c r="H102" s="54"/>
      <c r="I102" s="56">
        <f t="shared" si="3"/>
        <v>4.9000000000000004</v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53">
        <v>110</v>
      </c>
      <c r="B103" s="53">
        <v>305</v>
      </c>
      <c r="C103" s="53">
        <v>9</v>
      </c>
      <c r="D103" s="53">
        <v>39</v>
      </c>
      <c r="E103" s="54"/>
      <c r="F103" s="54"/>
      <c r="G103" s="54"/>
      <c r="H103" s="54"/>
      <c r="I103" s="56">
        <f t="shared" si="3"/>
        <v>4.4000000000000004</v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53">
        <v>120</v>
      </c>
      <c r="B104" s="53">
        <v>303</v>
      </c>
      <c r="C104" s="53">
        <v>10</v>
      </c>
      <c r="D104" s="53">
        <v>35</v>
      </c>
      <c r="E104" s="54"/>
      <c r="F104" s="54"/>
      <c r="G104" s="54"/>
      <c r="H104" s="54"/>
      <c r="I104" s="56">
        <f t="shared" si="3"/>
        <v>3.7</v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>
        <v>130</v>
      </c>
      <c r="B105" s="53">
        <v>300</v>
      </c>
      <c r="C105" s="53">
        <v>11</v>
      </c>
      <c r="D105" s="53">
        <v>31</v>
      </c>
      <c r="E105" s="54"/>
      <c r="F105" s="54"/>
      <c r="G105" s="54"/>
      <c r="H105" s="54"/>
      <c r="I105" s="56">
        <f t="shared" si="3"/>
        <v>3.2</v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>
        <v>140</v>
      </c>
      <c r="B106" s="53">
        <v>296</v>
      </c>
      <c r="C106" s="53">
        <v>12</v>
      </c>
      <c r="D106" s="53">
        <v>27</v>
      </c>
      <c r="E106" s="54"/>
      <c r="F106" s="54"/>
      <c r="G106" s="54"/>
      <c r="H106" s="54"/>
      <c r="I106" s="56">
        <f t="shared" si="3"/>
        <v>2.7</v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>
        <v>150</v>
      </c>
      <c r="B107" s="53">
        <v>293</v>
      </c>
      <c r="C107" s="53">
        <v>13</v>
      </c>
      <c r="D107" s="53">
        <v>293</v>
      </c>
      <c r="E107" s="54"/>
      <c r="F107" s="54"/>
      <c r="G107" s="54"/>
      <c r="H107" s="54"/>
      <c r="I107" s="56">
        <f t="shared" si="3"/>
        <v>2.4</v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>Erable champêtre</v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92" t="s">
        <v>186</v>
      </c>
      <c r="D112" s="292"/>
      <c r="E112" s="293" t="s">
        <v>187</v>
      </c>
      <c r="F112" s="294"/>
      <c r="G112" s="294"/>
      <c r="H112" s="295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>
        <v>15</v>
      </c>
      <c r="B114" s="63">
        <v>9</v>
      </c>
      <c r="C114" s="53"/>
      <c r="D114" s="63"/>
      <c r="E114" s="54"/>
      <c r="F114" s="54"/>
      <c r="G114" s="54"/>
      <c r="H114" s="54"/>
      <c r="I114" s="56">
        <f>IFERROR(B114/A114,"")</f>
        <v>0.6</v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>
        <v>20</v>
      </c>
      <c r="B115" s="63">
        <v>57</v>
      </c>
      <c r="C115" s="53"/>
      <c r="D115" s="63"/>
      <c r="E115" s="54"/>
      <c r="F115" s="54"/>
      <c r="G115" s="54"/>
      <c r="H115" s="54"/>
      <c r="I115" s="56">
        <f t="shared" ref="I115:I133" si="4">IF(A115&lt;&gt;0,(B115-(B114-D114))/(A115-A114),"")</f>
        <v>9.6</v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>
        <v>25</v>
      </c>
      <c r="B116" s="63">
        <f>86+21</f>
        <v>107</v>
      </c>
      <c r="C116" s="53">
        <v>1</v>
      </c>
      <c r="D116" s="63">
        <f>21+21</f>
        <v>42</v>
      </c>
      <c r="E116" s="54"/>
      <c r="F116" s="54"/>
      <c r="G116" s="54"/>
      <c r="H116" s="54">
        <v>1</v>
      </c>
      <c r="I116" s="56">
        <f t="shared" si="4"/>
        <v>10</v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>
        <v>30</v>
      </c>
      <c r="B117" s="63">
        <v>114</v>
      </c>
      <c r="C117" s="53"/>
      <c r="D117" s="63"/>
      <c r="E117" s="54"/>
      <c r="F117" s="54"/>
      <c r="G117" s="54"/>
      <c r="H117" s="54"/>
      <c r="I117" s="56">
        <f t="shared" si="4"/>
        <v>9.8000000000000007</v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>
        <v>35</v>
      </c>
      <c r="B118" s="63">
        <f>136+21</f>
        <v>157</v>
      </c>
      <c r="C118" s="53">
        <v>2</v>
      </c>
      <c r="D118" s="63">
        <f>21+21</f>
        <v>42</v>
      </c>
      <c r="E118" s="54"/>
      <c r="F118" s="54"/>
      <c r="G118" s="54"/>
      <c r="H118" s="54"/>
      <c r="I118" s="56">
        <f t="shared" si="4"/>
        <v>8.6</v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>
        <v>40</v>
      </c>
      <c r="B119" s="63">
        <v>153</v>
      </c>
      <c r="C119" s="53"/>
      <c r="D119" s="63"/>
      <c r="E119" s="54"/>
      <c r="F119" s="54"/>
      <c r="G119" s="54"/>
      <c r="H119" s="54"/>
      <c r="I119" s="56">
        <f t="shared" si="4"/>
        <v>7.6</v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3">
        <v>45</v>
      </c>
      <c r="B120" s="63">
        <f>165+21</f>
        <v>186</v>
      </c>
      <c r="C120" s="63">
        <v>3</v>
      </c>
      <c r="D120" s="63">
        <f>21+18</f>
        <v>39</v>
      </c>
      <c r="E120" s="93"/>
      <c r="F120" s="93"/>
      <c r="G120" s="93"/>
      <c r="H120" s="93"/>
      <c r="I120" s="56">
        <f t="shared" si="4"/>
        <v>6.6</v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>
        <v>50</v>
      </c>
      <c r="B121" s="63">
        <v>174</v>
      </c>
      <c r="C121" s="63"/>
      <c r="D121" s="63"/>
      <c r="E121" s="93"/>
      <c r="F121" s="93"/>
      <c r="G121" s="93"/>
      <c r="H121" s="93"/>
      <c r="I121" s="56">
        <f t="shared" si="4"/>
        <v>5.4</v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>
        <v>55</v>
      </c>
      <c r="B122" s="63">
        <f>185+13</f>
        <v>198</v>
      </c>
      <c r="C122" s="63">
        <v>4</v>
      </c>
      <c r="D122" s="63">
        <f>13+11</f>
        <v>24</v>
      </c>
      <c r="E122" s="93"/>
      <c r="F122" s="93"/>
      <c r="G122" s="93"/>
      <c r="H122" s="93"/>
      <c r="I122" s="56">
        <f t="shared" si="4"/>
        <v>4.8</v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>
        <v>60</v>
      </c>
      <c r="B123" s="63">
        <v>195</v>
      </c>
      <c r="C123" s="63"/>
      <c r="D123" s="63"/>
      <c r="E123" s="93"/>
      <c r="F123" s="93"/>
      <c r="G123" s="93"/>
      <c r="H123" s="93"/>
      <c r="I123" s="56">
        <f t="shared" si="4"/>
        <v>4.2</v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>
        <v>65</v>
      </c>
      <c r="B124" s="63">
        <f>202+9</f>
        <v>211</v>
      </c>
      <c r="C124" s="63">
        <v>5</v>
      </c>
      <c r="D124" s="63">
        <f>9+8</f>
        <v>17</v>
      </c>
      <c r="E124" s="93"/>
      <c r="F124" s="93"/>
      <c r="G124" s="93"/>
      <c r="H124" s="93"/>
      <c r="I124" s="56">
        <f t="shared" si="4"/>
        <v>3.2</v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>
        <v>70</v>
      </c>
      <c r="B125" s="63">
        <v>209</v>
      </c>
      <c r="C125" s="63"/>
      <c r="D125" s="63"/>
      <c r="E125" s="93"/>
      <c r="F125" s="93"/>
      <c r="G125" s="93"/>
      <c r="H125" s="93"/>
      <c r="I125" s="56">
        <f t="shared" si="4"/>
        <v>3</v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>
        <v>75</v>
      </c>
      <c r="B126" s="63">
        <f>214+8</f>
        <v>222</v>
      </c>
      <c r="C126" s="63"/>
      <c r="D126" s="63"/>
      <c r="E126" s="68"/>
      <c r="F126" s="68"/>
      <c r="G126" s="68"/>
      <c r="H126" s="68"/>
      <c r="I126" s="56">
        <f t="shared" si="4"/>
        <v>2.6</v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>
        <v>80</v>
      </c>
      <c r="B127" s="63">
        <f>219+8+7</f>
        <v>234</v>
      </c>
      <c r="C127" s="63">
        <v>6</v>
      </c>
      <c r="D127" s="63">
        <f>B127</f>
        <v>234</v>
      </c>
      <c r="E127" s="68"/>
      <c r="F127" s="68"/>
      <c r="G127" s="68"/>
      <c r="H127" s="68"/>
      <c r="I127" s="56">
        <f t="shared" si="4"/>
        <v>2.4</v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>Tilleul</v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92" t="s">
        <v>186</v>
      </c>
      <c r="D138" s="292"/>
      <c r="E138" s="293" t="s">
        <v>187</v>
      </c>
      <c r="F138" s="294"/>
      <c r="G138" s="294"/>
      <c r="H138" s="295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>
        <v>15</v>
      </c>
      <c r="B140" s="63">
        <f>78/1.56</f>
        <v>50</v>
      </c>
      <c r="C140" s="53"/>
      <c r="D140" s="63"/>
      <c r="E140" s="54"/>
      <c r="F140" s="54"/>
      <c r="G140" s="54"/>
      <c r="H140" s="54"/>
      <c r="I140" s="60">
        <f>IFERROR(B140/A140,"")</f>
        <v>3.3333333333333335</v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>
        <v>20</v>
      </c>
      <c r="B141" s="63">
        <f>(126+16)/1.56</f>
        <v>91.025641025641022</v>
      </c>
      <c r="C141" s="53"/>
      <c r="D141" s="63"/>
      <c r="E141" s="54"/>
      <c r="F141" s="54"/>
      <c r="G141" s="54"/>
      <c r="H141" s="54"/>
      <c r="I141" s="60">
        <f t="shared" ref="I141:I159" si="5">IF(A141&lt;&gt;0,(B141-(B140-D140))/(A141-A140),"")</f>
        <v>8.2051282051282044</v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>
        <v>25</v>
      </c>
      <c r="B142" s="63">
        <f>(170+16+22)/1.56</f>
        <v>133.33333333333334</v>
      </c>
      <c r="C142" s="53">
        <v>1</v>
      </c>
      <c r="D142" s="63">
        <f>(16+22+25)/1.56</f>
        <v>40.38461538461538</v>
      </c>
      <c r="E142" s="54"/>
      <c r="F142" s="54"/>
      <c r="G142" s="54"/>
      <c r="H142" s="54">
        <v>1</v>
      </c>
      <c r="I142" s="60">
        <f t="shared" si="5"/>
        <v>8.4615384615384635</v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>
        <v>30</v>
      </c>
      <c r="B143" s="63">
        <f>208/1.56</f>
        <v>133.33333333333334</v>
      </c>
      <c r="C143" s="53"/>
      <c r="D143" s="63"/>
      <c r="E143" s="54"/>
      <c r="F143" s="54"/>
      <c r="G143" s="54"/>
      <c r="H143" s="54"/>
      <c r="I143" s="60">
        <f t="shared" si="5"/>
        <v>8.0769230769230766</v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>
        <v>35</v>
      </c>
      <c r="B144" s="63">
        <f>(242+26)/1.56</f>
        <v>171.7948717948718</v>
      </c>
      <c r="C144" s="53">
        <v>2</v>
      </c>
      <c r="D144" s="63">
        <f>(26+27)/1.56</f>
        <v>33.974358974358971</v>
      </c>
      <c r="E144" s="54"/>
      <c r="F144" s="54"/>
      <c r="G144" s="54"/>
      <c r="H144" s="54"/>
      <c r="I144" s="60">
        <f t="shared" si="5"/>
        <v>7.6923076923076907</v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>
        <v>40</v>
      </c>
      <c r="B145" s="63">
        <f>271/1.56</f>
        <v>173.7179487179487</v>
      </c>
      <c r="C145" s="53"/>
      <c r="D145" s="63"/>
      <c r="E145" s="54"/>
      <c r="F145" s="54"/>
      <c r="G145" s="54"/>
      <c r="H145" s="54"/>
      <c r="I145" s="60">
        <f t="shared" si="5"/>
        <v>7.1794871794871771</v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>
        <v>45</v>
      </c>
      <c r="B146" s="63">
        <f>(297+27)/1.56</f>
        <v>207.69230769230768</v>
      </c>
      <c r="C146" s="53">
        <v>3</v>
      </c>
      <c r="D146" s="63">
        <f>(27+26)/1.56</f>
        <v>33.974358974358971</v>
      </c>
      <c r="E146" s="54"/>
      <c r="F146" s="54"/>
      <c r="G146" s="54"/>
      <c r="H146" s="54"/>
      <c r="I146" s="60">
        <f t="shared" si="5"/>
        <v>6.7948717948717956</v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>
        <v>50</v>
      </c>
      <c r="B147" s="63">
        <f>320/1.56</f>
        <v>205.12820512820511</v>
      </c>
      <c r="C147" s="53"/>
      <c r="D147" s="63"/>
      <c r="E147" s="54"/>
      <c r="F147" s="54"/>
      <c r="G147" s="54"/>
      <c r="H147" s="54"/>
      <c r="I147" s="60">
        <f>IF(A147&lt;&gt;0,(B147-(B146-D146))/(A147-A146),"")</f>
        <v>6.2820512820512819</v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>
        <v>55</v>
      </c>
      <c r="B148" s="63">
        <f>(340+25)/1.56</f>
        <v>233.97435897435898</v>
      </c>
      <c r="C148" s="53">
        <v>4</v>
      </c>
      <c r="D148" s="63">
        <f>(25+24)/1.56</f>
        <v>31.410256410256409</v>
      </c>
      <c r="E148" s="54"/>
      <c r="F148" s="54"/>
      <c r="G148" s="54"/>
      <c r="H148" s="54"/>
      <c r="I148" s="60">
        <f t="shared" si="5"/>
        <v>5.7692307692307736</v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>
        <v>60</v>
      </c>
      <c r="B149" s="63">
        <f>358/1.56</f>
        <v>229.48717948717947</v>
      </c>
      <c r="C149" s="53"/>
      <c r="D149" s="63"/>
      <c r="E149" s="54"/>
      <c r="F149" s="54"/>
      <c r="G149" s="54"/>
      <c r="H149" s="54"/>
      <c r="I149" s="60">
        <f t="shared" si="5"/>
        <v>5.3846153846153815</v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>
        <v>65</v>
      </c>
      <c r="B150" s="63">
        <f>(375+23)/1.56</f>
        <v>255.12820512820511</v>
      </c>
      <c r="C150" s="53">
        <v>5</v>
      </c>
      <c r="D150" s="63">
        <f>(23+21)/1.56</f>
        <v>28.205128205128204</v>
      </c>
      <c r="E150" s="54"/>
      <c r="F150" s="54"/>
      <c r="G150" s="54"/>
      <c r="H150" s="54"/>
      <c r="I150" s="60">
        <f t="shared" si="5"/>
        <v>5.1282051282051269</v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>
        <v>70</v>
      </c>
      <c r="B151" s="63">
        <f>393/1.56</f>
        <v>251.92307692307691</v>
      </c>
      <c r="C151" s="53"/>
      <c r="D151" s="63"/>
      <c r="E151" s="54"/>
      <c r="F151" s="54"/>
      <c r="G151" s="54"/>
      <c r="H151" s="54"/>
      <c r="I151" s="60">
        <f t="shared" si="5"/>
        <v>5</v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>
        <v>75</v>
      </c>
      <c r="B152" s="63">
        <f>(407+22)/1.56</f>
        <v>275</v>
      </c>
      <c r="C152" s="53">
        <v>6</v>
      </c>
      <c r="D152" s="63">
        <f>(22+21)/1.56</f>
        <v>27.564102564102562</v>
      </c>
      <c r="E152" s="57"/>
      <c r="F152" s="57"/>
      <c r="G152" s="57"/>
      <c r="H152" s="57"/>
      <c r="I152" s="60">
        <f t="shared" si="5"/>
        <v>4.6153846153846185</v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>
        <v>80</v>
      </c>
      <c r="B153" s="63">
        <f>419/1.56</f>
        <v>268.58974358974359</v>
      </c>
      <c r="C153" s="53"/>
      <c r="D153" s="63"/>
      <c r="E153" s="57"/>
      <c r="F153" s="57"/>
      <c r="G153" s="57"/>
      <c r="H153" s="57"/>
      <c r="I153" s="60">
        <f t="shared" si="5"/>
        <v>4.2307692307692317</v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>
        <v>85</v>
      </c>
      <c r="B154" s="59">
        <f>(431+20)/1.56</f>
        <v>289.10256410256409</v>
      </c>
      <c r="C154" s="53">
        <v>7</v>
      </c>
      <c r="D154" s="53">
        <f>(20+19)/1.56</f>
        <v>25</v>
      </c>
      <c r="E154" s="57"/>
      <c r="F154" s="57"/>
      <c r="G154" s="57"/>
      <c r="H154" s="57"/>
      <c r="I154" s="60">
        <f t="shared" si="5"/>
        <v>4.1025641025640995</v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>
        <v>90</v>
      </c>
      <c r="B155" s="59">
        <f>442/1.56</f>
        <v>283.33333333333331</v>
      </c>
      <c r="C155" s="53"/>
      <c r="D155" s="53"/>
      <c r="E155" s="57"/>
      <c r="F155" s="57"/>
      <c r="G155" s="57"/>
      <c r="H155" s="57"/>
      <c r="I155" s="60">
        <f t="shared" si="5"/>
        <v>3.8461538461538454</v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>
        <v>95</v>
      </c>
      <c r="B156" s="59">
        <f>(452+19)/1.56</f>
        <v>301.92307692307691</v>
      </c>
      <c r="C156" s="53">
        <v>8</v>
      </c>
      <c r="D156" s="53">
        <f>(19+18)/1.56</f>
        <v>23.717948717948715</v>
      </c>
      <c r="E156" s="57"/>
      <c r="F156" s="57"/>
      <c r="G156" s="57"/>
      <c r="H156" s="57"/>
      <c r="I156" s="60">
        <f t="shared" si="5"/>
        <v>3.7179487179487181</v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>
        <v>100</v>
      </c>
      <c r="B157" s="59">
        <f>462/1.56</f>
        <v>296.15384615384613</v>
      </c>
      <c r="C157" s="53"/>
      <c r="D157" s="53"/>
      <c r="E157" s="57"/>
      <c r="F157" s="57"/>
      <c r="G157" s="57"/>
      <c r="H157" s="57"/>
      <c r="I157" s="60">
        <f t="shared" si="5"/>
        <v>3.5897435897435912</v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>
        <v>105</v>
      </c>
      <c r="B158" s="59">
        <f>(470+17)/1.56</f>
        <v>312.17948717948718</v>
      </c>
      <c r="C158" s="53"/>
      <c r="D158" s="53"/>
      <c r="E158" s="57"/>
      <c r="F158" s="57"/>
      <c r="G158" s="57"/>
      <c r="H158" s="57"/>
      <c r="I158" s="60">
        <f t="shared" si="5"/>
        <v>3.2051282051282102</v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>
        <v>110</v>
      </c>
      <c r="B159" s="59">
        <f>(479+17+17)/1.56</f>
        <v>328.84615384615381</v>
      </c>
      <c r="C159" s="53">
        <v>9</v>
      </c>
      <c r="D159" s="61">
        <f>B159</f>
        <v>328.84615384615381</v>
      </c>
      <c r="E159" s="57"/>
      <c r="F159" s="57"/>
      <c r="G159" s="57"/>
      <c r="H159" s="57"/>
      <c r="I159" s="60">
        <f t="shared" si="5"/>
        <v>3.3333333333333259</v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92" t="s">
        <v>186</v>
      </c>
      <c r="D164" s="292"/>
      <c r="E164" s="293" t="s">
        <v>187</v>
      </c>
      <c r="F164" s="294"/>
      <c r="G164" s="294"/>
      <c r="H164" s="295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92" t="s">
        <v>186</v>
      </c>
      <c r="D190" s="292"/>
      <c r="E190" s="293" t="s">
        <v>187</v>
      </c>
      <c r="F190" s="294"/>
      <c r="G190" s="294"/>
      <c r="H190" s="295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92" t="s">
        <v>186</v>
      </c>
      <c r="D216" s="292"/>
      <c r="E216" s="293" t="s">
        <v>187</v>
      </c>
      <c r="F216" s="294"/>
      <c r="G216" s="294"/>
      <c r="H216" s="295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92" t="s">
        <v>186</v>
      </c>
      <c r="D242" s="292"/>
      <c r="E242" s="293" t="s">
        <v>187</v>
      </c>
      <c r="F242" s="294"/>
      <c r="G242" s="294"/>
      <c r="H242" s="295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92" t="s">
        <v>186</v>
      </c>
      <c r="D268" s="292"/>
      <c r="E268" s="293" t="s">
        <v>187</v>
      </c>
      <c r="F268" s="294"/>
      <c r="G268" s="294"/>
      <c r="H268" s="295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>
      <formula1>VAN</formula1>
    </dataValidation>
    <dataValidation type="list" allowBlank="1" showInputMessage="1" showErrorMessage="1" sqref="C26">
      <formula1>Incendie</formula1>
    </dataValidation>
    <dataValidation type="list" allowBlank="1" showInputMessage="1" showErrorMessage="1" sqref="C27">
      <formula1>Fertilité</formula1>
    </dataValidation>
  </dataValidations>
  <hyperlinks>
    <hyperlink ref="A9" location="'Données projet'!A44" tooltip="Table de production à compléter ci-dessous" display="Essence 1"/>
    <hyperlink ref="A10" location="'Données projet'!A70" tooltip="Table de production à compléter ci-dessous" display="Essence 2"/>
    <hyperlink ref="A11" location="'Données projet'!A96" tooltip="Table de production à compléter ci-dessous" display="Essence 3"/>
    <hyperlink ref="A12" location="'Données projet'!A122" tooltip="Table de production à compléter ci-dessous" display="Essence 4"/>
    <hyperlink ref="A13" location="'Données projet'!A148" tooltip="Table de production à compléter ci-dessous" display="Essence 5"/>
    <hyperlink ref="A14" location="'Données projet'!A174" tooltip="Table de production à compléter ci-dessous" display="Essence 6"/>
    <hyperlink ref="A15" location="'Données projet'!A202" tooltip="Table de production à compléter ci-dessous" display="Essence 7"/>
    <hyperlink ref="A16" location="'Données projet'!A228" tooltip="Table de production à compléter ci-dessous" display="Essence 8"/>
    <hyperlink ref="A17" location="'Données projet'!A254" tooltip="Table de production à compléter ci-dessous" display="Essence 9"/>
    <hyperlink ref="A18" location="'Données projet'!A280" tooltip="Table de production à compléter ci-dessous" display="Essence 10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Paramètres!$A$2:$A$87</xm:f>
          </x14:formula1>
          <xm:sqref>B10:B18</xm:sqref>
        </x14:dataValidation>
        <x14:dataValidation type="list" allowBlank="1" showInputMessage="1" showErrorMessage="1">
          <x14:formula1>
            <xm:f>Paramètres!$A$2:$A$87</xm:f>
          </x14:formula1>
          <xm:sqref>B9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"/>
  <dimension ref="A1:AL163"/>
  <sheetViews>
    <sheetView zoomScaleNormal="100" workbookViewId="0">
      <selection activeCell="B17" sqref="B17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7" t="s">
        <v>191</v>
      </c>
      <c r="C2" s="308"/>
      <c r="D2" s="308"/>
      <c r="E2" s="308"/>
      <c r="F2" s="308"/>
      <c r="G2" s="309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6"/>
      <c r="C4" s="306"/>
      <c r="D4" s="306"/>
      <c r="E4" s="306"/>
      <c r="F4" s="306"/>
      <c r="G4" s="306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1</v>
      </c>
      <c r="C8" s="52" t="s">
        <v>177</v>
      </c>
      <c r="D8" s="25"/>
      <c r="E8" s="114">
        <v>4</v>
      </c>
      <c r="F8" s="64">
        <v>0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0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148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1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0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1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13" t="s">
        <v>176</v>
      </c>
      <c r="C1" s="314"/>
      <c r="D1" s="314"/>
      <c r="E1" s="314"/>
      <c r="F1" s="314"/>
      <c r="G1" s="314"/>
      <c r="H1" s="315"/>
      <c r="I1" s="310" t="str">
        <f>IF('Données projet'!$B$9="","",'Données projet'!$B$9)</f>
        <v>Chêne sessile</v>
      </c>
      <c r="J1" s="311"/>
      <c r="K1" s="311"/>
      <c r="L1" s="311"/>
      <c r="M1" s="311"/>
      <c r="N1" s="311"/>
      <c r="O1" s="311"/>
      <c r="P1" s="311"/>
      <c r="Q1" s="311"/>
      <c r="R1" s="311"/>
      <c r="S1" s="311"/>
      <c r="T1" s="311"/>
      <c r="U1" s="311"/>
      <c r="V1" s="311"/>
      <c r="W1" s="311"/>
      <c r="X1" s="311"/>
      <c r="Y1" s="311"/>
      <c r="Z1" s="311"/>
      <c r="AA1" s="311"/>
      <c r="AB1" s="311"/>
      <c r="AC1" s="312"/>
      <c r="AD1" s="311" t="str">
        <f>IF('Données projet'!$B$10="","",'Données projet'!$B$10)</f>
        <v>Charme</v>
      </c>
      <c r="AE1" s="311"/>
      <c r="AF1" s="311"/>
      <c r="AG1" s="311"/>
      <c r="AH1" s="311"/>
      <c r="AI1" s="311"/>
      <c r="AJ1" s="311"/>
      <c r="AK1" s="311"/>
      <c r="AL1" s="311"/>
      <c r="AM1" s="311"/>
      <c r="AN1" s="311"/>
      <c r="AO1" s="311"/>
      <c r="AP1" s="311"/>
      <c r="AQ1" s="311"/>
      <c r="AR1" s="311"/>
      <c r="AS1" s="311"/>
      <c r="AT1" s="311"/>
      <c r="AU1" s="311"/>
      <c r="AV1" s="311"/>
      <c r="AW1" s="311"/>
      <c r="AX1" s="312"/>
      <c r="AY1" s="310" t="str">
        <f>IF('Données projet'!$B$11="","",'Données projet'!$B$11)</f>
        <v>Alisier torminal</v>
      </c>
      <c r="AZ1" s="311"/>
      <c r="BA1" s="311"/>
      <c r="BB1" s="311"/>
      <c r="BC1" s="311"/>
      <c r="BD1" s="311"/>
      <c r="BE1" s="311"/>
      <c r="BF1" s="311"/>
      <c r="BG1" s="311"/>
      <c r="BH1" s="311"/>
      <c r="BI1" s="311"/>
      <c r="BJ1" s="311"/>
      <c r="BK1" s="311"/>
      <c r="BL1" s="311"/>
      <c r="BM1" s="311"/>
      <c r="BN1" s="311"/>
      <c r="BO1" s="311"/>
      <c r="BP1" s="311"/>
      <c r="BQ1" s="311"/>
      <c r="BR1" s="311"/>
      <c r="BS1" s="312"/>
      <c r="BT1" s="310" t="str">
        <f>IF('Données projet'!$B$12="","",'Données projet'!$B$12)</f>
        <v>Erable champêtre</v>
      </c>
      <c r="BU1" s="311"/>
      <c r="BV1" s="311"/>
      <c r="BW1" s="311"/>
      <c r="BX1" s="311"/>
      <c r="BY1" s="311"/>
      <c r="BZ1" s="311"/>
      <c r="CA1" s="311"/>
      <c r="CB1" s="311"/>
      <c r="CC1" s="311"/>
      <c r="CD1" s="311"/>
      <c r="CE1" s="311"/>
      <c r="CF1" s="311"/>
      <c r="CG1" s="311"/>
      <c r="CH1" s="311"/>
      <c r="CI1" s="311"/>
      <c r="CJ1" s="311"/>
      <c r="CK1" s="311"/>
      <c r="CL1" s="311"/>
      <c r="CM1" s="311"/>
      <c r="CN1" s="312"/>
      <c r="CO1" s="310" t="str">
        <f>IF('Données projet'!$B$13="","",'Données projet'!$B$13)</f>
        <v>Tilleul</v>
      </c>
      <c r="CP1" s="311"/>
      <c r="CQ1" s="311"/>
      <c r="CR1" s="311"/>
      <c r="CS1" s="311"/>
      <c r="CT1" s="311"/>
      <c r="CU1" s="311"/>
      <c r="CV1" s="311"/>
      <c r="CW1" s="311"/>
      <c r="CX1" s="311"/>
      <c r="CY1" s="311"/>
      <c r="CZ1" s="311"/>
      <c r="DA1" s="311"/>
      <c r="DB1" s="311"/>
      <c r="DC1" s="311"/>
      <c r="DD1" s="311"/>
      <c r="DE1" s="311"/>
      <c r="DF1" s="311"/>
      <c r="DG1" s="311"/>
      <c r="DH1" s="311"/>
      <c r="DI1" s="312"/>
      <c r="DJ1" s="310" t="str">
        <f>IF('Données projet'!$B$14="","",'Données projet'!$B$14)</f>
        <v/>
      </c>
      <c r="DK1" s="311"/>
      <c r="DL1" s="311"/>
      <c r="DM1" s="311"/>
      <c r="DN1" s="311"/>
      <c r="DO1" s="311"/>
      <c r="DP1" s="311"/>
      <c r="DQ1" s="311"/>
      <c r="DR1" s="311"/>
      <c r="DS1" s="311"/>
      <c r="DT1" s="311"/>
      <c r="DU1" s="311"/>
      <c r="DV1" s="311"/>
      <c r="DW1" s="311"/>
      <c r="DX1" s="311"/>
      <c r="DY1" s="311"/>
      <c r="DZ1" s="311"/>
      <c r="EA1" s="311"/>
      <c r="EB1" s="311"/>
      <c r="EC1" s="311"/>
      <c r="ED1" s="312"/>
      <c r="EE1" s="310" t="str">
        <f>IF('Données projet'!$B$15="","",'Données projet'!$B$15)</f>
        <v/>
      </c>
      <c r="EF1" s="311"/>
      <c r="EG1" s="311"/>
      <c r="EH1" s="311"/>
      <c r="EI1" s="311"/>
      <c r="EJ1" s="311"/>
      <c r="EK1" s="311"/>
      <c r="EL1" s="311"/>
      <c r="EM1" s="311"/>
      <c r="EN1" s="311"/>
      <c r="EO1" s="311"/>
      <c r="EP1" s="311"/>
      <c r="EQ1" s="311"/>
      <c r="ER1" s="311"/>
      <c r="ES1" s="311"/>
      <c r="ET1" s="311"/>
      <c r="EU1" s="311"/>
      <c r="EV1" s="311"/>
      <c r="EW1" s="311"/>
      <c r="EX1" s="311"/>
      <c r="EY1" s="312"/>
      <c r="EZ1" s="310" t="str">
        <f>IF('Données projet'!$B$16="","",'Données projet'!$B$16)</f>
        <v/>
      </c>
      <c r="FA1" s="311"/>
      <c r="FB1" s="311"/>
      <c r="FC1" s="311"/>
      <c r="FD1" s="311"/>
      <c r="FE1" s="311"/>
      <c r="FF1" s="311"/>
      <c r="FG1" s="311"/>
      <c r="FH1" s="311"/>
      <c r="FI1" s="311"/>
      <c r="FJ1" s="311"/>
      <c r="FK1" s="311"/>
      <c r="FL1" s="311"/>
      <c r="FM1" s="311"/>
      <c r="FN1" s="311"/>
      <c r="FO1" s="311"/>
      <c r="FP1" s="311"/>
      <c r="FQ1" s="311"/>
      <c r="FR1" s="311"/>
      <c r="FS1" s="311"/>
      <c r="FT1" s="312"/>
      <c r="FU1" s="310" t="str">
        <f>IF('Données projet'!$B$17="","",'Données projet'!$B$17)</f>
        <v/>
      </c>
      <c r="FV1" s="311"/>
      <c r="FW1" s="311"/>
      <c r="FX1" s="311"/>
      <c r="FY1" s="311"/>
      <c r="FZ1" s="311"/>
      <c r="GA1" s="311"/>
      <c r="GB1" s="311"/>
      <c r="GC1" s="311"/>
      <c r="GD1" s="311"/>
      <c r="GE1" s="311"/>
      <c r="GF1" s="311"/>
      <c r="GG1" s="311"/>
      <c r="GH1" s="311"/>
      <c r="GI1" s="311"/>
      <c r="GJ1" s="311"/>
      <c r="GK1" s="311"/>
      <c r="GL1" s="311"/>
      <c r="GM1" s="311"/>
      <c r="GN1" s="311"/>
      <c r="GO1" s="312"/>
      <c r="GP1" s="310" t="str">
        <f>IF('Données projet'!$B$18="","",'Données projet'!$B$18)</f>
        <v/>
      </c>
      <c r="GQ1" s="311"/>
      <c r="GR1" s="311"/>
      <c r="GS1" s="311"/>
      <c r="GT1" s="311"/>
      <c r="GU1" s="311"/>
      <c r="GV1" s="311"/>
      <c r="GW1" s="311"/>
      <c r="GX1" s="311"/>
      <c r="GY1" s="311"/>
      <c r="GZ1" s="311"/>
      <c r="HA1" s="311"/>
      <c r="HB1" s="311"/>
      <c r="HC1" s="311"/>
      <c r="HD1" s="311"/>
      <c r="HE1" s="311"/>
      <c r="HF1" s="311"/>
      <c r="HG1" s="311"/>
      <c r="HH1" s="311"/>
      <c r="HI1" s="311"/>
      <c r="HJ1" s="312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5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18.333333333333332</v>
      </c>
      <c r="H3" s="70">
        <f>(B3+E3+F3)*44/12+(C3+D3)*0.475*44/12</f>
        <v>183.33333333333334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165</v>
      </c>
      <c r="S3" s="62">
        <f ca="1">AVERAGE(OFFSET($R$3,0,0,'Données projet'!$E$9+1,1))-AVERAGE(OFFSET($H$3,0,0,'Données projet'!$E$9+1,1))</f>
        <v>469.67944008675863</v>
      </c>
      <c r="T3" s="62">
        <f>IF('Données projet'!E9&gt;30,$R$33-$H$33,LOOKUP('Données projet'!$E$9,$A$3:$A$203,R3:R203)-LOOKUP('Données projet'!$E$9,$A$3:$A$203,$H$3:$H$203))</f>
        <v>266.11908070867173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2">
        <f>AL3+(AD3+AE3)*44/12</f>
        <v>165</v>
      </c>
      <c r="AN3" s="62">
        <f ca="1">AVERAGE(OFFSET($AM$3,0,0,'Données projet'!$E$10+1,1))-AVERAGE(OFFSET($H$3,0,0,'Données projet'!$E$10+1,1))</f>
        <v>400.48230125343474</v>
      </c>
      <c r="AO3" s="62">
        <f>IF('Données projet'!E10&gt;30,$AM$33-$H$33,LOOKUP('Données projet'!$E$10,$A$3:$A$203,AM3:AM203)-LOOKUP('Données projet'!$E$10,$A$3:$A$203,$H$3:$H$203))</f>
        <v>275.67023303885048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>
        <f>BD3*VLOOKUP('Données projet'!$B$11,Paramètres!$A$1:$I$89,3,0)*VLOOKUP('Données projet'!$B$11,Paramètres!$A$1:$I$89,5,0)</f>
        <v>0</v>
      </c>
      <c r="BF3" s="13">
        <v>0</v>
      </c>
      <c r="BG3" s="15">
        <f>(BE3+BF3)*0.475*44/12</f>
        <v>0</v>
      </c>
      <c r="BH3" s="62">
        <f>BG3+(AY3+AZ3)*44/12</f>
        <v>165</v>
      </c>
      <c r="BI3" s="62">
        <f ca="1">AVERAGE(OFFSET($BH$3,0,0,'Données projet'!$E$11+1,1))-AVERAGE(OFFSET($H$3,0,0,'Données projet'!$E$11+1,1))</f>
        <v>496.33873798282525</v>
      </c>
      <c r="BJ3" s="62">
        <f>IF('Données projet'!E11&gt;30,$BH$33-$H$33,LOOKUP('Données projet'!$E$11,$A$3:$A$203,BH3:BH203)-LOOKUP('Données projet'!$E$11,$A$3:$A$203,$H$3:$H$203))</f>
        <v>280.25465074992246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>
        <f>BY3*VLOOKUP('Données projet'!$B$12,Paramètres!$A$1:$I$89,3,0)*VLOOKUP('Données projet'!$B$12,Paramètres!$A$1:$I$89,5,0)</f>
        <v>0</v>
      </c>
      <c r="CA3" s="13">
        <v>0</v>
      </c>
      <c r="CB3" s="15">
        <f>(BZ3+CA3)*0.475*44/12</f>
        <v>0</v>
      </c>
      <c r="CC3" s="62">
        <f>CB3+(BT3+BU3)*44/12</f>
        <v>165</v>
      </c>
      <c r="CD3" s="62">
        <f ca="1">AVERAGE(OFFSET($CC$3,0,0,'Données projet'!$E$12+1,1))-AVERAGE(OFFSET($H$3,0,0,'Données projet'!$E$12+1,1))</f>
        <v>298.56812743477741</v>
      </c>
      <c r="CE3" s="62">
        <f>IF('Données projet'!E12&gt;30,$CC$33-$H$33,LOOKUP('Données projet'!$E$12,$A$3:$A$203,CC3:CC203)-LOOKUP('Données projet'!$E$12,$A$3:$A$203,$H$3:$H$203))</f>
        <v>276.01618888357268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>
        <f>CT3*VLOOKUP('Données projet'!$B$13,Paramètres!$A$1:$I$89,3,0)*VLOOKUP('Données projet'!$B$13,Paramètres!$A$1:$I$89,5,0)</f>
        <v>0</v>
      </c>
      <c r="CV3" s="13">
        <v>0</v>
      </c>
      <c r="CW3" s="15">
        <f>(CU3+CV3)*0.475*44/12</f>
        <v>0</v>
      </c>
      <c r="CX3" s="62">
        <f>CW3+(CO3+CP3)*44/12</f>
        <v>165</v>
      </c>
      <c r="CY3" s="62">
        <f ca="1">AVERAGE(OFFSET($CX$3,0,0,'Données projet'!$E$13+1,1))-AVERAGE(OFFSET($H$3,0,0,'Données projet'!$E$13+1,1))</f>
        <v>346.82725381974132</v>
      </c>
      <c r="CZ3" s="62">
        <f>IF('Données projet'!E13&gt;30,$CX$33-$H$33,LOOKUP('Données projet'!$E$13,$A$3:$A$203,CX3:CX203)-LOOKUP('Données projet'!$E$13,$A$3:$A$203,$H$3:$H$203))</f>
        <v>254.09787950201044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5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2">
        <f>IFERROR(EXP(-1.0587+0.8836*LN(C4)+0.284),0)</f>
        <v>0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18.333333333333332</v>
      </c>
      <c r="H4" s="70">
        <f t="shared" ref="H4:H67" si="1">(B4+E4+F4)*44/12+(C4+D4)*0.475*44/12</f>
        <v>183.33333333333334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2.1</v>
      </c>
      <c r="N4" s="14">
        <f>IF('Données projet'!$A$36&gt;35,N3+M4-V3,IF(A4&lt;'Données projet'!$A$36,$K$205^A4,IF(A4='Données projet'!$A$36,'Données projet'!$B$36,N3+M4-V3)))</f>
        <v>1.2054868146447177</v>
      </c>
      <c r="O4" s="14">
        <f>N4*VLOOKUP('Données projet'!$B$9,Paramètres!$A$1:$I$89,3,0)*VLOOKUP('Données projet'!$B$9,Paramètres!$A$1:$I$89,5,0)</f>
        <v>1.0907244698905405</v>
      </c>
      <c r="P4" s="14">
        <f>EXP(-1.0587+0.8836*LN(O4)+0.284)</f>
        <v>0.49759623852608204</v>
      </c>
      <c r="Q4" s="22">
        <f t="shared" ref="Q4:Q34" si="2">(O4+P4)*0.475*44/12</f>
        <v>2.7663252338256172</v>
      </c>
      <c r="R4" s="62">
        <f t="shared" si="0"/>
        <v>170.57875918674947</v>
      </c>
      <c r="S4" s="62">
        <f ca="1">AVERAGE(OFFSET($R$3,0,0,'Données projet'!$E$9+1,1))-AVERAGE(OFFSET($H$3,0,0,'Données projet'!$E$9+1,1))</f>
        <v>469.67944008675863</v>
      </c>
      <c r="T4" s="62">
        <f>$T$3</f>
        <v>266.11908070867173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2.4358974358974361</v>
      </c>
      <c r="AI4" s="14">
        <f>IF('Données projet'!$A$62&gt;35,AI3+AH4-AQ3,IF(A4&lt;'Données projet'!$A$62,$AF$205^A4,IF(A4='Données projet'!$A$62,'Données projet'!$B$62,AI3+AH4-AQ3)))</f>
        <v>1.2711106295585217</v>
      </c>
      <c r="AJ4" s="14">
        <f>AI4*VLOOKUP('Données projet'!$B$10,Paramètres!$A$1:$I$89,3,0)*VLOOKUP('Données projet'!$B$10,Paramètres!$A$1:$I$89,5,0)</f>
        <v>1.2095888750878894</v>
      </c>
      <c r="AK4" s="14">
        <f>EXP(-1.0587+0.8836*LN(AJ4)+0.284)</f>
        <v>0.5452187850680178</v>
      </c>
      <c r="AL4" s="22">
        <f t="shared" ref="AL4:AL67" si="4">(AJ4+AK4)*0.475*44/12</f>
        <v>3.0562900081048716</v>
      </c>
      <c r="AM4" s="62">
        <f t="shared" ref="AM4:AM67" si="5">AL4+(AD4+AE4)*44/12</f>
        <v>170.86872396102871</v>
      </c>
      <c r="AN4" s="62">
        <f ca="1">AVERAGE(OFFSET($AM$3,0,0,'Données projet'!$E$10+1,1))-AVERAGE(OFFSET($H$3,0,0,'Données projet'!$E$10+1,1))</f>
        <v>400.48230125343474</v>
      </c>
      <c r="AO4" s="62">
        <f>$AO$3</f>
        <v>275.67023303885048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2.1</v>
      </c>
      <c r="BD4" s="13">
        <f>IF('Données projet'!$A$88&gt;35,BD3+BC4-BL3,IF(A4&lt;'Données projet'!$A$88,$BA$205^A4,IF(A4='Données projet'!$A$88,'Données projet'!$B$88,BD3+BC4-BL3)))</f>
        <v>1.2054868146447177</v>
      </c>
      <c r="BE4" s="14">
        <f>BD4*VLOOKUP('Données projet'!$B$11,Paramètres!$A$1:$I$89,3,0)*VLOOKUP('Données projet'!$B$11,Paramètres!$A$1:$I$89,5,0)</f>
        <v>1.165946847124371</v>
      </c>
      <c r="BF4" s="14">
        <f>EXP(-1.0587+0.8836*LN(BE4)+0.284)</f>
        <v>0.52780002987456354</v>
      </c>
      <c r="BG4" s="22">
        <f t="shared" ref="BG4:BG67" si="7">(BE4+BF4)*0.475*44/12</f>
        <v>2.9499424774398109</v>
      </c>
      <c r="BH4" s="62">
        <f t="shared" ref="BH4:BH67" si="8">BG4+(AY4+AZ4)*44/12</f>
        <v>170.76237643036364</v>
      </c>
      <c r="BI4" s="62">
        <f ca="1">AVERAGE(OFFSET($BH$3,0,0,'Données projet'!$E$11+1,1))-AVERAGE(OFFSET($H$3,0,0,'Données projet'!$E$11+1,1))</f>
        <v>496.33873798282525</v>
      </c>
      <c r="BJ4" s="62">
        <f>$BJ$3</f>
        <v>280.25465074992246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>
        <f>EXP(-LN(2)/35)*BP3+(1-EXP(-LN(2)/35))/(LN(2)/35)*BL4*BM4*VLOOKUP('Données projet'!$B$11,Paramètres!$A$1:$I$89,3,0)*0.475*44/12</f>
        <v>0</v>
      </c>
      <c r="BQ4" s="23">
        <f>EXP(-LN(2)/25)*BQ3+(1-EXP(-LN(2)/25))/(LN(2)/25)*Calculateur!BL4*Calculateur!BN4*VLOOKUP('Données projet'!$B$11,Paramètres!$A$1:$I$89,3,0)*0.475*44/12</f>
        <v>0</v>
      </c>
      <c r="BR4" s="23">
        <f>EXP(-LN(2)/2)*BR3+(1-EXP(-LN(2)/2))/(LN(2)/2)*BL4*BO4*VLOOKUP('Données projet'!$B$11,Paramètres!$A$1:$I$89,3,0)*0.475*44/12</f>
        <v>0</v>
      </c>
      <c r="BS4" s="24">
        <f t="shared" ref="BS4:BS67" si="9">SUM(BP4:BR4)</f>
        <v>0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0.6</v>
      </c>
      <c r="BY4" s="13">
        <f>IF('Données projet'!$A$114&gt;35,BY3+BX4-CG3,IF(A4&lt;'Données projet'!$A$114,$BV$205^A4,IF(A4='Données projet'!$A$114,'Données projet'!$B$114,BY3+BX4-CG3)))</f>
        <v>1.1577536725165907</v>
      </c>
      <c r="BZ4" s="14">
        <f>BY4*VLOOKUP('Données projet'!$B$12,Paramètres!$A$1:$I$89,3,0)*VLOOKUP('Données projet'!$B$12,Paramètres!$A$1:$I$89,5,0)</f>
        <v>1.0114136083104937</v>
      </c>
      <c r="CA4" s="14">
        <f>EXP(-1.0587+0.8836*LN(BZ4)+0.284)</f>
        <v>0.46548655994988658</v>
      </c>
      <c r="CB4" s="22">
        <f t="shared" ref="CB4:CB67" si="10">(BZ4+CA4)*0.475*44/12</f>
        <v>2.5722677930534954</v>
      </c>
      <c r="CC4" s="62">
        <f t="shared" ref="CC4:CC67" si="11">CB4+(BT4+BU4)*44/12</f>
        <v>170.38470174597734</v>
      </c>
      <c r="CD4" s="62">
        <f ca="1">AVERAGE(OFFSET($CC$3,0,0,'Données projet'!$E$12+1,1))-AVERAGE(OFFSET($H$3,0,0,'Données projet'!$E$12+1,1))</f>
        <v>298.56812743477741</v>
      </c>
      <c r="CE4" s="62">
        <f>$CE$3</f>
        <v>276.01618888357268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>
        <f>EXP(-LN(2)/35)*CK3+(1-EXP(-LN(2)/35))/(LN(2)/35)*CG4*CH4*VLOOKUP('Données projet'!$B$12,Paramètres!$A$1:$I$89,3,0)*0.475*44/12</f>
        <v>0</v>
      </c>
      <c r="CL4" s="23">
        <f>EXP(-LN(2)/25)*CL3+(1-EXP(-LN(2)/25))/(LN(2)/25)*Calculateur!CG4*Calculateur!CI4*VLOOKUP('Données projet'!$B$12,Paramètres!$A$1:$I$89,3,0)*0.475*44/12</f>
        <v>0</v>
      </c>
      <c r="CM4" s="23">
        <f>EXP(-LN(2)/2)*CM3+(1-EXP(-LN(2)/2))/(LN(2)/2)*CG4*CJ4*VLOOKUP('Données projet'!$B$12,Paramètres!$A$1:$I$89,3,0)*0.475*44/12</f>
        <v>0</v>
      </c>
      <c r="CN4" s="24">
        <f t="shared" ref="CN4:CN67" si="12">SUM(CK4:CM4)</f>
        <v>0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3.3333333333333335</v>
      </c>
      <c r="CT4" s="13">
        <f>IF('Données projet'!$A$140&gt;35,CT3+CS4-DB3,IF(A4&lt;'Données projet'!$A$140,$CQ$205^A4,IF(A4='Données projet'!$A$140,'Données projet'!$B$140,CT3+CS4-DB3)))</f>
        <v>1.2979700365523266</v>
      </c>
      <c r="CU4" s="18">
        <f>CT4*VLOOKUP('Données projet'!$B$13,Paramètres!$A$1:$I$89,3,0)*VLOOKUP('Données projet'!$B$13,Paramètres!$A$1:$I$89,5,0)</f>
        <v>0.87067830051930062</v>
      </c>
      <c r="CV4" s="14">
        <f>EXP(-1.0587+0.8836*LN(CU4)+0.284)</f>
        <v>0.40776537662742923</v>
      </c>
      <c r="CW4" s="22">
        <f t="shared" ref="CW4:CW67" si="13">(CU4+CV4)*0.475*44/12</f>
        <v>2.226622737697221</v>
      </c>
      <c r="CX4" s="62">
        <f t="shared" ref="CX4:CX67" si="14">CW4+(CO4+CP4)*44/12</f>
        <v>170.03905669062107</v>
      </c>
      <c r="CY4" s="62">
        <f ca="1">AVERAGE(OFFSET($CX$3,0,0,'Données projet'!$E$13+1,1))-AVERAGE(OFFSET($H$3,0,0,'Données projet'!$E$13+1,1))</f>
        <v>346.82725381974132</v>
      </c>
      <c r="CZ4" s="62">
        <f>$CZ$3</f>
        <v>254.09787950201044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>
        <f>EXP(-LN(2)/35)*DF3+(1-EXP(-LN(2)/35))/(LN(2)/35)*DB4*DC4*VLOOKUP('Données projet'!$B$13,Paramètres!$A$1:$I$89,3,0)*0.475*44/12</f>
        <v>0</v>
      </c>
      <c r="DG4" s="23">
        <f>EXP(-LN(2)/25)*DG3+(1-EXP(-LN(2)/25))/(LN(2)/25)*Calculateur!DB4*Calculateur!DD4*VLOOKUP('Données projet'!$B$13,Paramètres!$A$1:$I$89,3,0)*0.475*44/12</f>
        <v>0</v>
      </c>
      <c r="DH4" s="23">
        <f>EXP(-LN(2)/2)*DH3+(1-EXP(-LN(2)/2))/(LN(2)/2)*DB4*DE4*VLOOKUP('Données projet'!$B$13,Paramètres!$A$1:$I$89,3,0)*0.475*44/12</f>
        <v>0</v>
      </c>
      <c r="DI4" s="24">
        <f t="shared" ref="DI4:DI67" si="15">SUM(DF4:DH4)</f>
        <v>0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5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2">
        <f t="shared" ref="D5:D68" si="32">IFERROR(EXP(-1.0587+0.8836*LN(C5)+0.284),0)</f>
        <v>0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18.333333333333332</v>
      </c>
      <c r="H5" s="70">
        <f t="shared" si="1"/>
        <v>183.33333333333334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2.1</v>
      </c>
      <c r="N5" s="14">
        <f>IF('Données projet'!$A$36&gt;35,N4+M5-V4,IF(A5&lt;'Données projet'!$A$36,$K$205^A5,IF(A5='Données projet'!$A$36,'Données projet'!$B$36,N4+M5-V4)))</f>
        <v>1.4531984602822681</v>
      </c>
      <c r="O5" s="14">
        <f>N5*VLOOKUP('Données projet'!$B$9,Paramètres!$A$1:$I$89,3,0)*VLOOKUP('Données projet'!$B$9,Paramètres!$A$1:$I$89,5,0)</f>
        <v>1.3148539668633961</v>
      </c>
      <c r="P5" s="14">
        <f t="shared" ref="P5:P68" si="33">EXP(-1.0587+0.8836*LN(O5)+0.284)</f>
        <v>0.58693801963664449</v>
      </c>
      <c r="Q5" s="22">
        <f t="shared" si="2"/>
        <v>3.3122877098209038</v>
      </c>
      <c r="R5" s="62">
        <f t="shared" si="0"/>
        <v>173.90956899732174</v>
      </c>
      <c r="S5" s="62">
        <f ca="1">AVERAGE(OFFSET($R$3,0,0,'Données projet'!$E$9+1,1))-AVERAGE(OFFSET($H$3,0,0,'Données projet'!$E$9+1,1))</f>
        <v>469.67944008675863</v>
      </c>
      <c r="T5" s="62">
        <f t="shared" ref="T5:T68" si="34">$T$3</f>
        <v>266.11908070867173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2.4358974358974361</v>
      </c>
      <c r="AI5" s="14">
        <f>IF('Données projet'!$A$62&gt;35,AI4+AH5-AQ4,IF(A5&lt;'Données projet'!$A$62,$AF$205^A5,IF(A5='Données projet'!$A$62,'Données projet'!$B$62,AI4+AH5-AQ4)))</f>
        <v>1.6157222325766614</v>
      </c>
      <c r="AJ5" s="14">
        <f>AI5*VLOOKUP('Données projet'!$B$10,Paramètres!$A$1:$I$89,3,0)*VLOOKUP('Données projet'!$B$10,Paramètres!$A$1:$I$89,5,0)</f>
        <v>1.5375212765199511</v>
      </c>
      <c r="AK5" s="14">
        <f t="shared" ref="AK5:AK68" si="35">EXP(-1.0587+0.8836*LN(AJ5)+0.284)</f>
        <v>0.67394928852564717</v>
      </c>
      <c r="AL5" s="22">
        <f t="shared" si="4"/>
        <v>3.8516445674544162</v>
      </c>
      <c r="AM5" s="62">
        <f t="shared" si="5"/>
        <v>174.44892585495526</v>
      </c>
      <c r="AN5" s="62">
        <f ca="1">AVERAGE(OFFSET($AM$3,0,0,'Données projet'!$E$10+1,1))-AVERAGE(OFFSET($H$3,0,0,'Données projet'!$E$10+1,1))</f>
        <v>400.48230125343474</v>
      </c>
      <c r="AO5" s="62">
        <f t="shared" ref="AO5:AO68" si="36">$AO$3</f>
        <v>275.67023303885048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2.1</v>
      </c>
      <c r="BD5" s="13">
        <f>IF('Données projet'!$A$88&gt;35,BD4+BC5-BL4,IF(A5&lt;'Données projet'!$A$88,$BA$205^A5,IF(A5='Données projet'!$A$88,'Données projet'!$B$88,BD4+BC5-BL4)))</f>
        <v>1.4531984602822681</v>
      </c>
      <c r="BE5" s="14">
        <f>BD5*VLOOKUP('Données projet'!$B$11,Paramètres!$A$1:$I$89,3,0)*VLOOKUP('Données projet'!$B$11,Paramètres!$A$1:$I$89,5,0)</f>
        <v>1.4055335507850097</v>
      </c>
      <c r="BF5" s="14">
        <f t="shared" ref="BF5:BF68" si="37">EXP(-1.0587+0.8836*LN(BE5)+0.284)</f>
        <v>0.62256480317525631</v>
      </c>
      <c r="BG5" s="22">
        <f t="shared" si="7"/>
        <v>3.5322712998141292</v>
      </c>
      <c r="BH5" s="62">
        <f t="shared" si="8"/>
        <v>174.12955258731498</v>
      </c>
      <c r="BI5" s="62">
        <f ca="1">AVERAGE(OFFSET($BH$3,0,0,'Données projet'!$E$11+1,1))-AVERAGE(OFFSET($H$3,0,0,'Données projet'!$E$11+1,1))</f>
        <v>496.33873798282525</v>
      </c>
      <c r="BJ5" s="62">
        <f t="shared" ref="BJ5:BJ68" si="38">$BJ$3</f>
        <v>280.25465074992246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>
        <f>EXP(-LN(2)/35)*BP4+(1-EXP(-LN(2)/35))/(LN(2)/35)*BL5*BM5*VLOOKUP('Données projet'!$B$11,Paramètres!$A$1:$I$89,3,0)*0.475*44/12</f>
        <v>0</v>
      </c>
      <c r="BQ5" s="23">
        <f>EXP(-LN(2)/25)*BQ4+(1-EXP(-LN(2)/25))/(LN(2)/25)*Calculateur!BL5*Calculateur!BN5*VLOOKUP('Données projet'!$B$11,Paramètres!$A$1:$I$89,3,0)*0.475*44/12</f>
        <v>0</v>
      </c>
      <c r="BR5" s="23">
        <f>EXP(-LN(2)/2)*BR4+(1-EXP(-LN(2)/2))/(LN(2)/2)*BL5*BO5*VLOOKUP('Données projet'!$B$11,Paramètres!$A$1:$I$89,3,0)*0.475*44/12</f>
        <v>0</v>
      </c>
      <c r="BS5" s="24">
        <f t="shared" si="9"/>
        <v>0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0.6</v>
      </c>
      <c r="BY5" s="13">
        <f>IF('Données projet'!$A$114&gt;35,BY4+BX5-CG4,IF(A5&lt;'Données projet'!$A$114,$BV$205^A5,IF(A5='Données projet'!$A$114,'Données projet'!$B$114,BY4+BX5-CG4)))</f>
        <v>1.340393566225653</v>
      </c>
      <c r="BZ5" s="14">
        <f>BY5*VLOOKUP('Données projet'!$B$12,Paramètres!$A$1:$I$89,3,0)*VLOOKUP('Données projet'!$B$12,Paramètres!$A$1:$I$89,5,0)</f>
        <v>1.1709678194547306</v>
      </c>
      <c r="CA5" s="14">
        <f t="shared" ref="CA5:CA68" si="39">EXP(-1.0587+0.8836*LN(BZ5)+0.284)</f>
        <v>0.52980785325350399</v>
      </c>
      <c r="CB5" s="22">
        <f t="shared" si="10"/>
        <v>2.9621842966335081</v>
      </c>
      <c r="CC5" s="62">
        <f t="shared" si="11"/>
        <v>173.55946558413433</v>
      </c>
      <c r="CD5" s="62">
        <f ca="1">AVERAGE(OFFSET($CC$3,0,0,'Données projet'!$E$12+1,1))-AVERAGE(OFFSET($H$3,0,0,'Données projet'!$E$12+1,1))</f>
        <v>298.56812743477741</v>
      </c>
      <c r="CE5" s="62">
        <f t="shared" ref="CE5:CE68" si="40">$CE$3</f>
        <v>276.01618888357268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>
        <f>EXP(-LN(2)/35)*CK4+(1-EXP(-LN(2)/35))/(LN(2)/35)*CG5*CH5*VLOOKUP('Données projet'!$B$12,Paramètres!$A$1:$I$89,3,0)*0.475*44/12</f>
        <v>0</v>
      </c>
      <c r="CL5" s="23">
        <f>EXP(-LN(2)/25)*CL4+(1-EXP(-LN(2)/25))/(LN(2)/25)*Calculateur!CG5*Calculateur!CI5*VLOOKUP('Données projet'!$B$12,Paramètres!$A$1:$I$89,3,0)*0.475*44/12</f>
        <v>0</v>
      </c>
      <c r="CM5" s="23">
        <f>EXP(-LN(2)/2)*CM4+(1-EXP(-LN(2)/2))/(LN(2)/2)*CG5*CJ5*VLOOKUP('Données projet'!$B$12,Paramètres!$A$1:$I$89,3,0)*0.475*44/12</f>
        <v>0</v>
      </c>
      <c r="CN5" s="24">
        <f t="shared" si="12"/>
        <v>0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3.3333333333333335</v>
      </c>
      <c r="CT5" s="13">
        <f>IF('Données projet'!$A$140&gt;35,CT4+CS5-DB4,IF(A5&lt;'Données projet'!$A$140,$CQ$205^A5,IF(A5='Données projet'!$A$140,'Données projet'!$B$140,CT4+CS5-DB4)))</f>
        <v>1.6847262157876479</v>
      </c>
      <c r="CU5" s="18">
        <f>CT5*VLOOKUP('Données projet'!$B$13,Paramètres!$A$1:$I$89,3,0)*VLOOKUP('Données projet'!$B$13,Paramètres!$A$1:$I$89,5,0)</f>
        <v>1.1301143455503542</v>
      </c>
      <c r="CV5" s="14">
        <f t="shared" ref="CV5:CV68" si="41">EXP(-1.0587+0.8836*LN(CU5)+0.284)</f>
        <v>0.5134415452108555</v>
      </c>
      <c r="CW5" s="22">
        <f t="shared" si="13"/>
        <v>2.8625265097424397</v>
      </c>
      <c r="CX5" s="62">
        <f t="shared" si="14"/>
        <v>173.45980779724329</v>
      </c>
      <c r="CY5" s="62">
        <f ca="1">AVERAGE(OFFSET($CX$3,0,0,'Données projet'!$E$13+1,1))-AVERAGE(OFFSET($H$3,0,0,'Données projet'!$E$13+1,1))</f>
        <v>346.82725381974132</v>
      </c>
      <c r="CZ5" s="62">
        <f t="shared" ref="CZ5:CZ68" si="42">$CZ$3</f>
        <v>254.09787950201044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>
        <f>EXP(-LN(2)/35)*DF4+(1-EXP(-LN(2)/35))/(LN(2)/35)*DB5*DC5*VLOOKUP('Données projet'!$B$13,Paramètres!$A$1:$I$89,3,0)*0.475*44/12</f>
        <v>0</v>
      </c>
      <c r="DG5" s="23">
        <f>EXP(-LN(2)/25)*DG4+(1-EXP(-LN(2)/25))/(LN(2)/25)*Calculateur!DB5*Calculateur!DD5*VLOOKUP('Données projet'!$B$13,Paramètres!$A$1:$I$89,3,0)*0.475*44/12</f>
        <v>0</v>
      </c>
      <c r="DH5" s="23">
        <f>EXP(-LN(2)/2)*DH4+(1-EXP(-LN(2)/2))/(LN(2)/2)*DB5*DE5*VLOOKUP('Données projet'!$B$13,Paramètres!$A$1:$I$89,3,0)*0.475*44/12</f>
        <v>0</v>
      </c>
      <c r="DI5" s="24">
        <f t="shared" si="15"/>
        <v>0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5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2">
        <f t="shared" si="32"/>
        <v>0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18.333333333333332</v>
      </c>
      <c r="H6" s="70">
        <f t="shared" si="1"/>
        <v>183.33333333333334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2.1</v>
      </c>
      <c r="N6" s="14">
        <f>IF('Données projet'!$A$36&gt;35,N5+M6-V5,IF(A6&lt;'Données projet'!$A$36,$K$205^A6,IF(A6='Données projet'!$A$36,'Données projet'!$B$36,N5+M6-V5)))</f>
        <v>1.7518115829322798</v>
      </c>
      <c r="O6" s="14">
        <f>N6*VLOOKUP('Données projet'!$B$9,Paramètres!$A$1:$I$89,3,0)*VLOOKUP('Données projet'!$B$9,Paramètres!$A$1:$I$89,5,0)</f>
        <v>1.5850391202371266</v>
      </c>
      <c r="P6" s="14">
        <f t="shared" si="33"/>
        <v>0.69232082604846479</v>
      </c>
      <c r="Q6" s="22">
        <f t="shared" si="2"/>
        <v>3.966401906447405</v>
      </c>
      <c r="R6" s="62">
        <f t="shared" si="0"/>
        <v>177.32142247633229</v>
      </c>
      <c r="S6" s="62">
        <f ca="1">AVERAGE(OFFSET($R$3,0,0,'Données projet'!$E$9+1,1))-AVERAGE(OFFSET($H$3,0,0,'Données projet'!$E$9+1,1))</f>
        <v>469.67944008675863</v>
      </c>
      <c r="T6" s="62">
        <f t="shared" si="34"/>
        <v>266.11908070867173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2.4358974358974361</v>
      </c>
      <c r="AI6" s="14">
        <f>IF('Données projet'!$A$62&gt;35,AI5+AH6-AQ5,IF(A6&lt;'Données projet'!$A$62,$AF$205^A6,IF(A6='Données projet'!$A$62,'Données projet'!$B$62,AI5+AH6-AQ5)))</f>
        <v>2.0537617042422203</v>
      </c>
      <c r="AJ6" s="14">
        <f>AI6*VLOOKUP('Données projet'!$B$10,Paramètres!$A$1:$I$89,3,0)*VLOOKUP('Données projet'!$B$10,Paramètres!$A$1:$I$89,5,0)</f>
        <v>1.9543596377568968</v>
      </c>
      <c r="AK6" s="14">
        <f t="shared" si="35"/>
        <v>0.83307409051865666</v>
      </c>
      <c r="AL6" s="22">
        <f t="shared" si="4"/>
        <v>4.8547804100799219</v>
      </c>
      <c r="AM6" s="62">
        <f t="shared" si="5"/>
        <v>178.2098009799648</v>
      </c>
      <c r="AN6" s="62">
        <f ca="1">AVERAGE(OFFSET($AM$3,0,0,'Données projet'!$E$10+1,1))-AVERAGE(OFFSET($H$3,0,0,'Données projet'!$E$10+1,1))</f>
        <v>400.48230125343474</v>
      </c>
      <c r="AO6" s="62">
        <f t="shared" si="36"/>
        <v>275.67023303885048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2.1</v>
      </c>
      <c r="BD6" s="13">
        <f>IF('Données projet'!$A$88&gt;35,BD5+BC6-BL5,IF(A6&lt;'Données projet'!$A$88,$BA$205^A6,IF(A6='Données projet'!$A$88,'Données projet'!$B$88,BD5+BC6-BL5)))</f>
        <v>1.7518115829322798</v>
      </c>
      <c r="BE6" s="14">
        <f>BD6*VLOOKUP('Données projet'!$B$11,Paramètres!$A$1:$I$89,3,0)*VLOOKUP('Données projet'!$B$11,Paramètres!$A$1:$I$89,5,0)</f>
        <v>1.694352163012101</v>
      </c>
      <c r="BF6" s="14">
        <f t="shared" si="37"/>
        <v>0.73434428233124405</v>
      </c>
      <c r="BG6" s="22">
        <f t="shared" si="7"/>
        <v>4.2299796423063247</v>
      </c>
      <c r="BH6" s="62">
        <f t="shared" si="8"/>
        <v>177.5850002121912</v>
      </c>
      <c r="BI6" s="62">
        <f ca="1">AVERAGE(OFFSET($BH$3,0,0,'Données projet'!$E$11+1,1))-AVERAGE(OFFSET($H$3,0,0,'Données projet'!$E$11+1,1))</f>
        <v>496.33873798282525</v>
      </c>
      <c r="BJ6" s="62">
        <f t="shared" si="38"/>
        <v>280.25465074992246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>
        <f>EXP(-LN(2)/35)*BP5+(1-EXP(-LN(2)/35))/(LN(2)/35)*BL6*BM6*VLOOKUP('Données projet'!$B$11,Paramètres!$A$1:$I$89,3,0)*0.475*44/12</f>
        <v>0</v>
      </c>
      <c r="BQ6" s="23">
        <f>EXP(-LN(2)/25)*BQ5+(1-EXP(-LN(2)/25))/(LN(2)/25)*Calculateur!BL6*Calculateur!BN6*VLOOKUP('Données projet'!$B$11,Paramètres!$A$1:$I$89,3,0)*0.475*44/12</f>
        <v>0</v>
      </c>
      <c r="BR6" s="23">
        <f>EXP(-LN(2)/2)*BR5+(1-EXP(-LN(2)/2))/(LN(2)/2)*BL6*BO6*VLOOKUP('Données projet'!$B$11,Paramètres!$A$1:$I$89,3,0)*0.475*44/12</f>
        <v>0</v>
      </c>
      <c r="BS6" s="24">
        <f t="shared" si="9"/>
        <v>0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0.6</v>
      </c>
      <c r="BY6" s="13">
        <f>IF('Données projet'!$A$114&gt;35,BY5+BX6-CG5,IF(A6&lt;'Données projet'!$A$114,$BV$205^A6,IF(A6='Données projet'!$A$114,'Données projet'!$B$114,BY5+BX6-CG5)))</f>
        <v>1.5518455739153598</v>
      </c>
      <c r="BZ6" s="14">
        <f>BY6*VLOOKUP('Données projet'!$B$12,Paramètres!$A$1:$I$89,3,0)*VLOOKUP('Données projet'!$B$12,Paramètres!$A$1:$I$89,5,0)</f>
        <v>1.3556922933724584</v>
      </c>
      <c r="CA6" s="14">
        <f t="shared" si="39"/>
        <v>0.6030171126730397</v>
      </c>
      <c r="CB6" s="22">
        <f t="shared" si="10"/>
        <v>3.4114188821959091</v>
      </c>
      <c r="CC6" s="62">
        <f t="shared" si="11"/>
        <v>176.76643945208079</v>
      </c>
      <c r="CD6" s="62">
        <f ca="1">AVERAGE(OFFSET($CC$3,0,0,'Données projet'!$E$12+1,1))-AVERAGE(OFFSET($H$3,0,0,'Données projet'!$E$12+1,1))</f>
        <v>298.56812743477741</v>
      </c>
      <c r="CE6" s="62">
        <f t="shared" si="40"/>
        <v>276.01618888357268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>
        <f>EXP(-LN(2)/35)*CK5+(1-EXP(-LN(2)/35))/(LN(2)/35)*CG6*CH6*VLOOKUP('Données projet'!$B$12,Paramètres!$A$1:$I$89,3,0)*0.475*44/12</f>
        <v>0</v>
      </c>
      <c r="CL6" s="23">
        <f>EXP(-LN(2)/25)*CL5+(1-EXP(-LN(2)/25))/(LN(2)/25)*Calculateur!CG6*Calculateur!CI6*VLOOKUP('Données projet'!$B$12,Paramètres!$A$1:$I$89,3,0)*0.475*44/12</f>
        <v>0</v>
      </c>
      <c r="CM6" s="23">
        <f>EXP(-LN(2)/2)*CM5+(1-EXP(-LN(2)/2))/(LN(2)/2)*CG6*CJ6*VLOOKUP('Données projet'!$B$12,Paramètres!$A$1:$I$89,3,0)*0.475*44/12</f>
        <v>0</v>
      </c>
      <c r="CN6" s="24">
        <f t="shared" si="12"/>
        <v>0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3.3333333333333335</v>
      </c>
      <c r="CT6" s="13">
        <f>IF('Données projet'!$A$140&gt;35,CT5+CS6-DB5,IF(A6&lt;'Données projet'!$A$140,$CQ$205^A6,IF(A6='Données projet'!$A$140,'Données projet'!$B$140,CT5+CS6-DB5)))</f>
        <v>2.1867241478865562</v>
      </c>
      <c r="CU6" s="18">
        <f>CT6*VLOOKUP('Données projet'!$B$13,Paramètres!$A$1:$I$89,3,0)*VLOOKUP('Données projet'!$B$13,Paramètres!$A$1:$I$89,5,0)</f>
        <v>1.4668545584023018</v>
      </c>
      <c r="CV6" s="14">
        <f t="shared" si="41"/>
        <v>0.64650467023192038</v>
      </c>
      <c r="CW6" s="22">
        <f t="shared" si="13"/>
        <v>3.6807673232046039</v>
      </c>
      <c r="CX6" s="62">
        <f t="shared" si="14"/>
        <v>177.03578789308949</v>
      </c>
      <c r="CY6" s="62">
        <f ca="1">AVERAGE(OFFSET($CX$3,0,0,'Données projet'!$E$13+1,1))-AVERAGE(OFFSET($H$3,0,0,'Données projet'!$E$13+1,1))</f>
        <v>346.82725381974132</v>
      </c>
      <c r="CZ6" s="62">
        <f t="shared" si="42"/>
        <v>254.09787950201044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>
        <f>EXP(-LN(2)/35)*DF5+(1-EXP(-LN(2)/35))/(LN(2)/35)*DB6*DC6*VLOOKUP('Données projet'!$B$13,Paramètres!$A$1:$I$89,3,0)*0.475*44/12</f>
        <v>0</v>
      </c>
      <c r="DG6" s="23">
        <f>EXP(-LN(2)/25)*DG5+(1-EXP(-LN(2)/25))/(LN(2)/25)*Calculateur!DB6*Calculateur!DD6*VLOOKUP('Données projet'!$B$13,Paramètres!$A$1:$I$89,3,0)*0.475*44/12</f>
        <v>0</v>
      </c>
      <c r="DH6" s="23">
        <f>EXP(-LN(2)/2)*DH5+(1-EXP(-LN(2)/2))/(LN(2)/2)*DB6*DE6*VLOOKUP('Données projet'!$B$13,Paramètres!$A$1:$I$89,3,0)*0.475*44/12</f>
        <v>0</v>
      </c>
      <c r="DI6" s="24">
        <f t="shared" si="15"/>
        <v>0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5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2">
        <f t="shared" si="32"/>
        <v>0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18.333333333333332</v>
      </c>
      <c r="H7" s="70">
        <f t="shared" si="1"/>
        <v>183.33333333333334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2.1</v>
      </c>
      <c r="N7" s="14">
        <f>IF('Données projet'!$A$36&gt;35,N6+M7-V6,IF(A7&lt;'Données projet'!$A$36,$K$205^A7,IF(A7='Données projet'!$A$36,'Données projet'!$B$36,N6+M7-V6)))</f>
        <v>2.1117857649667546</v>
      </c>
      <c r="O7" s="14">
        <f>N7*VLOOKUP('Données projet'!$B$9,Paramètres!$A$1:$I$89,3,0)*VLOOKUP('Données projet'!$B$9,Paramètres!$A$1:$I$89,5,0)</f>
        <v>1.9107437601419195</v>
      </c>
      <c r="P7" s="14">
        <f t="shared" si="33"/>
        <v>0.81662477151702284</v>
      </c>
      <c r="Q7" s="22">
        <f t="shared" si="2"/>
        <v>4.7501668593059909</v>
      </c>
      <c r="R7" s="62">
        <f t="shared" si="0"/>
        <v>180.83628892348293</v>
      </c>
      <c r="S7" s="62">
        <f ca="1">AVERAGE(OFFSET($R$3,0,0,'Données projet'!$E$9+1,1))-AVERAGE(OFFSET($H$3,0,0,'Données projet'!$E$9+1,1))</f>
        <v>469.67944008675863</v>
      </c>
      <c r="T7" s="62">
        <f t="shared" si="34"/>
        <v>266.11908070867173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2.4358974358974361</v>
      </c>
      <c r="AI7" s="14">
        <f>IF('Données projet'!$A$62&gt;35,AI6+AH7-AQ6,IF(A7&lt;'Données projet'!$A$62,$AF$205^A7,IF(A7='Données projet'!$A$62,'Données projet'!$B$62,AI6+AH7-AQ6)))</f>
        <v>2.610558332842511</v>
      </c>
      <c r="AJ7" s="14">
        <f>AI7*VLOOKUP('Données projet'!$B$10,Paramètres!$A$1:$I$89,3,0)*VLOOKUP('Données projet'!$B$10,Paramètres!$A$1:$I$89,5,0)</f>
        <v>2.4842073095329336</v>
      </c>
      <c r="AK7" s="14">
        <f t="shared" si="35"/>
        <v>1.029769527335997</v>
      </c>
      <c r="AL7" s="22">
        <f t="shared" si="4"/>
        <v>6.1201763242133866</v>
      </c>
      <c r="AM7" s="62">
        <f t="shared" si="5"/>
        <v>182.20629838839034</v>
      </c>
      <c r="AN7" s="62">
        <f ca="1">AVERAGE(OFFSET($AM$3,0,0,'Données projet'!$E$10+1,1))-AVERAGE(OFFSET($H$3,0,0,'Données projet'!$E$10+1,1))</f>
        <v>400.48230125343474</v>
      </c>
      <c r="AO7" s="62">
        <f t="shared" si="36"/>
        <v>275.67023303885048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2.1</v>
      </c>
      <c r="BD7" s="13">
        <f>IF('Données projet'!$A$88&gt;35,BD6+BC7-BL6,IF(A7&lt;'Données projet'!$A$88,$BA$205^A7,IF(A7='Données projet'!$A$88,'Données projet'!$B$88,BD6+BC7-BL6)))</f>
        <v>2.1117857649667546</v>
      </c>
      <c r="BE7" s="14">
        <f>BD7*VLOOKUP('Données projet'!$B$11,Paramètres!$A$1:$I$89,3,0)*VLOOKUP('Données projet'!$B$11,Paramètres!$A$1:$I$89,5,0)</f>
        <v>2.042519191875845</v>
      </c>
      <c r="BF7" s="14">
        <f t="shared" si="37"/>
        <v>0.86619340226463792</v>
      </c>
      <c r="BG7" s="22">
        <f t="shared" si="7"/>
        <v>5.0660077681280073</v>
      </c>
      <c r="BH7" s="62">
        <f t="shared" si="8"/>
        <v>181.15212983230495</v>
      </c>
      <c r="BI7" s="62">
        <f ca="1">AVERAGE(OFFSET($BH$3,0,0,'Données projet'!$E$11+1,1))-AVERAGE(OFFSET($H$3,0,0,'Données projet'!$E$11+1,1))</f>
        <v>496.33873798282525</v>
      </c>
      <c r="BJ7" s="62">
        <f t="shared" si="38"/>
        <v>280.25465074992246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>
        <f>EXP(-LN(2)/35)*BP6+(1-EXP(-LN(2)/35))/(LN(2)/35)*BL7*BM7*VLOOKUP('Données projet'!$B$11,Paramètres!$A$1:$I$89,3,0)*0.475*44/12</f>
        <v>0</v>
      </c>
      <c r="BQ7" s="23">
        <f>EXP(-LN(2)/25)*BQ6+(1-EXP(-LN(2)/25))/(LN(2)/25)*Calculateur!BL7*Calculateur!BN7*VLOOKUP('Données projet'!$B$11,Paramètres!$A$1:$I$89,3,0)*0.475*44/12</f>
        <v>0</v>
      </c>
      <c r="BR7" s="23">
        <f>EXP(-LN(2)/2)*BR6+(1-EXP(-LN(2)/2))/(LN(2)/2)*BL7*BO7*VLOOKUP('Données projet'!$B$11,Paramètres!$A$1:$I$89,3,0)*0.475*44/12</f>
        <v>0</v>
      </c>
      <c r="BS7" s="24">
        <f t="shared" si="9"/>
        <v>0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0.6</v>
      </c>
      <c r="BY7" s="13">
        <f>IF('Données projet'!$A$114&gt;35,BY6+BX7-CG6,IF(A7&lt;'Données projet'!$A$114,$BV$205^A7,IF(A7='Données projet'!$A$114,'Données projet'!$B$114,BY6+BX7-CG6)))</f>
        <v>1.796654912379124</v>
      </c>
      <c r="BZ7" s="14">
        <f>BY7*VLOOKUP('Données projet'!$B$12,Paramètres!$A$1:$I$89,3,0)*VLOOKUP('Données projet'!$B$12,Paramètres!$A$1:$I$89,5,0)</f>
        <v>1.5695577314544029</v>
      </c>
      <c r="CA7" s="14">
        <f t="shared" si="39"/>
        <v>0.68634248424879218</v>
      </c>
      <c r="CB7" s="22">
        <f t="shared" si="10"/>
        <v>3.9290262090163979</v>
      </c>
      <c r="CC7" s="62">
        <f t="shared" si="11"/>
        <v>180.01514827319335</v>
      </c>
      <c r="CD7" s="62">
        <f ca="1">AVERAGE(OFFSET($CC$3,0,0,'Données projet'!$E$12+1,1))-AVERAGE(OFFSET($H$3,0,0,'Données projet'!$E$12+1,1))</f>
        <v>298.56812743477741</v>
      </c>
      <c r="CE7" s="62">
        <f t="shared" si="40"/>
        <v>276.01618888357268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>
        <f>EXP(-LN(2)/35)*CK6+(1-EXP(-LN(2)/35))/(LN(2)/35)*CG7*CH7*VLOOKUP('Données projet'!$B$12,Paramètres!$A$1:$I$89,3,0)*0.475*44/12</f>
        <v>0</v>
      </c>
      <c r="CL7" s="23">
        <f>EXP(-LN(2)/25)*CL6+(1-EXP(-LN(2)/25))/(LN(2)/25)*Calculateur!CG7*Calculateur!CI7*VLOOKUP('Données projet'!$B$12,Paramètres!$A$1:$I$89,3,0)*0.475*44/12</f>
        <v>0</v>
      </c>
      <c r="CM7" s="23">
        <f>EXP(-LN(2)/2)*CM6+(1-EXP(-LN(2)/2))/(LN(2)/2)*CG7*CJ7*VLOOKUP('Données projet'!$B$12,Paramètres!$A$1:$I$89,3,0)*0.475*44/12</f>
        <v>0</v>
      </c>
      <c r="CN7" s="24">
        <f t="shared" si="12"/>
        <v>0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3.3333333333333335</v>
      </c>
      <c r="CT7" s="13">
        <f>IF('Données projet'!$A$140&gt;35,CT6+CS7-DB6,IF(A7&lt;'Données projet'!$A$140,$CQ$205^A7,IF(A7='Données projet'!$A$140,'Données projet'!$B$140,CT6+CS7-DB6)))</f>
        <v>2.8383024221621684</v>
      </c>
      <c r="CU7" s="18">
        <f>CT7*VLOOKUP('Données projet'!$B$13,Paramètres!$A$1:$I$89,3,0)*VLOOKUP('Données projet'!$B$13,Paramètres!$A$1:$I$89,5,0)</f>
        <v>1.9039332647863827</v>
      </c>
      <c r="CV7" s="14">
        <f t="shared" si="41"/>
        <v>0.81405233474053373</v>
      </c>
      <c r="CW7" s="22">
        <f t="shared" si="13"/>
        <v>4.7338249191760466</v>
      </c>
      <c r="CX7" s="62">
        <f t="shared" si="14"/>
        <v>180.81994698335299</v>
      </c>
      <c r="CY7" s="62">
        <f ca="1">AVERAGE(OFFSET($CX$3,0,0,'Données projet'!$E$13+1,1))-AVERAGE(OFFSET($H$3,0,0,'Données projet'!$E$13+1,1))</f>
        <v>346.82725381974132</v>
      </c>
      <c r="CZ7" s="62">
        <f t="shared" si="42"/>
        <v>254.09787950201044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>
        <f>EXP(-LN(2)/35)*DF6+(1-EXP(-LN(2)/35))/(LN(2)/35)*DB7*DC7*VLOOKUP('Données projet'!$B$13,Paramètres!$A$1:$I$89,3,0)*0.475*44/12</f>
        <v>0</v>
      </c>
      <c r="DG7" s="23">
        <f>EXP(-LN(2)/25)*DG6+(1-EXP(-LN(2)/25))/(LN(2)/25)*Calculateur!DB7*Calculateur!DD7*VLOOKUP('Données projet'!$B$13,Paramètres!$A$1:$I$89,3,0)*0.475*44/12</f>
        <v>0</v>
      </c>
      <c r="DH7" s="23">
        <f>EXP(-LN(2)/2)*DH6+(1-EXP(-LN(2)/2))/(LN(2)/2)*DB7*DE7*VLOOKUP('Données projet'!$B$13,Paramètres!$A$1:$I$89,3,0)*0.475*44/12</f>
        <v>0</v>
      </c>
      <c r="DI7" s="24">
        <f t="shared" si="15"/>
        <v>0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5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2">
        <f t="shared" si="32"/>
        <v>0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18.333333333333332</v>
      </c>
      <c r="H8" s="70">
        <f t="shared" si="1"/>
        <v>183.33333333333334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2.1</v>
      </c>
      <c r="N8" s="14">
        <f>IF('Données projet'!$A$36&gt;35,N7+M8-V7,IF(A8&lt;'Données projet'!$A$36,$K$205^A8,IF(A8='Données projet'!$A$36,'Données projet'!$B$36,N7+M8-V7)))</f>
        <v>2.5457298950218314</v>
      </c>
      <c r="O8" s="14">
        <f>N8*VLOOKUP('Données projet'!$B$9,Paramètres!$A$1:$I$89,3,0)*VLOOKUP('Données projet'!$B$9,Paramètres!$A$1:$I$89,5,0)</f>
        <v>2.3033764090157529</v>
      </c>
      <c r="P8" s="14">
        <f t="shared" si="33"/>
        <v>0.96324708482559218</v>
      </c>
      <c r="Q8" s="22">
        <f t="shared" si="2"/>
        <v>5.6893692517736758</v>
      </c>
      <c r="R8" s="62">
        <f t="shared" si="0"/>
        <v>184.48041712822103</v>
      </c>
      <c r="S8" s="62">
        <f ca="1">AVERAGE(OFFSET($R$3,0,0,'Données projet'!$E$9+1,1))-AVERAGE(OFFSET($H$3,0,0,'Données projet'!$E$9+1,1))</f>
        <v>469.67944008675863</v>
      </c>
      <c r="T8" s="62">
        <f t="shared" si="34"/>
        <v>266.11908070867173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2.4358974358974361</v>
      </c>
      <c r="AI8" s="14">
        <f>IF('Données projet'!$A$62&gt;35,AI7+AH8-AQ7,IF(A8&lt;'Données projet'!$A$62,$AF$205^A8,IF(A8='Données projet'!$A$62,'Données projet'!$B$62,AI7+AH8-AQ7)))</f>
        <v>3.3183084459586891</v>
      </c>
      <c r="AJ8" s="14">
        <f>AI8*VLOOKUP('Données projet'!$B$10,Paramètres!$A$1:$I$89,3,0)*VLOOKUP('Données projet'!$B$10,Paramètres!$A$1:$I$89,5,0)</f>
        <v>3.1577023171742886</v>
      </c>
      <c r="AK8" s="14">
        <f t="shared" si="35"/>
        <v>1.2729063254981332</v>
      </c>
      <c r="AL8" s="22">
        <f t="shared" si="4"/>
        <v>7.7166433859878012</v>
      </c>
      <c r="AM8" s="62">
        <f t="shared" si="5"/>
        <v>186.50769126243515</v>
      </c>
      <c r="AN8" s="62">
        <f ca="1">AVERAGE(OFFSET($AM$3,0,0,'Données projet'!$E$10+1,1))-AVERAGE(OFFSET($H$3,0,0,'Données projet'!$E$10+1,1))</f>
        <v>400.48230125343474</v>
      </c>
      <c r="AO8" s="62">
        <f t="shared" si="36"/>
        <v>275.67023303885048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2.1</v>
      </c>
      <c r="BD8" s="13">
        <f>IF('Données projet'!$A$88&gt;35,BD7+BC8-BL7,IF(A8&lt;'Données projet'!$A$88,$BA$205^A8,IF(A8='Données projet'!$A$88,'Données projet'!$B$88,BD7+BC8-BL7)))</f>
        <v>2.5457298950218314</v>
      </c>
      <c r="BE8" s="14">
        <f>BD8*VLOOKUP('Données projet'!$B$11,Paramètres!$A$1:$I$89,3,0)*VLOOKUP('Données projet'!$B$11,Paramètres!$A$1:$I$89,5,0)</f>
        <v>2.4622299544651152</v>
      </c>
      <c r="BF8" s="14">
        <f t="shared" si="37"/>
        <v>1.021715601495419</v>
      </c>
      <c r="BG8" s="22">
        <f t="shared" si="7"/>
        <v>6.0678718432979295</v>
      </c>
      <c r="BH8" s="62">
        <f t="shared" si="8"/>
        <v>184.85891971974527</v>
      </c>
      <c r="BI8" s="62">
        <f ca="1">AVERAGE(OFFSET($BH$3,0,0,'Données projet'!$E$11+1,1))-AVERAGE(OFFSET($H$3,0,0,'Données projet'!$E$11+1,1))</f>
        <v>496.33873798282525</v>
      </c>
      <c r="BJ8" s="62">
        <f t="shared" si="38"/>
        <v>280.25465074992246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>
        <f>EXP(-LN(2)/35)*BP7+(1-EXP(-LN(2)/35))/(LN(2)/35)*BL8*BM8*VLOOKUP('Données projet'!$B$11,Paramètres!$A$1:$I$89,3,0)*0.475*44/12</f>
        <v>0</v>
      </c>
      <c r="BQ8" s="23">
        <f>EXP(-LN(2)/25)*BQ7+(1-EXP(-LN(2)/25))/(LN(2)/25)*Calculateur!BL8*Calculateur!BN8*VLOOKUP('Données projet'!$B$11,Paramètres!$A$1:$I$89,3,0)*0.475*44/12</f>
        <v>0</v>
      </c>
      <c r="BR8" s="23">
        <f>EXP(-LN(2)/2)*BR7+(1-EXP(-LN(2)/2))/(LN(2)/2)*BL8*BO8*VLOOKUP('Données projet'!$B$11,Paramètres!$A$1:$I$89,3,0)*0.475*44/12</f>
        <v>0</v>
      </c>
      <c r="BS8" s="24">
        <f t="shared" si="9"/>
        <v>0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0.6</v>
      </c>
      <c r="BY8" s="13">
        <f>IF('Données projet'!$A$114&gt;35,BY7+BX8-CG7,IF(A8&lt;'Données projet'!$A$114,$BV$205^A8,IF(A8='Données projet'!$A$114,'Données projet'!$B$114,BY7+BX8-CG7)))</f>
        <v>2.0800838230519041</v>
      </c>
      <c r="BZ8" s="14">
        <f>BY8*VLOOKUP('Données projet'!$B$12,Paramètres!$A$1:$I$89,3,0)*VLOOKUP('Données projet'!$B$12,Paramètres!$A$1:$I$89,5,0)</f>
        <v>1.8171612278181437</v>
      </c>
      <c r="CA8" s="14">
        <f t="shared" si="39"/>
        <v>0.78118182019192373</v>
      </c>
      <c r="CB8" s="22">
        <f t="shared" si="10"/>
        <v>4.5254474752842002</v>
      </c>
      <c r="CC8" s="62">
        <f t="shared" si="11"/>
        <v>183.31649535173156</v>
      </c>
      <c r="CD8" s="62">
        <f ca="1">AVERAGE(OFFSET($CC$3,0,0,'Données projet'!$E$12+1,1))-AVERAGE(OFFSET($H$3,0,0,'Données projet'!$E$12+1,1))</f>
        <v>298.56812743477741</v>
      </c>
      <c r="CE8" s="62">
        <f t="shared" si="40"/>
        <v>276.01618888357268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>
        <f>EXP(-LN(2)/35)*CK7+(1-EXP(-LN(2)/35))/(LN(2)/35)*CG8*CH8*VLOOKUP('Données projet'!$B$12,Paramètres!$A$1:$I$89,3,0)*0.475*44/12</f>
        <v>0</v>
      </c>
      <c r="CL8" s="23">
        <f>EXP(-LN(2)/25)*CL7+(1-EXP(-LN(2)/25))/(LN(2)/25)*Calculateur!CG8*Calculateur!CI8*VLOOKUP('Données projet'!$B$12,Paramètres!$A$1:$I$89,3,0)*0.475*44/12</f>
        <v>0</v>
      </c>
      <c r="CM8" s="23">
        <f>EXP(-LN(2)/2)*CM7+(1-EXP(-LN(2)/2))/(LN(2)/2)*CG8*CJ8*VLOOKUP('Données projet'!$B$12,Paramètres!$A$1:$I$89,3,0)*0.475*44/12</f>
        <v>0</v>
      </c>
      <c r="CN8" s="24">
        <f t="shared" si="12"/>
        <v>0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3.3333333333333335</v>
      </c>
      <c r="CT8" s="13">
        <f>IF('Données projet'!$A$140&gt;35,CT7+CS8-DB7,IF(A8&lt;'Données projet'!$A$140,$CQ$205^A8,IF(A8='Données projet'!$A$140,'Données projet'!$B$140,CT7+CS8-DB7)))</f>
        <v>3.6840314986403868</v>
      </c>
      <c r="CU8" s="18">
        <f>CT8*VLOOKUP('Données projet'!$B$13,Paramètres!$A$1:$I$89,3,0)*VLOOKUP('Données projet'!$B$13,Paramètres!$A$1:$I$89,5,0)</f>
        <v>2.4712483292879717</v>
      </c>
      <c r="CV8" s="14">
        <f t="shared" si="41"/>
        <v>1.0250215260762008</v>
      </c>
      <c r="CW8" s="22">
        <f t="shared" si="13"/>
        <v>6.0893366647592657</v>
      </c>
      <c r="CX8" s="62">
        <f t="shared" si="14"/>
        <v>184.88038454120661</v>
      </c>
      <c r="CY8" s="62">
        <f ca="1">AVERAGE(OFFSET($CX$3,0,0,'Données projet'!$E$13+1,1))-AVERAGE(OFFSET($H$3,0,0,'Données projet'!$E$13+1,1))</f>
        <v>346.82725381974132</v>
      </c>
      <c r="CZ8" s="62">
        <f t="shared" si="42"/>
        <v>254.09787950201044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>
        <f>EXP(-LN(2)/35)*DF7+(1-EXP(-LN(2)/35))/(LN(2)/35)*DB8*DC8*VLOOKUP('Données projet'!$B$13,Paramètres!$A$1:$I$89,3,0)*0.475*44/12</f>
        <v>0</v>
      </c>
      <c r="DG8" s="23">
        <f>EXP(-LN(2)/25)*DG7+(1-EXP(-LN(2)/25))/(LN(2)/25)*Calculateur!DB8*Calculateur!DD8*VLOOKUP('Données projet'!$B$13,Paramètres!$A$1:$I$89,3,0)*0.475*44/12</f>
        <v>0</v>
      </c>
      <c r="DH8" s="23">
        <f>EXP(-LN(2)/2)*DH7+(1-EXP(-LN(2)/2))/(LN(2)/2)*DB8*DE8*VLOOKUP('Données projet'!$B$13,Paramètres!$A$1:$I$89,3,0)*0.475*44/12</f>
        <v>0</v>
      </c>
      <c r="DI8" s="24">
        <f t="shared" si="15"/>
        <v>0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5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2">
        <f t="shared" si="32"/>
        <v>0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18.333333333333332</v>
      </c>
      <c r="H9" s="70">
        <f t="shared" si="1"/>
        <v>183.33333333333334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2.1</v>
      </c>
      <c r="N9" s="14">
        <f>IF('Données projet'!$A$36&gt;35,N8+M9-V8,IF(A9&lt;'Données projet'!$A$36,$K$205^A9,IF(A9='Données projet'!$A$36,'Données projet'!$B$36,N8+M9-V8)))</f>
        <v>3.0688438220956993</v>
      </c>
      <c r="O9" s="14">
        <f>N9*VLOOKUP('Données projet'!$B$9,Paramètres!$A$1:$I$89,3,0)*VLOOKUP('Données projet'!$B$9,Paramètres!$A$1:$I$89,5,0)</f>
        <v>2.7766898902321886</v>
      </c>
      <c r="P9" s="14">
        <f t="shared" si="33"/>
        <v>1.1361949561012803</v>
      </c>
      <c r="Q9" s="22">
        <f t="shared" si="2"/>
        <v>6.8149411073641248</v>
      </c>
      <c r="R9" s="62">
        <f t="shared" si="0"/>
        <v>188.28519320362309</v>
      </c>
      <c r="S9" s="62">
        <f ca="1">AVERAGE(OFFSET($R$3,0,0,'Données projet'!$E$9+1,1))-AVERAGE(OFFSET($H$3,0,0,'Données projet'!$E$9+1,1))</f>
        <v>469.67944008675863</v>
      </c>
      <c r="T9" s="62">
        <f t="shared" si="34"/>
        <v>266.11908070867173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2.4358974358974361</v>
      </c>
      <c r="AI9" s="14">
        <f>IF('Données projet'!$A$62&gt;35,AI8+AH9-AQ8,IF(A9&lt;'Données projet'!$A$62,$AF$205^A9,IF(A9='Données projet'!$A$62,'Données projet'!$B$62,AI8+AH9-AQ8)))</f>
        <v>4.2179371378119086</v>
      </c>
      <c r="AJ9" s="14">
        <f>AI9*VLOOKUP('Données projet'!$B$10,Paramètres!$A$1:$I$89,3,0)*VLOOKUP('Données projet'!$B$10,Paramètres!$A$1:$I$89,5,0)</f>
        <v>4.0137889803418121</v>
      </c>
      <c r="AK9" s="14">
        <f t="shared" si="35"/>
        <v>1.5734496608040387</v>
      </c>
      <c r="AL9" s="22">
        <f t="shared" si="4"/>
        <v>9.7311072999956902</v>
      </c>
      <c r="AM9" s="62">
        <f t="shared" si="5"/>
        <v>191.20135939625467</v>
      </c>
      <c r="AN9" s="62">
        <f ca="1">AVERAGE(OFFSET($AM$3,0,0,'Données projet'!$E$10+1,1))-AVERAGE(OFFSET($H$3,0,0,'Données projet'!$E$10+1,1))</f>
        <v>400.48230125343474</v>
      </c>
      <c r="AO9" s="62">
        <f t="shared" si="36"/>
        <v>275.67023303885048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2.1</v>
      </c>
      <c r="BD9" s="13">
        <f>IF('Données projet'!$A$88&gt;35,BD8+BC9-BL8,IF(A9&lt;'Données projet'!$A$88,$BA$205^A9,IF(A9='Données projet'!$A$88,'Données projet'!$B$88,BD8+BC9-BL8)))</f>
        <v>3.0688438220956993</v>
      </c>
      <c r="BE9" s="14">
        <f>BD9*VLOOKUP('Données projet'!$B$11,Paramètres!$A$1:$I$89,3,0)*VLOOKUP('Données projet'!$B$11,Paramètres!$A$1:$I$89,5,0)</f>
        <v>2.9681857447309605</v>
      </c>
      <c r="BF9" s="14">
        <f t="shared" si="37"/>
        <v>1.2051613041728233</v>
      </c>
      <c r="BG9" s="22">
        <f t="shared" si="7"/>
        <v>7.2685794435074236</v>
      </c>
      <c r="BH9" s="62">
        <f t="shared" si="8"/>
        <v>188.73883153976641</v>
      </c>
      <c r="BI9" s="62">
        <f ca="1">AVERAGE(OFFSET($BH$3,0,0,'Données projet'!$E$11+1,1))-AVERAGE(OFFSET($H$3,0,0,'Données projet'!$E$11+1,1))</f>
        <v>496.33873798282525</v>
      </c>
      <c r="BJ9" s="62">
        <f t="shared" si="38"/>
        <v>280.25465074992246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>
        <f>EXP(-LN(2)/35)*BP8+(1-EXP(-LN(2)/35))/(LN(2)/35)*BL9*BM9*VLOOKUP('Données projet'!$B$11,Paramètres!$A$1:$I$89,3,0)*0.475*44/12</f>
        <v>0</v>
      </c>
      <c r="BQ9" s="23">
        <f>EXP(-LN(2)/25)*BQ8+(1-EXP(-LN(2)/25))/(LN(2)/25)*Calculateur!BL9*Calculateur!BN9*VLOOKUP('Données projet'!$B$11,Paramètres!$A$1:$I$89,3,0)*0.475*44/12</f>
        <v>0</v>
      </c>
      <c r="BR9" s="23">
        <f>EXP(-LN(2)/2)*BR8+(1-EXP(-LN(2)/2))/(LN(2)/2)*BL9*BO9*VLOOKUP('Données projet'!$B$11,Paramètres!$A$1:$I$89,3,0)*0.475*44/12</f>
        <v>0</v>
      </c>
      <c r="BS9" s="24">
        <f t="shared" si="9"/>
        <v>0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0.6</v>
      </c>
      <c r="BY9" s="13">
        <f>IF('Données projet'!$A$114&gt;35,BY8+BX9-CG8,IF(A9&lt;'Données projet'!$A$114,$BV$205^A9,IF(A9='Données projet'!$A$114,'Données projet'!$B$114,BY8+BX9-CG8)))</f>
        <v>2.4082246852806919</v>
      </c>
      <c r="BZ9" s="14">
        <f>BY9*VLOOKUP('Données projet'!$B$12,Paramètres!$A$1:$I$89,3,0)*VLOOKUP('Données projet'!$B$12,Paramètres!$A$1:$I$89,5,0)</f>
        <v>2.1038250850612128</v>
      </c>
      <c r="CA9" s="14">
        <f t="shared" si="39"/>
        <v>0.88912612901456256</v>
      </c>
      <c r="CB9" s="22">
        <f t="shared" si="10"/>
        <v>5.2127233645153082</v>
      </c>
      <c r="CC9" s="62">
        <f t="shared" si="11"/>
        <v>186.68297546077429</v>
      </c>
      <c r="CD9" s="62">
        <f ca="1">AVERAGE(OFFSET($CC$3,0,0,'Données projet'!$E$12+1,1))-AVERAGE(OFFSET($H$3,0,0,'Données projet'!$E$12+1,1))</f>
        <v>298.56812743477741</v>
      </c>
      <c r="CE9" s="62">
        <f t="shared" si="40"/>
        <v>276.01618888357268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>
        <f>EXP(-LN(2)/35)*CK8+(1-EXP(-LN(2)/35))/(LN(2)/35)*CG9*CH9*VLOOKUP('Données projet'!$B$12,Paramètres!$A$1:$I$89,3,0)*0.475*44/12</f>
        <v>0</v>
      </c>
      <c r="CL9" s="23">
        <f>EXP(-LN(2)/25)*CL8+(1-EXP(-LN(2)/25))/(LN(2)/25)*Calculateur!CG9*Calculateur!CI9*VLOOKUP('Données projet'!$B$12,Paramètres!$A$1:$I$89,3,0)*0.475*44/12</f>
        <v>0</v>
      </c>
      <c r="CM9" s="23">
        <f>EXP(-LN(2)/2)*CM8+(1-EXP(-LN(2)/2))/(LN(2)/2)*CG9*CJ9*VLOOKUP('Données projet'!$B$12,Paramètres!$A$1:$I$89,3,0)*0.475*44/12</f>
        <v>0</v>
      </c>
      <c r="CN9" s="24">
        <f t="shared" si="12"/>
        <v>0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3.3333333333333335</v>
      </c>
      <c r="CT9" s="13">
        <f>IF('Données projet'!$A$140&gt;35,CT8+CS9-DB8,IF(A9&lt;'Données projet'!$A$140,$CQ$205^A9,IF(A9='Données projet'!$A$140,'Données projet'!$B$140,CT8+CS9-DB8)))</f>
        <v>4.7817624989501848</v>
      </c>
      <c r="CU9" s="18">
        <f>CT9*VLOOKUP('Données projet'!$B$13,Paramètres!$A$1:$I$89,3,0)*VLOOKUP('Données projet'!$B$13,Paramètres!$A$1:$I$89,5,0)</f>
        <v>3.2076062842957844</v>
      </c>
      <c r="CV9" s="14">
        <f t="shared" si="41"/>
        <v>1.2906653345014574</v>
      </c>
      <c r="CW9" s="22">
        <f t="shared" si="13"/>
        <v>7.8344897360718626</v>
      </c>
      <c r="CX9" s="62">
        <f t="shared" si="14"/>
        <v>189.30474183233085</v>
      </c>
      <c r="CY9" s="62">
        <f ca="1">AVERAGE(OFFSET($CX$3,0,0,'Données projet'!$E$13+1,1))-AVERAGE(OFFSET($H$3,0,0,'Données projet'!$E$13+1,1))</f>
        <v>346.82725381974132</v>
      </c>
      <c r="CZ9" s="62">
        <f t="shared" si="42"/>
        <v>254.09787950201044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>
        <f>EXP(-LN(2)/35)*DF8+(1-EXP(-LN(2)/35))/(LN(2)/35)*DB9*DC9*VLOOKUP('Données projet'!$B$13,Paramètres!$A$1:$I$89,3,0)*0.475*44/12</f>
        <v>0</v>
      </c>
      <c r="DG9" s="23">
        <f>EXP(-LN(2)/25)*DG8+(1-EXP(-LN(2)/25))/(LN(2)/25)*Calculateur!DB9*Calculateur!DD9*VLOOKUP('Données projet'!$B$13,Paramètres!$A$1:$I$89,3,0)*0.475*44/12</f>
        <v>0</v>
      </c>
      <c r="DH9" s="23">
        <f>EXP(-LN(2)/2)*DH8+(1-EXP(-LN(2)/2))/(LN(2)/2)*DB9*DE9*VLOOKUP('Données projet'!$B$13,Paramètres!$A$1:$I$89,3,0)*0.475*44/12</f>
        <v>0</v>
      </c>
      <c r="DI9" s="24">
        <f t="shared" si="15"/>
        <v>0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5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2">
        <f t="shared" si="32"/>
        <v>0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18.333333333333332</v>
      </c>
      <c r="H10" s="70">
        <f t="shared" si="1"/>
        <v>183.33333333333334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2.1</v>
      </c>
      <c r="N10" s="14">
        <f>IF('Données projet'!$A$36&gt;35,N9+M10-V9,IF(A10&lt;'Données projet'!$A$36,$K$205^A10,IF(A10='Données projet'!$A$36,'Données projet'!$B$36,N9+M10-V9)))</f>
        <v>3.6994507637402658</v>
      </c>
      <c r="O10" s="14">
        <f>N10*VLOOKUP('Données projet'!$B$9,Paramètres!$A$1:$I$89,3,0)*VLOOKUP('Données projet'!$B$9,Paramètres!$A$1:$I$89,5,0)</f>
        <v>3.3472630510321921</v>
      </c>
      <c r="P10" s="14">
        <f t="shared" si="33"/>
        <v>1.34019505338418</v>
      </c>
      <c r="Q10" s="22">
        <f t="shared" si="2"/>
        <v>8.1639895318585136</v>
      </c>
      <c r="R10" s="62">
        <f t="shared" si="0"/>
        <v>192.28817046759474</v>
      </c>
      <c r="S10" s="62">
        <f ca="1">AVERAGE(OFFSET($R$3,0,0,'Données projet'!$E$9+1,1))-AVERAGE(OFFSET($H$3,0,0,'Données projet'!$E$9+1,1))</f>
        <v>469.67944008675863</v>
      </c>
      <c r="T10" s="62">
        <f t="shared" si="34"/>
        <v>266.11908070867173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2.4358974358974361</v>
      </c>
      <c r="AI10" s="14">
        <f>IF('Données projet'!$A$62&gt;35,AI9+AH10-AQ9,IF(A10&lt;'Données projet'!$A$62,$AF$205^A10,IF(A10='Données projet'!$A$62,'Données projet'!$B$62,AI9+AH10-AQ9)))</f>
        <v>5.3614647306823651</v>
      </c>
      <c r="AJ10" s="14">
        <f>AI10*VLOOKUP('Données projet'!$B$10,Paramètres!$A$1:$I$89,3,0)*VLOOKUP('Données projet'!$B$10,Paramètres!$A$1:$I$89,5,0)</f>
        <v>5.1019698377173386</v>
      </c>
      <c r="AK10" s="14">
        <f t="shared" si="35"/>
        <v>1.9449536745097864</v>
      </c>
      <c r="AL10" s="22">
        <f t="shared" si="4"/>
        <v>12.273391783795576</v>
      </c>
      <c r="AM10" s="62">
        <f t="shared" si="5"/>
        <v>196.39757271953181</v>
      </c>
      <c r="AN10" s="62">
        <f ca="1">AVERAGE(OFFSET($AM$3,0,0,'Données projet'!$E$10+1,1))-AVERAGE(OFFSET($H$3,0,0,'Données projet'!$E$10+1,1))</f>
        <v>400.48230125343474</v>
      </c>
      <c r="AO10" s="62">
        <f t="shared" si="36"/>
        <v>275.67023303885048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2.1</v>
      </c>
      <c r="BD10" s="13">
        <f>IF('Données projet'!$A$88&gt;35,BD9+BC10-BL9,IF(A10&lt;'Données projet'!$A$88,$BA$205^A10,IF(A10='Données projet'!$A$88,'Données projet'!$B$88,BD9+BC10-BL9)))</f>
        <v>3.6994507637402658</v>
      </c>
      <c r="BE10" s="14">
        <f>BD10*VLOOKUP('Données projet'!$B$11,Paramètres!$A$1:$I$89,3,0)*VLOOKUP('Données projet'!$B$11,Paramètres!$A$1:$I$89,5,0)</f>
        <v>3.5781087786895851</v>
      </c>
      <c r="BF10" s="14">
        <f t="shared" si="37"/>
        <v>1.4215440842341414</v>
      </c>
      <c r="BG10" s="22">
        <f t="shared" si="7"/>
        <v>8.707728736258824</v>
      </c>
      <c r="BH10" s="62">
        <f t="shared" si="8"/>
        <v>192.83190967199505</v>
      </c>
      <c r="BI10" s="62">
        <f ca="1">AVERAGE(OFFSET($BH$3,0,0,'Données projet'!$E$11+1,1))-AVERAGE(OFFSET($H$3,0,0,'Données projet'!$E$11+1,1))</f>
        <v>496.33873798282525</v>
      </c>
      <c r="BJ10" s="62">
        <f t="shared" si="38"/>
        <v>280.25465074992246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>
        <f>EXP(-LN(2)/35)*BP9+(1-EXP(-LN(2)/35))/(LN(2)/35)*BL10*BM10*VLOOKUP('Données projet'!$B$11,Paramètres!$A$1:$I$89,3,0)*0.475*44/12</f>
        <v>0</v>
      </c>
      <c r="BQ10" s="23">
        <f>EXP(-LN(2)/25)*BQ9+(1-EXP(-LN(2)/25))/(LN(2)/25)*Calculateur!BL10*Calculateur!BN10*VLOOKUP('Données projet'!$B$11,Paramètres!$A$1:$I$89,3,0)*0.475*44/12</f>
        <v>0</v>
      </c>
      <c r="BR10" s="23">
        <f>EXP(-LN(2)/2)*BR9+(1-EXP(-LN(2)/2))/(LN(2)/2)*BL10*BO10*VLOOKUP('Données projet'!$B$11,Paramètres!$A$1:$I$89,3,0)*0.475*44/12</f>
        <v>0</v>
      </c>
      <c r="BS10" s="24">
        <f t="shared" si="9"/>
        <v>0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0.6</v>
      </c>
      <c r="BY10" s="13">
        <f>IF('Données projet'!$A$114&gt;35,BY9+BX10-CG9,IF(A10&lt;'Données projet'!$A$114,$BV$205^A10,IF(A10='Données projet'!$A$114,'Données projet'!$B$114,BY9+BX10-CG9)))</f>
        <v>2.788130973628832</v>
      </c>
      <c r="BZ10" s="14">
        <f>BY10*VLOOKUP('Données projet'!$B$12,Paramètres!$A$1:$I$89,3,0)*VLOOKUP('Données projet'!$B$12,Paramètres!$A$1:$I$89,5,0)</f>
        <v>2.4357112185621479</v>
      </c>
      <c r="CA10" s="14">
        <f t="shared" si="39"/>
        <v>1.0119862660170416</v>
      </c>
      <c r="CB10" s="22">
        <f t="shared" si="10"/>
        <v>6.0047397856420881</v>
      </c>
      <c r="CC10" s="62">
        <f t="shared" si="11"/>
        <v>190.12892072137834</v>
      </c>
      <c r="CD10" s="62">
        <f ca="1">AVERAGE(OFFSET($CC$3,0,0,'Données projet'!$E$12+1,1))-AVERAGE(OFFSET($H$3,0,0,'Données projet'!$E$12+1,1))</f>
        <v>298.56812743477741</v>
      </c>
      <c r="CE10" s="62">
        <f t="shared" si="40"/>
        <v>276.01618888357268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>
        <f>EXP(-LN(2)/35)*CK9+(1-EXP(-LN(2)/35))/(LN(2)/35)*CG10*CH10*VLOOKUP('Données projet'!$B$12,Paramètres!$A$1:$I$89,3,0)*0.475*44/12</f>
        <v>0</v>
      </c>
      <c r="CL10" s="23">
        <f>EXP(-LN(2)/25)*CL9+(1-EXP(-LN(2)/25))/(LN(2)/25)*Calculateur!CG10*Calculateur!CI10*VLOOKUP('Données projet'!$B$12,Paramètres!$A$1:$I$89,3,0)*0.475*44/12</f>
        <v>0</v>
      </c>
      <c r="CM10" s="23">
        <f>EXP(-LN(2)/2)*CM9+(1-EXP(-LN(2)/2))/(LN(2)/2)*CG10*CJ10*VLOOKUP('Données projet'!$B$12,Paramètres!$A$1:$I$89,3,0)*0.475*44/12</f>
        <v>0</v>
      </c>
      <c r="CN10" s="24">
        <f t="shared" si="12"/>
        <v>0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3.3333333333333335</v>
      </c>
      <c r="CT10" s="13">
        <f>IF('Données projet'!$A$140&gt;35,CT9+CS10-DB9,IF(A10&lt;'Données projet'!$A$140,$CQ$205^A10,IF(A10='Données projet'!$A$140,'Données projet'!$B$140,CT9+CS10-DB9)))</f>
        <v>6.2065844455469161</v>
      </c>
      <c r="CU10" s="18">
        <f>CT10*VLOOKUP('Données projet'!$B$13,Paramètres!$A$1:$I$89,3,0)*VLOOKUP('Données projet'!$B$13,Paramètres!$A$1:$I$89,5,0)</f>
        <v>4.1633768460728717</v>
      </c>
      <c r="CV10" s="14">
        <f t="shared" si="41"/>
        <v>1.6251531926949223</v>
      </c>
      <c r="CW10" s="22">
        <f t="shared" si="13"/>
        <v>10.081689817520575</v>
      </c>
      <c r="CX10" s="62">
        <f t="shared" si="14"/>
        <v>194.20587075325682</v>
      </c>
      <c r="CY10" s="62">
        <f ca="1">AVERAGE(OFFSET($CX$3,0,0,'Données projet'!$E$13+1,1))-AVERAGE(OFFSET($H$3,0,0,'Données projet'!$E$13+1,1))</f>
        <v>346.82725381974132</v>
      </c>
      <c r="CZ10" s="62">
        <f t="shared" si="42"/>
        <v>254.09787950201044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>
        <f>EXP(-LN(2)/35)*DF9+(1-EXP(-LN(2)/35))/(LN(2)/35)*DB10*DC10*VLOOKUP('Données projet'!$B$13,Paramètres!$A$1:$I$89,3,0)*0.475*44/12</f>
        <v>0</v>
      </c>
      <c r="DG10" s="23">
        <f>EXP(-LN(2)/25)*DG9+(1-EXP(-LN(2)/25))/(LN(2)/25)*Calculateur!DB10*Calculateur!DD10*VLOOKUP('Données projet'!$B$13,Paramètres!$A$1:$I$89,3,0)*0.475*44/12</f>
        <v>0</v>
      </c>
      <c r="DH10" s="23">
        <f>EXP(-LN(2)/2)*DH9+(1-EXP(-LN(2)/2))/(LN(2)/2)*DB10*DE10*VLOOKUP('Données projet'!$B$13,Paramètres!$A$1:$I$89,3,0)*0.475*44/12</f>
        <v>0</v>
      </c>
      <c r="DI10" s="24">
        <f t="shared" si="15"/>
        <v>0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5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2">
        <f t="shared" si="32"/>
        <v>0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18.333333333333332</v>
      </c>
      <c r="H11" s="70">
        <f t="shared" si="1"/>
        <v>183.33333333333334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2.1</v>
      </c>
      <c r="N11" s="14">
        <f>IF('Données projet'!$A$36&gt;35,N10+M11-V10,IF(A11&lt;'Données projet'!$A$36,$K$205^A11,IF(A11='Données projet'!$A$36,'Données projet'!$B$36,N10+M11-V10)))</f>
        <v>4.4596391171162209</v>
      </c>
      <c r="O11" s="14">
        <f>N11*VLOOKUP('Données projet'!$B$9,Paramètres!$A$1:$I$89,3,0)*VLOOKUP('Données projet'!$B$9,Paramètres!$A$1:$I$89,5,0)</f>
        <v>4.0350814731667564</v>
      </c>
      <c r="P11" s="14">
        <f t="shared" si="33"/>
        <v>1.5808227025391921</v>
      </c>
      <c r="Q11" s="22">
        <f t="shared" si="2"/>
        <v>9.7810331060211926</v>
      </c>
      <c r="R11" s="62">
        <f t="shared" si="0"/>
        <v>196.53430597224175</v>
      </c>
      <c r="S11" s="62">
        <f ca="1">AVERAGE(OFFSET($R$3,0,0,'Données projet'!$E$9+1,1))-AVERAGE(OFFSET($H$3,0,0,'Données projet'!$E$9+1,1))</f>
        <v>469.67944008675863</v>
      </c>
      <c r="T11" s="62">
        <f t="shared" si="34"/>
        <v>266.11908070867173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2.4358974358974361</v>
      </c>
      <c r="AI11" s="14">
        <f>IF('Données projet'!$A$62&gt;35,AI10+AH11-AQ10,IF(A11&lt;'Données projet'!$A$62,$AF$205^A11,IF(A11='Données projet'!$A$62,'Données projet'!$B$62,AI10+AH11-AQ10)))</f>
        <v>6.815014809173471</v>
      </c>
      <c r="AJ11" s="14">
        <f>AI11*VLOOKUP('Données projet'!$B$10,Paramètres!$A$1:$I$89,3,0)*VLOOKUP('Données projet'!$B$10,Paramètres!$A$1:$I$89,5,0)</f>
        <v>6.4851680924094746</v>
      </c>
      <c r="AK11" s="14">
        <f t="shared" si="35"/>
        <v>2.4041727487208409</v>
      </c>
      <c r="AL11" s="22">
        <f t="shared" si="4"/>
        <v>15.4822686316353</v>
      </c>
      <c r="AM11" s="62">
        <f t="shared" si="5"/>
        <v>202.23554149785585</v>
      </c>
      <c r="AN11" s="62">
        <f ca="1">AVERAGE(OFFSET($AM$3,0,0,'Données projet'!$E$10+1,1))-AVERAGE(OFFSET($H$3,0,0,'Données projet'!$E$10+1,1))</f>
        <v>400.48230125343474</v>
      </c>
      <c r="AO11" s="62">
        <f t="shared" si="36"/>
        <v>275.67023303885048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2.1</v>
      </c>
      <c r="BD11" s="13">
        <f>IF('Données projet'!$A$88&gt;35,BD10+BC11-BL10,IF(A11&lt;'Données projet'!$A$88,$BA$205^A11,IF(A11='Données projet'!$A$88,'Données projet'!$B$88,BD10+BC11-BL10)))</f>
        <v>4.4596391171162209</v>
      </c>
      <c r="BE11" s="14">
        <f>BD11*VLOOKUP('Données projet'!$B$11,Paramètres!$A$1:$I$89,3,0)*VLOOKUP('Données projet'!$B$11,Paramètres!$A$1:$I$89,5,0)</f>
        <v>4.3133629540748091</v>
      </c>
      <c r="BF11" s="14">
        <f t="shared" si="37"/>
        <v>1.6767776864592203</v>
      </c>
      <c r="BG11" s="22">
        <f t="shared" si="7"/>
        <v>10.432828282263435</v>
      </c>
      <c r="BH11" s="62">
        <f t="shared" si="8"/>
        <v>197.186101148484</v>
      </c>
      <c r="BI11" s="62">
        <f ca="1">AVERAGE(OFFSET($BH$3,0,0,'Données projet'!$E$11+1,1))-AVERAGE(OFFSET($H$3,0,0,'Données projet'!$E$11+1,1))</f>
        <v>496.33873798282525</v>
      </c>
      <c r="BJ11" s="62">
        <f t="shared" si="38"/>
        <v>280.25465074992246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>
        <f>EXP(-LN(2)/35)*BP10+(1-EXP(-LN(2)/35))/(LN(2)/35)*BL11*BM11*VLOOKUP('Données projet'!$B$11,Paramètres!$A$1:$I$89,3,0)*0.475*44/12</f>
        <v>0</v>
      </c>
      <c r="BQ11" s="23">
        <f>EXP(-LN(2)/25)*BQ10+(1-EXP(-LN(2)/25))/(LN(2)/25)*Calculateur!BL11*Calculateur!BN11*VLOOKUP('Données projet'!$B$11,Paramètres!$A$1:$I$89,3,0)*0.475*44/12</f>
        <v>0</v>
      </c>
      <c r="BR11" s="23">
        <f>EXP(-LN(2)/2)*BR10+(1-EXP(-LN(2)/2))/(LN(2)/2)*BL11*BO11*VLOOKUP('Données projet'!$B$11,Paramètres!$A$1:$I$89,3,0)*0.475*44/12</f>
        <v>0</v>
      </c>
      <c r="BS11" s="24">
        <f t="shared" si="9"/>
        <v>0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0.6</v>
      </c>
      <c r="BY11" s="13">
        <f>IF('Données projet'!$A$114&gt;35,BY10+BX11-CG10,IF(A11&lt;'Données projet'!$A$114,$BV$205^A11,IF(A11='Données projet'!$A$114,'Données projet'!$B$114,BY10+BX11-CG10)))</f>
        <v>3.227968874176038</v>
      </c>
      <c r="BZ11" s="14">
        <f>BY11*VLOOKUP('Données projet'!$B$12,Paramètres!$A$1:$I$89,3,0)*VLOOKUP('Données projet'!$B$12,Paramètres!$A$1:$I$89,5,0)</f>
        <v>2.8199536084801871</v>
      </c>
      <c r="CA11" s="14">
        <f t="shared" si="39"/>
        <v>1.1518233118873293</v>
      </c>
      <c r="CB11" s="22">
        <f t="shared" si="10"/>
        <v>6.9175114696400923</v>
      </c>
      <c r="CC11" s="62">
        <f t="shared" si="11"/>
        <v>193.67078433586065</v>
      </c>
      <c r="CD11" s="62">
        <f ca="1">AVERAGE(OFFSET($CC$3,0,0,'Données projet'!$E$12+1,1))-AVERAGE(OFFSET($H$3,0,0,'Données projet'!$E$12+1,1))</f>
        <v>298.56812743477741</v>
      </c>
      <c r="CE11" s="62">
        <f t="shared" si="40"/>
        <v>276.01618888357268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>
        <f>EXP(-LN(2)/35)*CK10+(1-EXP(-LN(2)/35))/(LN(2)/35)*CG11*CH11*VLOOKUP('Données projet'!$B$12,Paramètres!$A$1:$I$89,3,0)*0.475*44/12</f>
        <v>0</v>
      </c>
      <c r="CL11" s="23">
        <f>EXP(-LN(2)/25)*CL10+(1-EXP(-LN(2)/25))/(LN(2)/25)*Calculateur!CG11*Calculateur!CI11*VLOOKUP('Données projet'!$B$12,Paramètres!$A$1:$I$89,3,0)*0.475*44/12</f>
        <v>0</v>
      </c>
      <c r="CM11" s="23">
        <f>EXP(-LN(2)/2)*CM10+(1-EXP(-LN(2)/2))/(LN(2)/2)*CG11*CJ11*VLOOKUP('Données projet'!$B$12,Paramètres!$A$1:$I$89,3,0)*0.475*44/12</f>
        <v>0</v>
      </c>
      <c r="CN11" s="24">
        <f t="shared" si="12"/>
        <v>0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3.3333333333333335</v>
      </c>
      <c r="CT11" s="13">
        <f>IF('Données projet'!$A$140&gt;35,CT10+CS11-DB10,IF(A11&lt;'Données projet'!$A$140,$CQ$205^A11,IF(A11='Données projet'!$A$140,'Données projet'!$B$140,CT10+CS11-DB10)))</f>
        <v>8.0559606396516319</v>
      </c>
      <c r="CU11" s="18">
        <f>CT11*VLOOKUP('Données projet'!$B$13,Paramètres!$A$1:$I$89,3,0)*VLOOKUP('Données projet'!$B$13,Paramètres!$A$1:$I$89,5,0)</f>
        <v>5.4039383970783144</v>
      </c>
      <c r="CV11" s="14">
        <f t="shared" si="41"/>
        <v>2.0463266728603036</v>
      </c>
      <c r="CW11" s="22">
        <f t="shared" si="13"/>
        <v>12.975878330143091</v>
      </c>
      <c r="CX11" s="62">
        <f t="shared" si="14"/>
        <v>199.72915119636366</v>
      </c>
      <c r="CY11" s="62">
        <f ca="1">AVERAGE(OFFSET($CX$3,0,0,'Données projet'!$E$13+1,1))-AVERAGE(OFFSET($H$3,0,0,'Données projet'!$E$13+1,1))</f>
        <v>346.82725381974132</v>
      </c>
      <c r="CZ11" s="62">
        <f t="shared" si="42"/>
        <v>254.09787950201044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>
        <f>EXP(-LN(2)/35)*DF10+(1-EXP(-LN(2)/35))/(LN(2)/35)*DB11*DC11*VLOOKUP('Données projet'!$B$13,Paramètres!$A$1:$I$89,3,0)*0.475*44/12</f>
        <v>0</v>
      </c>
      <c r="DG11" s="23">
        <f>EXP(-LN(2)/25)*DG10+(1-EXP(-LN(2)/25))/(LN(2)/25)*Calculateur!DB11*Calculateur!DD11*VLOOKUP('Données projet'!$B$13,Paramètres!$A$1:$I$89,3,0)*0.475*44/12</f>
        <v>0</v>
      </c>
      <c r="DH11" s="23">
        <f>EXP(-LN(2)/2)*DH10+(1-EXP(-LN(2)/2))/(LN(2)/2)*DB11*DE11*VLOOKUP('Données projet'!$B$13,Paramètres!$A$1:$I$89,3,0)*0.475*44/12</f>
        <v>0</v>
      </c>
      <c r="DI11" s="24">
        <f t="shared" si="15"/>
        <v>0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5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2">
        <f t="shared" si="32"/>
        <v>0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18.333333333333332</v>
      </c>
      <c r="H12" s="70">
        <f t="shared" si="1"/>
        <v>183.33333333333334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2.1</v>
      </c>
      <c r="N12" s="14">
        <f>IF('Données projet'!$A$36&gt;35,N11+M12-V11,IF(A12&lt;'Données projet'!$A$36,$K$205^A12,IF(A12='Données projet'!$A$36,'Données projet'!$B$36,N11+M12-V11)))</f>
        <v>5.3760361537574148</v>
      </c>
      <c r="O12" s="14">
        <f>N12*VLOOKUP('Données projet'!$B$9,Paramètres!$A$1:$I$89,3,0)*VLOOKUP('Données projet'!$B$9,Paramètres!$A$1:$I$89,5,0)</f>
        <v>4.8642375119197085</v>
      </c>
      <c r="P12" s="14">
        <f t="shared" si="33"/>
        <v>1.8646542609995393</v>
      </c>
      <c r="Q12" s="22">
        <f t="shared" si="2"/>
        <v>11.719486504501022</v>
      </c>
      <c r="R12" s="62">
        <f t="shared" si="0"/>
        <v>201.07744525705709</v>
      </c>
      <c r="S12" s="62">
        <f ca="1">AVERAGE(OFFSET($R$3,0,0,'Données projet'!$E$9+1,1))-AVERAGE(OFFSET($H$3,0,0,'Données projet'!$E$9+1,1))</f>
        <v>469.67944008675863</v>
      </c>
      <c r="T12" s="62">
        <f t="shared" si="34"/>
        <v>266.11908070867173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2.4358974358974361</v>
      </c>
      <c r="AI12" s="14">
        <f>IF('Données projet'!$A$62&gt;35,AI11+AH12-AQ11,IF(A12&lt;'Données projet'!$A$62,$AF$205^A12,IF(A12='Données projet'!$A$62,'Données projet'!$B$62,AI11+AH12-AQ11)))</f>
        <v>8.6626377645391397</v>
      </c>
      <c r="AJ12" s="14">
        <f>AI12*VLOOKUP('Données projet'!$B$10,Paramètres!$A$1:$I$89,3,0)*VLOOKUP('Données projet'!$B$10,Paramètres!$A$1:$I$89,5,0)</f>
        <v>8.2433660967354445</v>
      </c>
      <c r="AK12" s="14">
        <f t="shared" si="35"/>
        <v>2.9718171087795939</v>
      </c>
      <c r="AL12" s="22">
        <f t="shared" si="4"/>
        <v>19.53311074960536</v>
      </c>
      <c r="AM12" s="62">
        <f t="shared" si="5"/>
        <v>208.89106950216143</v>
      </c>
      <c r="AN12" s="62">
        <f ca="1">AVERAGE(OFFSET($AM$3,0,0,'Données projet'!$E$10+1,1))-AVERAGE(OFFSET($H$3,0,0,'Données projet'!$E$10+1,1))</f>
        <v>400.48230125343474</v>
      </c>
      <c r="AO12" s="62">
        <f t="shared" si="36"/>
        <v>275.67023303885048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2.1</v>
      </c>
      <c r="BD12" s="13">
        <f>IF('Données projet'!$A$88&gt;35,BD11+BC12-BL11,IF(A12&lt;'Données projet'!$A$88,$BA$205^A12,IF(A12='Données projet'!$A$88,'Données projet'!$B$88,BD11+BC12-BL11)))</f>
        <v>5.3760361537574148</v>
      </c>
      <c r="BE12" s="14">
        <f>BD12*VLOOKUP('Données projet'!$B$11,Paramètres!$A$1:$I$89,3,0)*VLOOKUP('Données projet'!$B$11,Paramètres!$A$1:$I$89,5,0)</f>
        <v>5.1997021679141717</v>
      </c>
      <c r="BF12" s="14">
        <f t="shared" si="37"/>
        <v>1.977837649208241</v>
      </c>
      <c r="BG12" s="22">
        <f t="shared" si="7"/>
        <v>12.500881848154869</v>
      </c>
      <c r="BH12" s="62">
        <f t="shared" si="8"/>
        <v>201.85884060071095</v>
      </c>
      <c r="BI12" s="62">
        <f ca="1">AVERAGE(OFFSET($BH$3,0,0,'Données projet'!$E$11+1,1))-AVERAGE(OFFSET($H$3,0,0,'Données projet'!$E$11+1,1))</f>
        <v>496.33873798282525</v>
      </c>
      <c r="BJ12" s="62">
        <f t="shared" si="38"/>
        <v>280.25465074992246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>
        <f>EXP(-LN(2)/35)*BP11+(1-EXP(-LN(2)/35))/(LN(2)/35)*BL12*BM12*VLOOKUP('Données projet'!$B$11,Paramètres!$A$1:$I$89,3,0)*0.475*44/12</f>
        <v>0</v>
      </c>
      <c r="BQ12" s="23">
        <f>EXP(-LN(2)/25)*BQ11+(1-EXP(-LN(2)/25))/(LN(2)/25)*Calculateur!BL12*Calculateur!BN12*VLOOKUP('Données projet'!$B$11,Paramètres!$A$1:$I$89,3,0)*0.475*44/12</f>
        <v>0</v>
      </c>
      <c r="BR12" s="23">
        <f>EXP(-LN(2)/2)*BR11+(1-EXP(-LN(2)/2))/(LN(2)/2)*BL12*BO12*VLOOKUP('Données projet'!$B$11,Paramètres!$A$1:$I$89,3,0)*0.475*44/12</f>
        <v>0</v>
      </c>
      <c r="BS12" s="24">
        <f t="shared" si="9"/>
        <v>0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0.6</v>
      </c>
      <c r="BY12" s="13">
        <f>IF('Données projet'!$A$114&gt;35,BY11+BX12-CG11,IF(A12&lt;'Données projet'!$A$114,$BV$205^A12,IF(A12='Données projet'!$A$114,'Données projet'!$B$114,BY11+BX12-CG11)))</f>
        <v>3.7371928188465526</v>
      </c>
      <c r="BZ12" s="14">
        <f>BY12*VLOOKUP('Données projet'!$B$12,Paramètres!$A$1:$I$89,3,0)*VLOOKUP('Données projet'!$B$12,Paramètres!$A$1:$I$89,5,0)</f>
        <v>3.2648116465443486</v>
      </c>
      <c r="CA12" s="14">
        <f t="shared" si="39"/>
        <v>1.310983149038857</v>
      </c>
      <c r="CB12" s="22">
        <f t="shared" si="10"/>
        <v>7.9695092689740825</v>
      </c>
      <c r="CC12" s="62">
        <f t="shared" si="11"/>
        <v>197.32746802153017</v>
      </c>
      <c r="CD12" s="62">
        <f ca="1">AVERAGE(OFFSET($CC$3,0,0,'Données projet'!$E$12+1,1))-AVERAGE(OFFSET($H$3,0,0,'Données projet'!$E$12+1,1))</f>
        <v>298.56812743477741</v>
      </c>
      <c r="CE12" s="62">
        <f t="shared" si="40"/>
        <v>276.01618888357268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>
        <f>EXP(-LN(2)/35)*CK11+(1-EXP(-LN(2)/35))/(LN(2)/35)*CG12*CH12*VLOOKUP('Données projet'!$B$12,Paramètres!$A$1:$I$89,3,0)*0.475*44/12</f>
        <v>0</v>
      </c>
      <c r="CL12" s="23">
        <f>EXP(-LN(2)/25)*CL11+(1-EXP(-LN(2)/25))/(LN(2)/25)*Calculateur!CG12*Calculateur!CI12*VLOOKUP('Données projet'!$B$12,Paramètres!$A$1:$I$89,3,0)*0.475*44/12</f>
        <v>0</v>
      </c>
      <c r="CM12" s="23">
        <f>EXP(-LN(2)/2)*CM11+(1-EXP(-LN(2)/2))/(LN(2)/2)*CG12*CJ12*VLOOKUP('Données projet'!$B$12,Paramètres!$A$1:$I$89,3,0)*0.475*44/12</f>
        <v>0</v>
      </c>
      <c r="CN12" s="24">
        <f t="shared" si="12"/>
        <v>0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3.3333333333333335</v>
      </c>
      <c r="CT12" s="13">
        <f>IF('Données projet'!$A$140&gt;35,CT11+CS12-DB11,IF(A12&lt;'Données projet'!$A$140,$CQ$205^A12,IF(A12='Données projet'!$A$140,'Données projet'!$B$140,CT11+CS12-DB11)))</f>
        <v>10.456395525912733</v>
      </c>
      <c r="CU12" s="18">
        <f>CT12*VLOOKUP('Données projet'!$B$13,Paramètres!$A$1:$I$89,3,0)*VLOOKUP('Données projet'!$B$13,Paramètres!$A$1:$I$89,5,0)</f>
        <v>7.0141501187822621</v>
      </c>
      <c r="CV12" s="14">
        <f t="shared" si="41"/>
        <v>2.5766511556462244</v>
      </c>
      <c r="CW12" s="22">
        <f t="shared" si="13"/>
        <v>16.70397888629628</v>
      </c>
      <c r="CX12" s="62">
        <f t="shared" si="14"/>
        <v>206.06193763885236</v>
      </c>
      <c r="CY12" s="62">
        <f ca="1">AVERAGE(OFFSET($CX$3,0,0,'Données projet'!$E$13+1,1))-AVERAGE(OFFSET($H$3,0,0,'Données projet'!$E$13+1,1))</f>
        <v>346.82725381974132</v>
      </c>
      <c r="CZ12" s="62">
        <f t="shared" si="42"/>
        <v>254.09787950201044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>
        <f>EXP(-LN(2)/35)*DF11+(1-EXP(-LN(2)/35))/(LN(2)/35)*DB12*DC12*VLOOKUP('Données projet'!$B$13,Paramètres!$A$1:$I$89,3,0)*0.475*44/12</f>
        <v>0</v>
      </c>
      <c r="DG12" s="23">
        <f>EXP(-LN(2)/25)*DG11+(1-EXP(-LN(2)/25))/(LN(2)/25)*Calculateur!DB12*Calculateur!DD12*VLOOKUP('Données projet'!$B$13,Paramètres!$A$1:$I$89,3,0)*0.475*44/12</f>
        <v>0</v>
      </c>
      <c r="DH12" s="23">
        <f>EXP(-LN(2)/2)*DH11+(1-EXP(-LN(2)/2))/(LN(2)/2)*DB12*DE12*VLOOKUP('Données projet'!$B$13,Paramètres!$A$1:$I$89,3,0)*0.475*44/12</f>
        <v>0</v>
      </c>
      <c r="DI12" s="24">
        <f t="shared" si="15"/>
        <v>0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5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2">
        <f t="shared" si="32"/>
        <v>0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18.333333333333332</v>
      </c>
      <c r="H13" s="70">
        <f t="shared" si="1"/>
        <v>183.33333333333334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2.1</v>
      </c>
      <c r="N13" s="14">
        <f>IF('Données projet'!$A$36&gt;35,N12+M13-V12,IF(A13&lt;'Données projet'!$A$36,$K$205^A13,IF(A13='Données projet'!$A$36,'Données projet'!$B$36,N12+M13-V12)))</f>
        <v>6.4807406984078657</v>
      </c>
      <c r="O13" s="14">
        <f>N13*VLOOKUP('Données projet'!$B$9,Paramètres!$A$1:$I$89,3,0)*VLOOKUP('Données projet'!$B$9,Paramètres!$A$1:$I$89,5,0)</f>
        <v>5.8637741839194364</v>
      </c>
      <c r="P13" s="14">
        <f t="shared" si="33"/>
        <v>2.1994468497187687</v>
      </c>
      <c r="Q13" s="22">
        <f t="shared" si="2"/>
        <v>14.043443300253207</v>
      </c>
      <c r="R13" s="62">
        <f t="shared" si="0"/>
        <v>205.9821052852981</v>
      </c>
      <c r="S13" s="62">
        <f ca="1">AVERAGE(OFFSET($R$3,0,0,'Données projet'!$E$9+1,1))-AVERAGE(OFFSET($H$3,0,0,'Données projet'!$E$9+1,1))</f>
        <v>469.67944008675863</v>
      </c>
      <c r="T13" s="62">
        <f t="shared" si="34"/>
        <v>266.11908070867173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2.4358974358974361</v>
      </c>
      <c r="AI13" s="14">
        <f>IF('Données projet'!$A$62&gt;35,AI12+AH13-AQ12,IF(A13&lt;'Données projet'!$A$62,$AF$205^A13,IF(A13='Données projet'!$A$62,'Données projet'!$B$62,AI12+AH13-AQ12)))</f>
        <v>11.011170942520771</v>
      </c>
      <c r="AJ13" s="14">
        <f>AI13*VLOOKUP('Données projet'!$B$10,Paramètres!$A$1:$I$89,3,0)*VLOOKUP('Données projet'!$B$10,Paramètres!$A$1:$I$89,5,0)</f>
        <v>10.478230268902767</v>
      </c>
      <c r="AK13" s="14">
        <f t="shared" si="35"/>
        <v>3.67348682940279</v>
      </c>
      <c r="AL13" s="22">
        <f t="shared" si="4"/>
        <v>24.647573946215513</v>
      </c>
      <c r="AM13" s="62">
        <f t="shared" si="5"/>
        <v>216.5862359312604</v>
      </c>
      <c r="AN13" s="62">
        <f ca="1">AVERAGE(OFFSET($AM$3,0,0,'Données projet'!$E$10+1,1))-AVERAGE(OFFSET($H$3,0,0,'Données projet'!$E$10+1,1))</f>
        <v>400.48230125343474</v>
      </c>
      <c r="AO13" s="62">
        <f t="shared" si="36"/>
        <v>275.67023303885048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2.1</v>
      </c>
      <c r="BD13" s="13">
        <f>IF('Données projet'!$A$88&gt;35,BD12+BC13-BL12,IF(A13&lt;'Données projet'!$A$88,$BA$205^A13,IF(A13='Données projet'!$A$88,'Données projet'!$B$88,BD12+BC13-BL12)))</f>
        <v>6.4807406984078657</v>
      </c>
      <c r="BE13" s="14">
        <f>BD13*VLOOKUP('Données projet'!$B$11,Paramètres!$A$1:$I$89,3,0)*VLOOKUP('Données projet'!$B$11,Paramètres!$A$1:$I$89,5,0)</f>
        <v>6.2681724035000874</v>
      </c>
      <c r="BF13" s="14">
        <f t="shared" si="37"/>
        <v>2.3329519459947301</v>
      </c>
      <c r="BG13" s="22">
        <f t="shared" si="7"/>
        <v>14.98029157537014</v>
      </c>
      <c r="BH13" s="62">
        <f t="shared" si="8"/>
        <v>206.91895356041502</v>
      </c>
      <c r="BI13" s="62">
        <f ca="1">AVERAGE(OFFSET($BH$3,0,0,'Données projet'!$E$11+1,1))-AVERAGE(OFFSET($H$3,0,0,'Données projet'!$E$11+1,1))</f>
        <v>496.33873798282525</v>
      </c>
      <c r="BJ13" s="62">
        <f t="shared" si="38"/>
        <v>280.25465074992246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>
        <f>EXP(-LN(2)/35)*BP12+(1-EXP(-LN(2)/35))/(LN(2)/35)*BL13*BM13*VLOOKUP('Données projet'!$B$11,Paramètres!$A$1:$I$89,3,0)*0.475*44/12</f>
        <v>0</v>
      </c>
      <c r="BQ13" s="23">
        <f>EXP(-LN(2)/25)*BQ12+(1-EXP(-LN(2)/25))/(LN(2)/25)*Calculateur!BL13*Calculateur!BN13*VLOOKUP('Données projet'!$B$11,Paramètres!$A$1:$I$89,3,0)*0.475*44/12</f>
        <v>0</v>
      </c>
      <c r="BR13" s="23">
        <f>EXP(-LN(2)/2)*BR12+(1-EXP(-LN(2)/2))/(LN(2)/2)*BL13*BO13*VLOOKUP('Données projet'!$B$11,Paramètres!$A$1:$I$89,3,0)*0.475*44/12</f>
        <v>0</v>
      </c>
      <c r="BS13" s="24">
        <f t="shared" si="9"/>
        <v>0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0.6</v>
      </c>
      <c r="BY13" s="13">
        <f>IF('Données projet'!$A$114&gt;35,BY12+BX13-CG12,IF(A13&lt;'Données projet'!$A$114,$BV$205^A13,IF(A13='Données projet'!$A$114,'Données projet'!$B$114,BY12+BX13-CG12)))</f>
        <v>4.3267487109222253</v>
      </c>
      <c r="BZ13" s="14">
        <f>BY13*VLOOKUP('Données projet'!$B$12,Paramètres!$A$1:$I$89,3,0)*VLOOKUP('Données projet'!$B$12,Paramètres!$A$1:$I$89,5,0)</f>
        <v>3.7798476738616569</v>
      </c>
      <c r="CA13" s="14">
        <f t="shared" si="39"/>
        <v>1.4921358157334794</v>
      </c>
      <c r="CB13" s="22">
        <f t="shared" si="10"/>
        <v>9.182037911044862</v>
      </c>
      <c r="CC13" s="62">
        <f t="shared" si="11"/>
        <v>201.12069989608975</v>
      </c>
      <c r="CD13" s="62">
        <f ca="1">AVERAGE(OFFSET($CC$3,0,0,'Données projet'!$E$12+1,1))-AVERAGE(OFFSET($H$3,0,0,'Données projet'!$E$12+1,1))</f>
        <v>298.56812743477741</v>
      </c>
      <c r="CE13" s="62">
        <f t="shared" si="40"/>
        <v>276.01618888357268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>
        <f>EXP(-LN(2)/35)*CK12+(1-EXP(-LN(2)/35))/(LN(2)/35)*CG13*CH13*VLOOKUP('Données projet'!$B$12,Paramètres!$A$1:$I$89,3,0)*0.475*44/12</f>
        <v>0</v>
      </c>
      <c r="CL13" s="23">
        <f>EXP(-LN(2)/25)*CL12+(1-EXP(-LN(2)/25))/(LN(2)/25)*Calculateur!CG13*Calculateur!CI13*VLOOKUP('Données projet'!$B$12,Paramètres!$A$1:$I$89,3,0)*0.475*44/12</f>
        <v>0</v>
      </c>
      <c r="CM13" s="23">
        <f>EXP(-LN(2)/2)*CM12+(1-EXP(-LN(2)/2))/(LN(2)/2)*CG13*CJ13*VLOOKUP('Données projet'!$B$12,Paramètres!$A$1:$I$89,3,0)*0.475*44/12</f>
        <v>0</v>
      </c>
      <c r="CN13" s="24">
        <f t="shared" si="12"/>
        <v>0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3.3333333333333335</v>
      </c>
      <c r="CT13" s="13">
        <f>IF('Données projet'!$A$140&gt;35,CT12+CS13-DB12,IF(A13&lt;'Données projet'!$A$140,$CQ$205^A13,IF(A13='Données projet'!$A$140,'Données projet'!$B$140,CT12+CS13-DB12)))</f>
        <v>13.572088082974533</v>
      </c>
      <c r="CU13" s="18">
        <f>CT13*VLOOKUP('Données projet'!$B$13,Paramètres!$A$1:$I$89,3,0)*VLOOKUP('Données projet'!$B$13,Paramètres!$A$1:$I$89,5,0)</f>
        <v>9.1041566860593175</v>
      </c>
      <c r="CV13" s="14">
        <f t="shared" si="41"/>
        <v>3.2444141328681457</v>
      </c>
      <c r="CW13" s="22">
        <f t="shared" si="13"/>
        <v>21.507094176298665</v>
      </c>
      <c r="CX13" s="62">
        <f t="shared" si="14"/>
        <v>213.44575616134355</v>
      </c>
      <c r="CY13" s="62">
        <f ca="1">AVERAGE(OFFSET($CX$3,0,0,'Données projet'!$E$13+1,1))-AVERAGE(OFFSET($H$3,0,0,'Données projet'!$E$13+1,1))</f>
        <v>346.82725381974132</v>
      </c>
      <c r="CZ13" s="62">
        <f t="shared" si="42"/>
        <v>254.09787950201044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>
        <f>EXP(-LN(2)/35)*DF12+(1-EXP(-LN(2)/35))/(LN(2)/35)*DB13*DC13*VLOOKUP('Données projet'!$B$13,Paramètres!$A$1:$I$89,3,0)*0.475*44/12</f>
        <v>0</v>
      </c>
      <c r="DG13" s="23">
        <f>EXP(-LN(2)/25)*DG12+(1-EXP(-LN(2)/25))/(LN(2)/25)*Calculateur!DB13*Calculateur!DD13*VLOOKUP('Données projet'!$B$13,Paramètres!$A$1:$I$89,3,0)*0.475*44/12</f>
        <v>0</v>
      </c>
      <c r="DH13" s="23">
        <f>EXP(-LN(2)/2)*DH12+(1-EXP(-LN(2)/2))/(LN(2)/2)*DB13*DE13*VLOOKUP('Données projet'!$B$13,Paramètres!$A$1:$I$89,3,0)*0.475*44/12</f>
        <v>0</v>
      </c>
      <c r="DI13" s="24">
        <f t="shared" si="15"/>
        <v>0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5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2">
        <f t="shared" si="32"/>
        <v>0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18.333333333333332</v>
      </c>
      <c r="H14" s="70">
        <f t="shared" si="1"/>
        <v>183.33333333333334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2.1</v>
      </c>
      <c r="N14" s="14">
        <f>IF('Données projet'!$A$36&gt;35,N13+M14-V13,IF(A14&lt;'Données projet'!$A$36,$K$205^A14,IF(A14='Données projet'!$A$36,'Données projet'!$B$36,N13+M14-V13)))</f>
        <v>7.8124474610620815</v>
      </c>
      <c r="O14" s="14">
        <f>N14*VLOOKUP('Données projet'!$B$9,Paramètres!$A$1:$I$89,3,0)*VLOOKUP('Données projet'!$B$9,Paramètres!$A$1:$I$89,5,0)</f>
        <v>7.0687024627689707</v>
      </c>
      <c r="P14" s="14">
        <f t="shared" si="33"/>
        <v>2.5943503554083325</v>
      </c>
      <c r="Q14" s="22">
        <f t="shared" si="2"/>
        <v>16.829816991658799</v>
      </c>
      <c r="R14" s="62">
        <f t="shared" si="0"/>
        <v>211.32561560077292</v>
      </c>
      <c r="S14" s="62">
        <f ca="1">AVERAGE(OFFSET($R$3,0,0,'Données projet'!$E$9+1,1))-AVERAGE(OFFSET($H$3,0,0,'Données projet'!$E$9+1,1))</f>
        <v>469.67944008675863</v>
      </c>
      <c r="T14" s="62">
        <f t="shared" si="34"/>
        <v>266.11908070867173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2.4358974358974361</v>
      </c>
      <c r="AI14" s="14">
        <f>IF('Données projet'!$A$62&gt;35,AI13+AH14-AQ13,IF(A14&lt;'Données projet'!$A$62,$AF$205^A14,IF(A14='Données projet'!$A$62,'Données projet'!$B$62,AI13+AH14-AQ13)))</f>
        <v>13.996416428924077</v>
      </c>
      <c r="AJ14" s="14">
        <f>AI14*VLOOKUP('Données projet'!$B$10,Paramètres!$A$1:$I$89,3,0)*VLOOKUP('Données projet'!$B$10,Paramètres!$A$1:$I$89,5,0)</f>
        <v>13.318989873764153</v>
      </c>
      <c r="AK14" s="14">
        <f t="shared" si="35"/>
        <v>4.5408263671169857</v>
      </c>
      <c r="AL14" s="22">
        <f t="shared" si="4"/>
        <v>31.105846619534645</v>
      </c>
      <c r="AM14" s="62">
        <f t="shared" si="5"/>
        <v>225.60164522864878</v>
      </c>
      <c r="AN14" s="62">
        <f ca="1">AVERAGE(OFFSET($AM$3,0,0,'Données projet'!$E$10+1,1))-AVERAGE(OFFSET($H$3,0,0,'Données projet'!$E$10+1,1))</f>
        <v>400.48230125343474</v>
      </c>
      <c r="AO14" s="62">
        <f t="shared" si="36"/>
        <v>275.67023303885048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2.1</v>
      </c>
      <c r="BD14" s="13">
        <f>IF('Données projet'!$A$88&gt;35,BD13+BC14-BL13,IF(A14&lt;'Données projet'!$A$88,$BA$205^A14,IF(A14='Données projet'!$A$88,'Données projet'!$B$88,BD13+BC14-BL13)))</f>
        <v>7.8124474610620815</v>
      </c>
      <c r="BE14" s="14">
        <f>BD14*VLOOKUP('Données projet'!$B$11,Paramètres!$A$1:$I$89,3,0)*VLOOKUP('Données projet'!$B$11,Paramètres!$A$1:$I$89,5,0)</f>
        <v>7.5561991843392455</v>
      </c>
      <c r="BF14" s="14">
        <f t="shared" si="37"/>
        <v>2.7518258561310041</v>
      </c>
      <c r="BG14" s="22">
        <f t="shared" si="7"/>
        <v>17.953143612152349</v>
      </c>
      <c r="BH14" s="62">
        <f t="shared" si="8"/>
        <v>212.44894222126649</v>
      </c>
      <c r="BI14" s="62">
        <f ca="1">AVERAGE(OFFSET($BH$3,0,0,'Données projet'!$E$11+1,1))-AVERAGE(OFFSET($H$3,0,0,'Données projet'!$E$11+1,1))</f>
        <v>496.33873798282525</v>
      </c>
      <c r="BJ14" s="62">
        <f t="shared" si="38"/>
        <v>280.25465074992246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>
        <f>EXP(-LN(2)/35)*BP13+(1-EXP(-LN(2)/35))/(LN(2)/35)*BL14*BM14*VLOOKUP('Données projet'!$B$11,Paramètres!$A$1:$I$89,3,0)*0.475*44/12</f>
        <v>0</v>
      </c>
      <c r="BQ14" s="23">
        <f>EXP(-LN(2)/25)*BQ13+(1-EXP(-LN(2)/25))/(LN(2)/25)*Calculateur!BL14*Calculateur!BN14*VLOOKUP('Données projet'!$B$11,Paramètres!$A$1:$I$89,3,0)*0.475*44/12</f>
        <v>0</v>
      </c>
      <c r="BR14" s="23">
        <f>EXP(-LN(2)/2)*BR13+(1-EXP(-LN(2)/2))/(LN(2)/2)*BL14*BO14*VLOOKUP('Données projet'!$B$11,Paramètres!$A$1:$I$89,3,0)*0.475*44/12</f>
        <v>0</v>
      </c>
      <c r="BS14" s="24">
        <f t="shared" si="9"/>
        <v>0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0.6</v>
      </c>
      <c r="BY14" s="13">
        <f>IF('Données projet'!$A$114&gt;35,BY13+BX14-CG13,IF(A14&lt;'Données projet'!$A$114,$BV$205^A14,IF(A14='Données projet'!$A$114,'Données projet'!$B$114,BY13+BX14-CG13)))</f>
        <v>5.0093092101266317</v>
      </c>
      <c r="BZ14" s="14">
        <f>BY14*VLOOKUP('Données projet'!$B$12,Paramètres!$A$1:$I$89,3,0)*VLOOKUP('Données projet'!$B$12,Paramètres!$A$1:$I$89,5,0)</f>
        <v>4.3761325259666259</v>
      </c>
      <c r="CA14" s="14">
        <f t="shared" si="39"/>
        <v>1.69832029818762</v>
      </c>
      <c r="CB14" s="22">
        <f t="shared" si="10"/>
        <v>10.579672002068646</v>
      </c>
      <c r="CC14" s="62">
        <f t="shared" si="11"/>
        <v>205.07547061118277</v>
      </c>
      <c r="CD14" s="62">
        <f ca="1">AVERAGE(OFFSET($CC$3,0,0,'Données projet'!$E$12+1,1))-AVERAGE(OFFSET($H$3,0,0,'Données projet'!$E$12+1,1))</f>
        <v>298.56812743477741</v>
      </c>
      <c r="CE14" s="62">
        <f t="shared" si="40"/>
        <v>276.01618888357268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>
        <f>EXP(-LN(2)/35)*CK13+(1-EXP(-LN(2)/35))/(LN(2)/35)*CG14*CH14*VLOOKUP('Données projet'!$B$12,Paramètres!$A$1:$I$89,3,0)*0.475*44/12</f>
        <v>0</v>
      </c>
      <c r="CL14" s="23">
        <f>EXP(-LN(2)/25)*CL13+(1-EXP(-LN(2)/25))/(LN(2)/25)*Calculateur!CG14*Calculateur!CI14*VLOOKUP('Données projet'!$B$12,Paramètres!$A$1:$I$89,3,0)*0.475*44/12</f>
        <v>0</v>
      </c>
      <c r="CM14" s="23">
        <f>EXP(-LN(2)/2)*CM13+(1-EXP(-LN(2)/2))/(LN(2)/2)*CG14*CJ14*VLOOKUP('Données projet'!$B$12,Paramètres!$A$1:$I$89,3,0)*0.475*44/12</f>
        <v>0</v>
      </c>
      <c r="CN14" s="24">
        <f t="shared" si="12"/>
        <v>0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3.3333333333333335</v>
      </c>
      <c r="CT14" s="13">
        <f>IF('Données projet'!$A$140&gt;35,CT13+CS14-DB13,IF(A14&lt;'Données projet'!$A$140,$CQ$205^A14,IF(A14='Données projet'!$A$140,'Données projet'!$B$140,CT13+CS14-DB13)))</f>
        <v>17.616163665149852</v>
      </c>
      <c r="CU14" s="18">
        <f>CT14*VLOOKUP('Données projet'!$B$13,Paramètres!$A$1:$I$89,3,0)*VLOOKUP('Données projet'!$B$13,Paramètres!$A$1:$I$89,5,0)</f>
        <v>11.816922586582521</v>
      </c>
      <c r="CV14" s="14">
        <f t="shared" si="41"/>
        <v>4.0852340614632361</v>
      </c>
      <c r="CW14" s="22">
        <f t="shared" si="13"/>
        <v>27.696256162013025</v>
      </c>
      <c r="CX14" s="62">
        <f t="shared" si="14"/>
        <v>222.19205477112715</v>
      </c>
      <c r="CY14" s="62">
        <f ca="1">AVERAGE(OFFSET($CX$3,0,0,'Données projet'!$E$13+1,1))-AVERAGE(OFFSET($H$3,0,0,'Données projet'!$E$13+1,1))</f>
        <v>346.82725381974132</v>
      </c>
      <c r="CZ14" s="62">
        <f t="shared" si="42"/>
        <v>254.09787950201044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>
        <f>EXP(-LN(2)/35)*DF13+(1-EXP(-LN(2)/35))/(LN(2)/35)*DB14*DC14*VLOOKUP('Données projet'!$B$13,Paramètres!$A$1:$I$89,3,0)*0.475*44/12</f>
        <v>0</v>
      </c>
      <c r="DG14" s="23">
        <f>EXP(-LN(2)/25)*DG13+(1-EXP(-LN(2)/25))/(LN(2)/25)*Calculateur!DB14*Calculateur!DD14*VLOOKUP('Données projet'!$B$13,Paramètres!$A$1:$I$89,3,0)*0.475*44/12</f>
        <v>0</v>
      </c>
      <c r="DH14" s="23">
        <f>EXP(-LN(2)/2)*DH13+(1-EXP(-LN(2)/2))/(LN(2)/2)*DB14*DE14*VLOOKUP('Données projet'!$B$13,Paramètres!$A$1:$I$89,3,0)*0.475*44/12</f>
        <v>0</v>
      </c>
      <c r="DI14" s="24">
        <f t="shared" si="15"/>
        <v>0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5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2">
        <f t="shared" si="32"/>
        <v>0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18.333333333333332</v>
      </c>
      <c r="H15" s="70">
        <f t="shared" si="1"/>
        <v>183.33333333333334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2.1</v>
      </c>
      <c r="N15" s="14">
        <f>IF('Données projet'!$A$36&gt;35,N14+M15-V14,IF(A15&lt;'Données projet'!$A$36,$K$205^A15,IF(A15='Données projet'!$A$36,'Données projet'!$B$36,N14+M15-V14)))</f>
        <v>9.4178024044149407</v>
      </c>
      <c r="O15" s="14">
        <f>N15*VLOOKUP('Données projet'!$B$9,Paramètres!$A$1:$I$89,3,0)*VLOOKUP('Données projet'!$B$9,Paramètres!$A$1:$I$89,5,0)</f>
        <v>8.521227615514638</v>
      </c>
      <c r="P15" s="14">
        <f t="shared" si="33"/>
        <v>3.0601574970852128</v>
      </c>
      <c r="Q15" s="22">
        <f t="shared" si="2"/>
        <v>20.170912404444739</v>
      </c>
      <c r="R15" s="62">
        <f t="shared" si="0"/>
        <v>217.20068985717762</v>
      </c>
      <c r="S15" s="62">
        <f ca="1">AVERAGE(OFFSET($R$3,0,0,'Données projet'!$E$9+1,1))-AVERAGE(OFFSET($H$3,0,0,'Données projet'!$E$9+1,1))</f>
        <v>469.67944008675863</v>
      </c>
      <c r="T15" s="62">
        <f t="shared" si="34"/>
        <v>266.11908070867173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2.4358974358974361</v>
      </c>
      <c r="AI15" s="14">
        <f>IF('Données projet'!$A$62&gt;35,AI14+AH15-AQ14,IF(A15&lt;'Données projet'!$A$62,$AF$205^A15,IF(A15='Données projet'!$A$62,'Données projet'!$B$62,AI14+AH15-AQ14)))</f>
        <v>17.790993698532919</v>
      </c>
      <c r="AJ15" s="14">
        <f>AI15*VLOOKUP('Données projet'!$B$10,Paramètres!$A$1:$I$89,3,0)*VLOOKUP('Données projet'!$B$10,Paramètres!$A$1:$I$89,5,0)</f>
        <v>16.929909603523928</v>
      </c>
      <c r="AK15" s="14">
        <f t="shared" si="35"/>
        <v>5.6129516870098515</v>
      </c>
      <c r="AL15" s="22">
        <f t="shared" si="4"/>
        <v>39.262150081012997</v>
      </c>
      <c r="AM15" s="62">
        <f t="shared" si="5"/>
        <v>236.29192753374588</v>
      </c>
      <c r="AN15" s="62">
        <f ca="1">AVERAGE(OFFSET($AM$3,0,0,'Données projet'!$E$10+1,1))-AVERAGE(OFFSET($H$3,0,0,'Données projet'!$E$10+1,1))</f>
        <v>400.48230125343474</v>
      </c>
      <c r="AO15" s="62">
        <f t="shared" si="36"/>
        <v>275.67023303885048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2.1</v>
      </c>
      <c r="BD15" s="13">
        <f>IF('Données projet'!$A$88&gt;35,BD14+BC15-BL14,IF(A15&lt;'Données projet'!$A$88,$BA$205^A15,IF(A15='Données projet'!$A$88,'Données projet'!$B$88,BD14+BC15-BL14)))</f>
        <v>9.4178024044149407</v>
      </c>
      <c r="BE15" s="14">
        <f>BD15*VLOOKUP('Données projet'!$B$11,Paramètres!$A$1:$I$89,3,0)*VLOOKUP('Données projet'!$B$11,Paramètres!$A$1:$I$89,5,0)</f>
        <v>9.1088984855501316</v>
      </c>
      <c r="BF15" s="14">
        <f t="shared" si="37"/>
        <v>3.2459072101643005</v>
      </c>
      <c r="BG15" s="22">
        <f t="shared" si="7"/>
        <v>21.517953253369303</v>
      </c>
      <c r="BH15" s="62">
        <f t="shared" si="8"/>
        <v>218.54773070610219</v>
      </c>
      <c r="BI15" s="62">
        <f ca="1">AVERAGE(OFFSET($BH$3,0,0,'Données projet'!$E$11+1,1))-AVERAGE(OFFSET($H$3,0,0,'Données projet'!$E$11+1,1))</f>
        <v>496.33873798282525</v>
      </c>
      <c r="BJ15" s="62">
        <f t="shared" si="38"/>
        <v>280.25465074992246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>
        <f>EXP(-LN(2)/35)*BP14+(1-EXP(-LN(2)/35))/(LN(2)/35)*BL15*BM15*VLOOKUP('Données projet'!$B$11,Paramètres!$A$1:$I$89,3,0)*0.475*44/12</f>
        <v>0</v>
      </c>
      <c r="BQ15" s="23">
        <f>EXP(-LN(2)/25)*BQ14+(1-EXP(-LN(2)/25))/(LN(2)/25)*Calculateur!BL15*Calculateur!BN15*VLOOKUP('Données projet'!$B$11,Paramètres!$A$1:$I$89,3,0)*0.475*44/12</f>
        <v>0</v>
      </c>
      <c r="BR15" s="23">
        <f>EXP(-LN(2)/2)*BR14+(1-EXP(-LN(2)/2))/(LN(2)/2)*BL15*BO15*VLOOKUP('Données projet'!$B$11,Paramètres!$A$1:$I$89,3,0)*0.475*44/12</f>
        <v>0</v>
      </c>
      <c r="BS15" s="24">
        <f t="shared" si="9"/>
        <v>0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0.6</v>
      </c>
      <c r="BY15" s="13">
        <f>IF('Données projet'!$A$114&gt;35,BY14+BX15-CG14,IF(A15&lt;'Données projet'!$A$114,$BV$205^A15,IF(A15='Données projet'!$A$114,'Données projet'!$B$114,BY14+BX15-CG14)))</f>
        <v>5.799546134795289</v>
      </c>
      <c r="BZ15" s="14">
        <f>BY15*VLOOKUP('Données projet'!$B$12,Paramètres!$A$1:$I$89,3,0)*VLOOKUP('Données projet'!$B$12,Paramètres!$A$1:$I$89,5,0)</f>
        <v>5.0664835033571656</v>
      </c>
      <c r="CA15" s="14">
        <f t="shared" si="39"/>
        <v>1.9329955120863267</v>
      </c>
      <c r="CB15" s="22">
        <f t="shared" si="10"/>
        <v>12.190759285230749</v>
      </c>
      <c r="CC15" s="62">
        <f t="shared" si="11"/>
        <v>209.22053673796361</v>
      </c>
      <c r="CD15" s="62">
        <f ca="1">AVERAGE(OFFSET($CC$3,0,0,'Données projet'!$E$12+1,1))-AVERAGE(OFFSET($H$3,0,0,'Données projet'!$E$12+1,1))</f>
        <v>298.56812743477741</v>
      </c>
      <c r="CE15" s="62">
        <f t="shared" si="40"/>
        <v>276.01618888357268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>
        <f>EXP(-LN(2)/35)*CK14+(1-EXP(-LN(2)/35))/(LN(2)/35)*CG15*CH15*VLOOKUP('Données projet'!$B$12,Paramètres!$A$1:$I$89,3,0)*0.475*44/12</f>
        <v>0</v>
      </c>
      <c r="CL15" s="23">
        <f>EXP(-LN(2)/25)*CL14+(1-EXP(-LN(2)/25))/(LN(2)/25)*Calculateur!CG15*Calculateur!CI15*VLOOKUP('Données projet'!$B$12,Paramètres!$A$1:$I$89,3,0)*0.475*44/12</f>
        <v>0</v>
      </c>
      <c r="CM15" s="23">
        <f>EXP(-LN(2)/2)*CM14+(1-EXP(-LN(2)/2))/(LN(2)/2)*CG15*CJ15*VLOOKUP('Données projet'!$B$12,Paramètres!$A$1:$I$89,3,0)*0.475*44/12</f>
        <v>0</v>
      </c>
      <c r="CN15" s="24">
        <f t="shared" si="12"/>
        <v>0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3.3333333333333335</v>
      </c>
      <c r="CT15" s="13">
        <f>IF('Données projet'!$A$140&gt;35,CT14+CS15-DB14,IF(A15&lt;'Données projet'!$A$140,$CQ$205^A15,IF(A15='Données projet'!$A$140,'Données projet'!$B$140,CT14+CS15-DB14)))</f>
        <v>22.865252596366318</v>
      </c>
      <c r="CU15" s="18">
        <f>CT15*VLOOKUP('Données projet'!$B$13,Paramètres!$A$1:$I$89,3,0)*VLOOKUP('Données projet'!$B$13,Paramètres!$A$1:$I$89,5,0)</f>
        <v>15.338011441642525</v>
      </c>
      <c r="CV15" s="14">
        <f t="shared" si="41"/>
        <v>5.1439602509023024</v>
      </c>
      <c r="CW15" s="22">
        <f t="shared" si="13"/>
        <v>35.672767364515572</v>
      </c>
      <c r="CX15" s="62">
        <f t="shared" si="14"/>
        <v>232.70254481724845</v>
      </c>
      <c r="CY15" s="62">
        <f ca="1">AVERAGE(OFFSET($CX$3,0,0,'Données projet'!$E$13+1,1))-AVERAGE(OFFSET($H$3,0,0,'Données projet'!$E$13+1,1))</f>
        <v>346.82725381974132</v>
      </c>
      <c r="CZ15" s="62">
        <f t="shared" si="42"/>
        <v>254.09787950201044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>
        <f>EXP(-LN(2)/35)*DF14+(1-EXP(-LN(2)/35))/(LN(2)/35)*DB15*DC15*VLOOKUP('Données projet'!$B$13,Paramètres!$A$1:$I$89,3,0)*0.475*44/12</f>
        <v>0</v>
      </c>
      <c r="DG15" s="23">
        <f>EXP(-LN(2)/25)*DG14+(1-EXP(-LN(2)/25))/(LN(2)/25)*Calculateur!DB15*Calculateur!DD15*VLOOKUP('Données projet'!$B$13,Paramètres!$A$1:$I$89,3,0)*0.475*44/12</f>
        <v>0</v>
      </c>
      <c r="DH15" s="23">
        <f>EXP(-LN(2)/2)*DH14+(1-EXP(-LN(2)/2))/(LN(2)/2)*DB15*DE15*VLOOKUP('Données projet'!$B$13,Paramètres!$A$1:$I$89,3,0)*0.475*44/12</f>
        <v>0</v>
      </c>
      <c r="DI15" s="24">
        <f t="shared" si="15"/>
        <v>0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5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2">
        <f t="shared" si="32"/>
        <v>0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18.333333333333332</v>
      </c>
      <c r="H16" s="70">
        <f t="shared" si="1"/>
        <v>183.33333333333334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2.1</v>
      </c>
      <c r="N16" s="14">
        <f>IF('Données projet'!$A$36&gt;35,N15+M16-V15,IF(A16&lt;'Données projet'!$A$36,$K$205^A16,IF(A16='Données projet'!$A$36,'Données projet'!$B$36,N15+M16-V15)))</f>
        <v>11.35303662145153</v>
      </c>
      <c r="O16" s="14">
        <f>N16*VLOOKUP('Données projet'!$B$9,Paramètres!$A$1:$I$89,3,0)*VLOOKUP('Données projet'!$B$9,Paramètres!$A$1:$I$89,5,0)</f>
        <v>10.272227535089344</v>
      </c>
      <c r="P16" s="14">
        <f t="shared" si="33"/>
        <v>3.6095987912522753</v>
      </c>
      <c r="Q16" s="22">
        <f t="shared" si="2"/>
        <v>24.177514185044988</v>
      </c>
      <c r="R16" s="62">
        <f t="shared" si="0"/>
        <v>223.71851443666381</v>
      </c>
      <c r="S16" s="62">
        <f ca="1">AVERAGE(OFFSET($R$3,0,0,'Données projet'!$E$9+1,1))-AVERAGE(OFFSET($H$3,0,0,'Données projet'!$E$9+1,1))</f>
        <v>469.67944008675863</v>
      </c>
      <c r="T16" s="62">
        <f t="shared" si="34"/>
        <v>266.11908070867173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2.4358974358974361</v>
      </c>
      <c r="AI16" s="14">
        <f>IF('Données projet'!$A$62&gt;35,AI15+AH16-AQ15,IF(A16&lt;'Données projet'!$A$62,$AF$205^A16,IF(A16='Données projet'!$A$62,'Données projet'!$B$62,AI15+AH16-AQ15)))</f>
        <v>22.614321200613873</v>
      </c>
      <c r="AJ16" s="14">
        <f>AI16*VLOOKUP('Données projet'!$B$10,Paramètres!$A$1:$I$89,3,0)*VLOOKUP('Données projet'!$B$10,Paramètres!$A$1:$I$89,5,0)</f>
        <v>21.519788054504161</v>
      </c>
      <c r="AK16" s="14">
        <f t="shared" si="35"/>
        <v>6.9382143454892127</v>
      </c>
      <c r="AL16" s="22">
        <f t="shared" si="4"/>
        <v>49.564354179988463</v>
      </c>
      <c r="AM16" s="62">
        <f t="shared" si="5"/>
        <v>249.10535443160728</v>
      </c>
      <c r="AN16" s="62">
        <f ca="1">AVERAGE(OFFSET($AM$3,0,0,'Données projet'!$E$10+1,1))-AVERAGE(OFFSET($H$3,0,0,'Données projet'!$E$10+1,1))</f>
        <v>400.48230125343474</v>
      </c>
      <c r="AO16" s="62">
        <f t="shared" si="36"/>
        <v>275.67023303885048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0</v>
      </c>
      <c r="AX16" s="23">
        <f t="shared" si="6"/>
        <v>0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2.1</v>
      </c>
      <c r="BD16" s="13">
        <f>IF('Données projet'!$A$88&gt;35,BD15+BC16-BL15,IF(A16&lt;'Données projet'!$A$88,$BA$205^A16,IF(A16='Données projet'!$A$88,'Données projet'!$B$88,BD15+BC16-BL15)))</f>
        <v>11.35303662145153</v>
      </c>
      <c r="BE16" s="14">
        <f>BD16*VLOOKUP('Données projet'!$B$11,Paramètres!$A$1:$I$89,3,0)*VLOOKUP('Données projet'!$B$11,Paramètres!$A$1:$I$89,5,0)</f>
        <v>10.98065702026792</v>
      </c>
      <c r="BF16" s="14">
        <f t="shared" si="37"/>
        <v>3.8286992592655618</v>
      </c>
      <c r="BG16" s="22">
        <f t="shared" si="7"/>
        <v>25.792962186854144</v>
      </c>
      <c r="BH16" s="62">
        <f t="shared" si="8"/>
        <v>225.33396243847295</v>
      </c>
      <c r="BI16" s="62">
        <f ca="1">AVERAGE(OFFSET($BH$3,0,0,'Données projet'!$E$11+1,1))-AVERAGE(OFFSET($H$3,0,0,'Données projet'!$E$11+1,1))</f>
        <v>496.33873798282525</v>
      </c>
      <c r="BJ16" s="62">
        <f t="shared" si="38"/>
        <v>280.25465074992246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>
        <f>EXP(-LN(2)/35)*BP15+(1-EXP(-LN(2)/35))/(LN(2)/35)*BL16*BM16*VLOOKUP('Données projet'!$B$11,Paramètres!$A$1:$I$89,3,0)*0.475*44/12</f>
        <v>0</v>
      </c>
      <c r="BQ16" s="23">
        <f>EXP(-LN(2)/25)*BQ15+(1-EXP(-LN(2)/25))/(LN(2)/25)*Calculateur!BL16*Calculateur!BN16*VLOOKUP('Données projet'!$B$11,Paramètres!$A$1:$I$89,3,0)*0.475*44/12</f>
        <v>0</v>
      </c>
      <c r="BR16" s="23">
        <f>EXP(-LN(2)/2)*BR15+(1-EXP(-LN(2)/2))/(LN(2)/2)*BL16*BO16*VLOOKUP('Données projet'!$B$11,Paramètres!$A$1:$I$89,3,0)*0.475*44/12</f>
        <v>0</v>
      </c>
      <c r="BS16" s="24">
        <f t="shared" si="9"/>
        <v>0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0.6</v>
      </c>
      <c r="BY16" s="13">
        <f>IF('Données projet'!$A$114&gt;35,BY15+BX16-CG15,IF(A16&lt;'Données projet'!$A$114,$BV$205^A16,IF(A16='Données projet'!$A$114,'Données projet'!$B$114,BY15+BX16-CG15)))</f>
        <v>6.7144458364886441</v>
      </c>
      <c r="BZ16" s="14">
        <f>BY16*VLOOKUP('Données projet'!$B$12,Paramètres!$A$1:$I$89,3,0)*VLOOKUP('Données projet'!$B$12,Paramètres!$A$1:$I$89,5,0)</f>
        <v>5.86573988275648</v>
      </c>
      <c r="CA16" s="14">
        <f t="shared" si="39"/>
        <v>2.2000983287624218</v>
      </c>
      <c r="CB16" s="22">
        <f t="shared" si="10"/>
        <v>14.048001551728753</v>
      </c>
      <c r="CC16" s="62">
        <f t="shared" si="11"/>
        <v>213.58900180334757</v>
      </c>
      <c r="CD16" s="62">
        <f ca="1">AVERAGE(OFFSET($CC$3,0,0,'Données projet'!$E$12+1,1))-AVERAGE(OFFSET($H$3,0,0,'Données projet'!$E$12+1,1))</f>
        <v>298.56812743477741</v>
      </c>
      <c r="CE16" s="62">
        <f t="shared" si="40"/>
        <v>276.01618888357268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>
        <f>EXP(-LN(2)/35)*CK15+(1-EXP(-LN(2)/35))/(LN(2)/35)*CG16*CH16*VLOOKUP('Données projet'!$B$12,Paramètres!$A$1:$I$89,3,0)*0.475*44/12</f>
        <v>0</v>
      </c>
      <c r="CL16" s="23">
        <f>EXP(-LN(2)/25)*CL15+(1-EXP(-LN(2)/25))/(LN(2)/25)*Calculateur!CG16*Calculateur!CI16*VLOOKUP('Données projet'!$B$12,Paramètres!$A$1:$I$89,3,0)*0.475*44/12</f>
        <v>0</v>
      </c>
      <c r="CM16" s="23">
        <f>EXP(-LN(2)/2)*CM15+(1-EXP(-LN(2)/2))/(LN(2)/2)*CG16*CJ16*VLOOKUP('Données projet'!$B$12,Paramètres!$A$1:$I$89,3,0)*0.475*44/12</f>
        <v>0</v>
      </c>
      <c r="CN16" s="24">
        <f t="shared" si="12"/>
        <v>0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3.3333333333333335</v>
      </c>
      <c r="CT16" s="13">
        <f>IF('Données projet'!$A$140&gt;35,CT15+CS16-DB15,IF(A16&lt;'Données projet'!$A$140,$CQ$205^A16,IF(A16='Données projet'!$A$140,'Données projet'!$B$140,CT15+CS16-DB15)))</f>
        <v>29.678412748283769</v>
      </c>
      <c r="CU16" s="18">
        <f>CT16*VLOOKUP('Données projet'!$B$13,Paramètres!$A$1:$I$89,3,0)*VLOOKUP('Données projet'!$B$13,Paramètres!$A$1:$I$89,5,0)</f>
        <v>19.90827927154875</v>
      </c>
      <c r="CV16" s="14">
        <f t="shared" si="41"/>
        <v>6.4770651239957129</v>
      </c>
      <c r="CW16" s="22">
        <f t="shared" si="13"/>
        <v>45.954474822239945</v>
      </c>
      <c r="CX16" s="62">
        <f t="shared" si="14"/>
        <v>245.49547507385876</v>
      </c>
      <c r="CY16" s="62">
        <f ca="1">AVERAGE(OFFSET($CX$3,0,0,'Données projet'!$E$13+1,1))-AVERAGE(OFFSET($H$3,0,0,'Données projet'!$E$13+1,1))</f>
        <v>346.82725381974132</v>
      </c>
      <c r="CZ16" s="62">
        <f t="shared" si="42"/>
        <v>254.09787950201044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>
        <f>EXP(-LN(2)/35)*DF15+(1-EXP(-LN(2)/35))/(LN(2)/35)*DB16*DC16*VLOOKUP('Données projet'!$B$13,Paramètres!$A$1:$I$89,3,0)*0.475*44/12</f>
        <v>0</v>
      </c>
      <c r="DG16" s="23">
        <f>EXP(-LN(2)/25)*DG15+(1-EXP(-LN(2)/25))/(LN(2)/25)*Calculateur!DB16*Calculateur!DD16*VLOOKUP('Données projet'!$B$13,Paramètres!$A$1:$I$89,3,0)*0.475*44/12</f>
        <v>0</v>
      </c>
      <c r="DH16" s="23">
        <f>EXP(-LN(2)/2)*DH15+(1-EXP(-LN(2)/2))/(LN(2)/2)*DB16*DE16*VLOOKUP('Données projet'!$B$13,Paramètres!$A$1:$I$89,3,0)*0.475*44/12</f>
        <v>0</v>
      </c>
      <c r="DI16" s="24">
        <f t="shared" si="15"/>
        <v>0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5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2">
        <f t="shared" si="32"/>
        <v>0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18.333333333333332</v>
      </c>
      <c r="H17" s="70">
        <f t="shared" si="1"/>
        <v>183.33333333333334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2.1</v>
      </c>
      <c r="N17" s="14">
        <f>IF('Données projet'!$A$36&gt;35,N16+M17-V16,IF(A17&lt;'Données projet'!$A$36,$K$205^A17,IF(A17='Données projet'!$A$36,'Données projet'!$B$36,N16+M17-V16)))</f>
        <v>13.685935953338433</v>
      </c>
      <c r="O17" s="14">
        <f>N17*VLOOKUP('Données projet'!$B$9,Paramètres!$A$1:$I$89,3,0)*VLOOKUP('Données projet'!$B$9,Paramètres!$A$1:$I$89,5,0)</f>
        <v>12.383034850580612</v>
      </c>
      <c r="P17" s="14">
        <f t="shared" si="33"/>
        <v>4.2576904771143838</v>
      </c>
      <c r="Q17" s="22">
        <f t="shared" si="2"/>
        <v>28.982596612402116</v>
      </c>
      <c r="R17" s="62">
        <f t="shared" si="0"/>
        <v>231.01245838467531</v>
      </c>
      <c r="S17" s="62">
        <f ca="1">AVERAGE(OFFSET($R$3,0,0,'Données projet'!$E$9+1,1))-AVERAGE(OFFSET($H$3,0,0,'Données projet'!$E$9+1,1))</f>
        <v>469.67944008675863</v>
      </c>
      <c r="T17" s="62">
        <f t="shared" si="34"/>
        <v>266.11908070867173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2.4358974358974361</v>
      </c>
      <c r="AI17" s="14">
        <f>IF('Données projet'!$A$62&gt;35,AI16+AH17-AQ16,IF(A17&lt;'Données projet'!$A$62,$AF$205^A17,IF(A17='Données projet'!$A$62,'Données projet'!$B$62,AI16+AH17-AQ16)))</f>
        <v>28.745304058350921</v>
      </c>
      <c r="AJ17" s="14">
        <f>AI17*VLOOKUP('Données projet'!$B$10,Paramètres!$A$1:$I$89,3,0)*VLOOKUP('Données projet'!$B$10,Paramètres!$A$1:$I$89,5,0)</f>
        <v>27.354031341926738</v>
      </c>
      <c r="AK17" s="14">
        <f t="shared" si="35"/>
        <v>8.5763820870506962</v>
      </c>
      <c r="AL17" s="22">
        <f t="shared" si="4"/>
        <v>62.578803388802356</v>
      </c>
      <c r="AM17" s="62">
        <f t="shared" si="5"/>
        <v>264.60866516107558</v>
      </c>
      <c r="AN17" s="62">
        <f ca="1">AVERAGE(OFFSET($AM$3,0,0,'Données projet'!$E$10+1,1))-AVERAGE(OFFSET($H$3,0,0,'Données projet'!$E$10+1,1))</f>
        <v>400.48230125343474</v>
      </c>
      <c r="AO17" s="62">
        <f t="shared" si="36"/>
        <v>275.67023303885048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0</v>
      </c>
      <c r="AX17" s="23">
        <f t="shared" si="6"/>
        <v>0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2.1</v>
      </c>
      <c r="BD17" s="13">
        <f>IF('Données projet'!$A$88&gt;35,BD16+BC17-BL16,IF(A17&lt;'Données projet'!$A$88,$BA$205^A17,IF(A17='Données projet'!$A$88,'Données projet'!$B$88,BD16+BC17-BL16)))</f>
        <v>13.685935953338433</v>
      </c>
      <c r="BE17" s="14">
        <f>BD17*VLOOKUP('Données projet'!$B$11,Paramètres!$A$1:$I$89,3,0)*VLOOKUP('Données projet'!$B$11,Paramètres!$A$1:$I$89,5,0)</f>
        <v>13.237037254068934</v>
      </c>
      <c r="BF17" s="14">
        <f t="shared" si="37"/>
        <v>4.5161297192961545</v>
      </c>
      <c r="BG17" s="22">
        <f t="shared" si="7"/>
        <v>30.920099145277529</v>
      </c>
      <c r="BH17" s="62">
        <f t="shared" si="8"/>
        <v>232.94996091755073</v>
      </c>
      <c r="BI17" s="62">
        <f ca="1">AVERAGE(OFFSET($BH$3,0,0,'Données projet'!$E$11+1,1))-AVERAGE(OFFSET($H$3,0,0,'Données projet'!$E$11+1,1))</f>
        <v>496.33873798282525</v>
      </c>
      <c r="BJ17" s="62">
        <f t="shared" si="38"/>
        <v>280.25465074992246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>
        <f>EXP(-LN(2)/35)*BP16+(1-EXP(-LN(2)/35))/(LN(2)/35)*BL17*BM17*VLOOKUP('Données projet'!$B$11,Paramètres!$A$1:$I$89,3,0)*0.475*44/12</f>
        <v>0</v>
      </c>
      <c r="BQ17" s="23">
        <f>EXP(-LN(2)/25)*BQ16+(1-EXP(-LN(2)/25))/(LN(2)/25)*Calculateur!BL17*Calculateur!BN17*VLOOKUP('Données projet'!$B$11,Paramètres!$A$1:$I$89,3,0)*0.475*44/12</f>
        <v>0</v>
      </c>
      <c r="BR17" s="23">
        <f>EXP(-LN(2)/2)*BR16+(1-EXP(-LN(2)/2))/(LN(2)/2)*BL17*BO17*VLOOKUP('Données projet'!$B$11,Paramètres!$A$1:$I$89,3,0)*0.475*44/12</f>
        <v>0</v>
      </c>
      <c r="BS17" s="24">
        <f t="shared" si="9"/>
        <v>0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0.6</v>
      </c>
      <c r="BY17" s="13">
        <f>IF('Données projet'!$A$114&gt;35,BY16+BX17-CG16,IF(A17&lt;'Données projet'!$A$114,$BV$205^A17,IF(A17='Données projet'!$A$114,'Données projet'!$B$114,BY16+BX17-CG16)))</f>
        <v>7.7736743261084582</v>
      </c>
      <c r="BZ17" s="14">
        <f>BY17*VLOOKUP('Données projet'!$B$12,Paramètres!$A$1:$I$89,3,0)*VLOOKUP('Données projet'!$B$12,Paramètres!$A$1:$I$89,5,0)</f>
        <v>6.7910818912883508</v>
      </c>
      <c r="CA17" s="14">
        <f t="shared" si="39"/>
        <v>2.5041096194780144</v>
      </c>
      <c r="CB17" s="22">
        <f t="shared" si="10"/>
        <v>16.189125214584752</v>
      </c>
      <c r="CC17" s="62">
        <f t="shared" si="11"/>
        <v>218.21898698685794</v>
      </c>
      <c r="CD17" s="62">
        <f ca="1">AVERAGE(OFFSET($CC$3,0,0,'Données projet'!$E$12+1,1))-AVERAGE(OFFSET($H$3,0,0,'Données projet'!$E$12+1,1))</f>
        <v>298.56812743477741</v>
      </c>
      <c r="CE17" s="62">
        <f t="shared" si="40"/>
        <v>276.01618888357268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>
        <f>EXP(-LN(2)/35)*CK16+(1-EXP(-LN(2)/35))/(LN(2)/35)*CG17*CH17*VLOOKUP('Données projet'!$B$12,Paramètres!$A$1:$I$89,3,0)*0.475*44/12</f>
        <v>0</v>
      </c>
      <c r="CL17" s="23">
        <f>EXP(-LN(2)/25)*CL16+(1-EXP(-LN(2)/25))/(LN(2)/25)*Calculateur!CG17*Calculateur!CI17*VLOOKUP('Données projet'!$B$12,Paramètres!$A$1:$I$89,3,0)*0.475*44/12</f>
        <v>0</v>
      </c>
      <c r="CM17" s="23">
        <f>EXP(-LN(2)/2)*CM16+(1-EXP(-LN(2)/2))/(LN(2)/2)*CG17*CJ17*VLOOKUP('Données projet'!$B$12,Paramètres!$A$1:$I$89,3,0)*0.475*44/12</f>
        <v>0</v>
      </c>
      <c r="CN17" s="24">
        <f t="shared" si="12"/>
        <v>0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3.3333333333333335</v>
      </c>
      <c r="CT17" s="13">
        <f>IF('Données projet'!$A$140&gt;35,CT16+CS17-DB16,IF(A17&lt;'Données projet'!$A$140,$CQ$205^A17,IF(A17='Données projet'!$A$140,'Données projet'!$B$140,CT16+CS17-DB16)))</f>
        <v>38.521690479704915</v>
      </c>
      <c r="CU17" s="18">
        <f>CT17*VLOOKUP('Données projet'!$B$13,Paramètres!$A$1:$I$89,3,0)*VLOOKUP('Données projet'!$B$13,Paramètres!$A$1:$I$89,5,0)</f>
        <v>25.840349973786058</v>
      </c>
      <c r="CV17" s="14">
        <f t="shared" si="41"/>
        <v>8.1556564542120462</v>
      </c>
      <c r="CW17" s="22">
        <f t="shared" si="13"/>
        <v>59.209711195430032</v>
      </c>
      <c r="CX17" s="62">
        <f t="shared" si="14"/>
        <v>261.23957296770323</v>
      </c>
      <c r="CY17" s="62">
        <f ca="1">AVERAGE(OFFSET($CX$3,0,0,'Données projet'!$E$13+1,1))-AVERAGE(OFFSET($H$3,0,0,'Données projet'!$E$13+1,1))</f>
        <v>346.82725381974132</v>
      </c>
      <c r="CZ17" s="62">
        <f t="shared" si="42"/>
        <v>254.09787950201044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>
        <f>EXP(-LN(2)/35)*DF16+(1-EXP(-LN(2)/35))/(LN(2)/35)*DB17*DC17*VLOOKUP('Données projet'!$B$13,Paramètres!$A$1:$I$89,3,0)*0.475*44/12</f>
        <v>0</v>
      </c>
      <c r="DG17" s="23">
        <f>EXP(-LN(2)/25)*DG16+(1-EXP(-LN(2)/25))/(LN(2)/25)*Calculateur!DB17*Calculateur!DD17*VLOOKUP('Données projet'!$B$13,Paramètres!$A$1:$I$89,3,0)*0.475*44/12</f>
        <v>0</v>
      </c>
      <c r="DH17" s="23">
        <f>EXP(-LN(2)/2)*DH16+(1-EXP(-LN(2)/2))/(LN(2)/2)*DB17*DE17*VLOOKUP('Données projet'!$B$13,Paramètres!$A$1:$I$89,3,0)*0.475*44/12</f>
        <v>0</v>
      </c>
      <c r="DI17" s="24">
        <f t="shared" si="15"/>
        <v>0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5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2">
        <f t="shared" si="32"/>
        <v>0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18.333333333333332</v>
      </c>
      <c r="H18" s="70">
        <f t="shared" si="1"/>
        <v>183.33333333333334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2.1</v>
      </c>
      <c r="N18" s="14">
        <f>IF('Données projet'!$A$36&gt;35,N17+M18-V17,IF(A18&lt;'Données projet'!$A$36,$K$205^A18,IF(A18='Données projet'!$A$36,'Données projet'!$B$36,N17+M18-V17)))</f>
        <v>16.498215337821566</v>
      </c>
      <c r="O18" s="14">
        <f>N18*VLOOKUP('Données projet'!$B$9,Paramètres!$A$1:$I$89,3,0)*VLOOKUP('Données projet'!$B$9,Paramètres!$A$1:$I$89,5,0)</f>
        <v>14.927585237660953</v>
      </c>
      <c r="P18" s="14">
        <f t="shared" si="33"/>
        <v>5.0221449106318534</v>
      </c>
      <c r="Q18" s="22">
        <f t="shared" si="2"/>
        <v>34.745780008276633</v>
      </c>
      <c r="R18" s="62">
        <f t="shared" si="0"/>
        <v>239.24252994115767</v>
      </c>
      <c r="S18" s="62">
        <f ca="1">AVERAGE(OFFSET($R$3,0,0,'Données projet'!$E$9+1,1))-AVERAGE(OFFSET($H$3,0,0,'Données projet'!$E$9+1,1))</f>
        <v>469.67944008675863</v>
      </c>
      <c r="T18" s="62">
        <f t="shared" si="34"/>
        <v>266.11908070867173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>
        <f>VLOOKUP(A18,'Données projet'!$A$61:$I$81,2,0)</f>
        <v>36.53846153846154</v>
      </c>
      <c r="AG18" s="13">
        <f>VLOOKUP(A18,'Données projet'!$A$61:$I$81,9,0)</f>
        <v>2.4358974358974361</v>
      </c>
      <c r="AH18" s="13">
        <f t="array" ref="AH18">INDEX(AG:AG,MIN(IF(ISNUMBER(AG18:AG214),ROW(AG18:AG214),"")))</f>
        <v>2.4358974358974361</v>
      </c>
      <c r="AI18" s="14">
        <f>IF('Données projet'!$A$62&gt;35,AI17+AH18-AQ17,IF(A18&lt;'Données projet'!$A$62,$AF$205^A18,IF(A18='Données projet'!$A$62,'Données projet'!$B$62,AI17+AH18-AQ17)))</f>
        <v>36.53846153846154</v>
      </c>
      <c r="AJ18" s="14">
        <f>AI18*VLOOKUP('Données projet'!$B$10,Paramètres!$A$1:$I$89,3,0)*VLOOKUP('Données projet'!$B$10,Paramètres!$A$1:$I$89,5,0)</f>
        <v>34.770000000000003</v>
      </c>
      <c r="AK18" s="14">
        <f t="shared" si="35"/>
        <v>10.601334297333203</v>
      </c>
      <c r="AL18" s="22">
        <f t="shared" si="4"/>
        <v>79.021740567855332</v>
      </c>
      <c r="AM18" s="62">
        <f t="shared" si="5"/>
        <v>283.51849050073639</v>
      </c>
      <c r="AN18" s="62">
        <f ca="1">AVERAGE(OFFSET($AM$3,0,0,'Données projet'!$E$10+1,1))-AVERAGE(OFFSET($H$3,0,0,'Données projet'!$E$10+1,1))</f>
        <v>400.48230125343474</v>
      </c>
      <c r="AO18" s="62">
        <f t="shared" si="36"/>
        <v>275.67023303885048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0</v>
      </c>
      <c r="AX18" s="23">
        <f t="shared" si="6"/>
        <v>0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2.1</v>
      </c>
      <c r="BD18" s="13">
        <f>IF('Données projet'!$A$88&gt;35,BD17+BC18-BL17,IF(A18&lt;'Données projet'!$A$88,$BA$205^A18,IF(A18='Données projet'!$A$88,'Données projet'!$B$88,BD17+BC18-BL17)))</f>
        <v>16.498215337821566</v>
      </c>
      <c r="BE18" s="14">
        <f>BD18*VLOOKUP('Données projet'!$B$11,Paramètres!$A$1:$I$89,3,0)*VLOOKUP('Données projet'!$B$11,Paramètres!$A$1:$I$89,5,0)</f>
        <v>15.957073874741019</v>
      </c>
      <c r="BF18" s="14">
        <f t="shared" si="37"/>
        <v>5.3269860755326848</v>
      </c>
      <c r="BG18" s="22">
        <f t="shared" si="7"/>
        <v>37.069737746726702</v>
      </c>
      <c r="BH18" s="62">
        <f t="shared" si="8"/>
        <v>241.56648767960775</v>
      </c>
      <c r="BI18" s="62">
        <f ca="1">AVERAGE(OFFSET($BH$3,0,0,'Données projet'!$E$11+1,1))-AVERAGE(OFFSET($H$3,0,0,'Données projet'!$E$11+1,1))</f>
        <v>496.33873798282525</v>
      </c>
      <c r="BJ18" s="62">
        <f t="shared" si="38"/>
        <v>280.25465074992246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>
        <f>EXP(-LN(2)/35)*BP17+(1-EXP(-LN(2)/35))/(LN(2)/35)*BL18*BM18*VLOOKUP('Données projet'!$B$11,Paramètres!$A$1:$I$89,3,0)*0.475*44/12</f>
        <v>0</v>
      </c>
      <c r="BQ18" s="23">
        <f>EXP(-LN(2)/25)*BQ17+(1-EXP(-LN(2)/25))/(LN(2)/25)*Calculateur!BL18*Calculateur!BN18*VLOOKUP('Données projet'!$B$11,Paramètres!$A$1:$I$89,3,0)*0.475*44/12</f>
        <v>0</v>
      </c>
      <c r="BR18" s="23">
        <f>EXP(-LN(2)/2)*BR17+(1-EXP(-LN(2)/2))/(LN(2)/2)*BL18*BO18*VLOOKUP('Données projet'!$B$11,Paramètres!$A$1:$I$89,3,0)*0.475*44/12</f>
        <v>0</v>
      </c>
      <c r="BS18" s="24">
        <f t="shared" si="9"/>
        <v>0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>
        <f>VLOOKUP(A18,'Données projet'!$A$113:$I$133,2,0)</f>
        <v>9</v>
      </c>
      <c r="BW18" s="13">
        <f>VLOOKUP(A18,'Données projet'!$A$113:$I$133,9,0)</f>
        <v>0.6</v>
      </c>
      <c r="BX18" s="13">
        <f t="array" ref="BX18">INDEX(BW:BW,MIN(IF(ISNUMBER(BW18:BW214),ROW(BW18:BW214),"")))</f>
        <v>0.6</v>
      </c>
      <c r="BY18" s="13">
        <f>IF('Données projet'!$A$114&gt;35,BY17+BX18-CG17,IF(A18&lt;'Données projet'!$A$114,$BV$205^A18,IF(A18='Données projet'!$A$114,'Données projet'!$B$114,BY17+BX18-CG17)))</f>
        <v>9</v>
      </c>
      <c r="BZ18" s="14">
        <f>BY18*VLOOKUP('Données projet'!$B$12,Paramètres!$A$1:$I$89,3,0)*VLOOKUP('Données projet'!$B$12,Paramètres!$A$1:$I$89,5,0)</f>
        <v>7.8624000000000018</v>
      </c>
      <c r="CA18" s="14">
        <f t="shared" si="39"/>
        <v>2.8501294257559766</v>
      </c>
      <c r="CB18" s="22">
        <f t="shared" si="10"/>
        <v>18.657655416524996</v>
      </c>
      <c r="CC18" s="62">
        <f t="shared" si="11"/>
        <v>223.15440534940603</v>
      </c>
      <c r="CD18" s="62">
        <f ca="1">AVERAGE(OFFSET($CC$3,0,0,'Données projet'!$E$12+1,1))-AVERAGE(OFFSET($H$3,0,0,'Données projet'!$E$12+1,1))</f>
        <v>298.56812743477741</v>
      </c>
      <c r="CE18" s="62">
        <f t="shared" si="40"/>
        <v>276.01618888357268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>
        <f>EXP(-LN(2)/35)*CK17+(1-EXP(-LN(2)/35))/(LN(2)/35)*CG18*CH18*VLOOKUP('Données projet'!$B$12,Paramètres!$A$1:$I$89,3,0)*0.475*44/12</f>
        <v>0</v>
      </c>
      <c r="CL18" s="23">
        <f>EXP(-LN(2)/25)*CL17+(1-EXP(-LN(2)/25))/(LN(2)/25)*Calculateur!CG18*Calculateur!CI18*VLOOKUP('Données projet'!$B$12,Paramètres!$A$1:$I$89,3,0)*0.475*44/12</f>
        <v>0</v>
      </c>
      <c r="CM18" s="23">
        <f>EXP(-LN(2)/2)*CM17+(1-EXP(-LN(2)/2))/(LN(2)/2)*CG18*CJ18*VLOOKUP('Données projet'!$B$12,Paramètres!$A$1:$I$89,3,0)*0.475*44/12</f>
        <v>0</v>
      </c>
      <c r="CN18" s="24">
        <f t="shared" si="12"/>
        <v>0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>
        <f>VLOOKUP(A18,'Données projet'!$A$139:$I$159,2,0)</f>
        <v>50</v>
      </c>
      <c r="CR18" s="13">
        <f>VLOOKUP(A18,'Données projet'!$A$139:$I$159,9,0)</f>
        <v>3.3333333333333335</v>
      </c>
      <c r="CS18" s="13">
        <f t="array" ref="CS18">INDEX(CR:CR,MIN(IF(ISNUMBER(CR18:CR214),ROW(CR18:CR214),"")))</f>
        <v>3.3333333333333335</v>
      </c>
      <c r="CT18" s="13">
        <f>IF('Données projet'!$A$140&gt;35,CT17+CS18-DB17,IF(A18&lt;'Données projet'!$A$140,$CQ$205^A18,IF(A18='Données projet'!$A$140,'Données projet'!$B$140,CT17+CS18-DB17)))</f>
        <v>50</v>
      </c>
      <c r="CU18" s="18">
        <f>CT18*VLOOKUP('Données projet'!$B$13,Paramètres!$A$1:$I$89,3,0)*VLOOKUP('Données projet'!$B$13,Paramètres!$A$1:$I$89,5,0)</f>
        <v>33.54</v>
      </c>
      <c r="CV18" s="14">
        <f t="shared" si="41"/>
        <v>10.269270252156668</v>
      </c>
      <c r="CW18" s="22">
        <f t="shared" si="13"/>
        <v>76.301145689172856</v>
      </c>
      <c r="CX18" s="62">
        <f t="shared" si="14"/>
        <v>280.79789562205389</v>
      </c>
      <c r="CY18" s="62">
        <f ca="1">AVERAGE(OFFSET($CX$3,0,0,'Données projet'!$E$13+1,1))-AVERAGE(OFFSET($H$3,0,0,'Données projet'!$E$13+1,1))</f>
        <v>346.82725381974132</v>
      </c>
      <c r="CZ18" s="62">
        <f t="shared" si="42"/>
        <v>254.09787950201044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>
        <f>EXP(-LN(2)/35)*DF17+(1-EXP(-LN(2)/35))/(LN(2)/35)*DB18*DC18*VLOOKUP('Données projet'!$B$13,Paramètres!$A$1:$I$89,3,0)*0.475*44/12</f>
        <v>0</v>
      </c>
      <c r="DG18" s="23">
        <f>EXP(-LN(2)/25)*DG17+(1-EXP(-LN(2)/25))/(LN(2)/25)*Calculateur!DB18*Calculateur!DD18*VLOOKUP('Données projet'!$B$13,Paramètres!$A$1:$I$89,3,0)*0.475*44/12</f>
        <v>0</v>
      </c>
      <c r="DH18" s="23">
        <f>EXP(-LN(2)/2)*DH17+(1-EXP(-LN(2)/2))/(LN(2)/2)*DB18*DE18*VLOOKUP('Données projet'!$B$13,Paramètres!$A$1:$I$89,3,0)*0.475*44/12</f>
        <v>0</v>
      </c>
      <c r="DI18" s="24">
        <f t="shared" si="15"/>
        <v>0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5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2">
        <f t="shared" si="32"/>
        <v>0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18.333333333333332</v>
      </c>
      <c r="H19" s="70">
        <f t="shared" si="1"/>
        <v>183.33333333333334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2.1</v>
      </c>
      <c r="N19" s="14">
        <f>IF('Données projet'!$A$36&gt;35,N18+M19-V18,IF(A19&lt;'Données projet'!$A$36,$K$205^A19,IF(A19='Données projet'!$A$36,'Données projet'!$B$36,N18+M19-V18)))</f>
        <v>19.888381054913147</v>
      </c>
      <c r="O19" s="14">
        <f>N19*VLOOKUP('Données projet'!$B$9,Paramètres!$A$1:$I$89,3,0)*VLOOKUP('Données projet'!$B$9,Paramètres!$A$1:$I$89,5,0)</f>
        <v>17.995007178485412</v>
      </c>
      <c r="P19" s="14">
        <f t="shared" si="33"/>
        <v>5.9238546434872337</v>
      </c>
      <c r="Q19" s="22">
        <f t="shared" si="2"/>
        <v>41.658684339935689</v>
      </c>
      <c r="R19" s="62">
        <f t="shared" si="0"/>
        <v>248.60073026204975</v>
      </c>
      <c r="S19" s="62">
        <f ca="1">AVERAGE(OFFSET($R$3,0,0,'Données projet'!$E$9+1,1))-AVERAGE(OFFSET($H$3,0,0,'Données projet'!$E$9+1,1))</f>
        <v>469.67944008675863</v>
      </c>
      <c r="T19" s="62">
        <f t="shared" si="34"/>
        <v>266.11908070867173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6.2820512820512802</v>
      </c>
      <c r="AI19" s="14">
        <f>IF('Données projet'!$A$62&gt;35,AI18+AH19-AQ18,IF(A19&lt;'Données projet'!$A$62,$AF$205^A19,IF(A19='Données projet'!$A$62,'Données projet'!$B$62,AI18+AH19-AQ18)))</f>
        <v>42.820512820512818</v>
      </c>
      <c r="AJ19" s="14">
        <f>AI19*VLOOKUP('Données projet'!$B$10,Paramètres!$A$1:$I$89,3,0)*VLOOKUP('Données projet'!$B$10,Paramètres!$A$1:$I$89,5,0)</f>
        <v>40.747999999999998</v>
      </c>
      <c r="AK19" s="14">
        <f t="shared" si="35"/>
        <v>12.196690104400222</v>
      </c>
      <c r="AL19" s="22">
        <f t="shared" si="4"/>
        <v>92.212001931830386</v>
      </c>
      <c r="AM19" s="62">
        <f t="shared" si="5"/>
        <v>299.15404785394446</v>
      </c>
      <c r="AN19" s="62">
        <f ca="1">AVERAGE(OFFSET($AM$3,0,0,'Données projet'!$E$10+1,1))-AVERAGE(OFFSET($H$3,0,0,'Données projet'!$E$10+1,1))</f>
        <v>400.48230125343474</v>
      </c>
      <c r="AO19" s="62">
        <f t="shared" si="36"/>
        <v>275.67023303885048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0</v>
      </c>
      <c r="AX19" s="23">
        <f t="shared" si="6"/>
        <v>0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2.1</v>
      </c>
      <c r="BD19" s="13">
        <f>IF('Données projet'!$A$88&gt;35,BD18+BC19-BL18,IF(A19&lt;'Données projet'!$A$88,$BA$205^A19,IF(A19='Données projet'!$A$88,'Données projet'!$B$88,BD18+BC19-BL18)))</f>
        <v>19.888381054913147</v>
      </c>
      <c r="BE19" s="14">
        <f>BD19*VLOOKUP('Données projet'!$B$11,Paramètres!$A$1:$I$89,3,0)*VLOOKUP('Données projet'!$B$11,Paramètres!$A$1:$I$89,5,0)</f>
        <v>19.236042156311996</v>
      </c>
      <c r="BF19" s="14">
        <f t="shared" si="37"/>
        <v>6.2834290449348904</v>
      </c>
      <c r="BG19" s="22">
        <f t="shared" si="7"/>
        <v>44.446412342171662</v>
      </c>
      <c r="BH19" s="62">
        <f t="shared" si="8"/>
        <v>251.38845826428573</v>
      </c>
      <c r="BI19" s="62">
        <f ca="1">AVERAGE(OFFSET($BH$3,0,0,'Données projet'!$E$11+1,1))-AVERAGE(OFFSET($H$3,0,0,'Données projet'!$E$11+1,1))</f>
        <v>496.33873798282525</v>
      </c>
      <c r="BJ19" s="62">
        <f t="shared" si="38"/>
        <v>280.25465074992246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>
        <f>EXP(-LN(2)/35)*BP18+(1-EXP(-LN(2)/35))/(LN(2)/35)*BL19*BM19*VLOOKUP('Données projet'!$B$11,Paramètres!$A$1:$I$89,3,0)*0.475*44/12</f>
        <v>0</v>
      </c>
      <c r="BQ19" s="23">
        <f>EXP(-LN(2)/25)*BQ18+(1-EXP(-LN(2)/25))/(LN(2)/25)*Calculateur!BL19*Calculateur!BN19*VLOOKUP('Données projet'!$B$11,Paramètres!$A$1:$I$89,3,0)*0.475*44/12</f>
        <v>0</v>
      </c>
      <c r="BR19" s="23">
        <f>EXP(-LN(2)/2)*BR18+(1-EXP(-LN(2)/2))/(LN(2)/2)*BL19*BO19*VLOOKUP('Données projet'!$B$11,Paramètres!$A$1:$I$89,3,0)*0.475*44/12</f>
        <v>0</v>
      </c>
      <c r="BS19" s="24">
        <f t="shared" si="9"/>
        <v>0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9.6</v>
      </c>
      <c r="BY19" s="13">
        <f>IF('Données projet'!$A$114&gt;35,BY18+BX19-CG18,IF(A19&lt;'Données projet'!$A$114,$BV$205^A19,IF(A19='Données projet'!$A$114,'Données projet'!$B$114,BY18+BX19-CG18)))</f>
        <v>18.600000000000001</v>
      </c>
      <c r="BZ19" s="14">
        <f>BY19*VLOOKUP('Données projet'!$B$12,Paramètres!$A$1:$I$89,3,0)*VLOOKUP('Données projet'!$B$12,Paramètres!$A$1:$I$89,5,0)</f>
        <v>16.248960000000004</v>
      </c>
      <c r="CA19" s="14">
        <f t="shared" si="39"/>
        <v>5.4129939058841199</v>
      </c>
      <c r="CB19" s="22">
        <f t="shared" si="10"/>
        <v>37.727903052748182</v>
      </c>
      <c r="CC19" s="62">
        <f t="shared" si="11"/>
        <v>244.66994897486225</v>
      </c>
      <c r="CD19" s="62">
        <f ca="1">AVERAGE(OFFSET($CC$3,0,0,'Données projet'!$E$12+1,1))-AVERAGE(OFFSET($H$3,0,0,'Données projet'!$E$12+1,1))</f>
        <v>298.56812743477741</v>
      </c>
      <c r="CE19" s="62">
        <f t="shared" si="40"/>
        <v>276.01618888357268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>
        <f>EXP(-LN(2)/35)*CK18+(1-EXP(-LN(2)/35))/(LN(2)/35)*CG19*CH19*VLOOKUP('Données projet'!$B$12,Paramètres!$A$1:$I$89,3,0)*0.475*44/12</f>
        <v>0</v>
      </c>
      <c r="CL19" s="23">
        <f>EXP(-LN(2)/25)*CL18+(1-EXP(-LN(2)/25))/(LN(2)/25)*Calculateur!CG19*Calculateur!CI19*VLOOKUP('Données projet'!$B$12,Paramètres!$A$1:$I$89,3,0)*0.475*44/12</f>
        <v>0</v>
      </c>
      <c r="CM19" s="23">
        <f>EXP(-LN(2)/2)*CM18+(1-EXP(-LN(2)/2))/(LN(2)/2)*CG19*CJ19*VLOOKUP('Données projet'!$B$12,Paramètres!$A$1:$I$89,3,0)*0.475*44/12</f>
        <v>0</v>
      </c>
      <c r="CN19" s="24">
        <f t="shared" si="12"/>
        <v>0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8.2051282051282044</v>
      </c>
      <c r="CT19" s="13">
        <f>IF('Données projet'!$A$140&gt;35,CT18+CS19-DB18,IF(A19&lt;'Données projet'!$A$140,$CQ$205^A19,IF(A19='Données projet'!$A$140,'Données projet'!$B$140,CT18+CS19-DB18)))</f>
        <v>58.205128205128204</v>
      </c>
      <c r="CU19" s="18">
        <f>CT19*VLOOKUP('Données projet'!$B$13,Paramètres!$A$1:$I$89,3,0)*VLOOKUP('Données projet'!$B$13,Paramètres!$A$1:$I$89,5,0)</f>
        <v>39.043999999999997</v>
      </c>
      <c r="CV19" s="14">
        <f t="shared" si="41"/>
        <v>11.744903368873258</v>
      </c>
      <c r="CW19" s="22">
        <f t="shared" si="13"/>
        <v>88.457340034120918</v>
      </c>
      <c r="CX19" s="62">
        <f t="shared" si="14"/>
        <v>295.39938595623499</v>
      </c>
      <c r="CY19" s="62">
        <f ca="1">AVERAGE(OFFSET($CX$3,0,0,'Données projet'!$E$13+1,1))-AVERAGE(OFFSET($H$3,0,0,'Données projet'!$E$13+1,1))</f>
        <v>346.82725381974132</v>
      </c>
      <c r="CZ19" s="62">
        <f t="shared" si="42"/>
        <v>254.09787950201044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>
        <f>EXP(-LN(2)/35)*DF18+(1-EXP(-LN(2)/35))/(LN(2)/35)*DB19*DC19*VLOOKUP('Données projet'!$B$13,Paramètres!$A$1:$I$89,3,0)*0.475*44/12</f>
        <v>0</v>
      </c>
      <c r="DG19" s="23">
        <f>EXP(-LN(2)/25)*DG18+(1-EXP(-LN(2)/25))/(LN(2)/25)*Calculateur!DB19*Calculateur!DD19*VLOOKUP('Données projet'!$B$13,Paramètres!$A$1:$I$89,3,0)*0.475*44/12</f>
        <v>0</v>
      </c>
      <c r="DH19" s="23">
        <f>EXP(-LN(2)/2)*DH18+(1-EXP(-LN(2)/2))/(LN(2)/2)*DB19*DE19*VLOOKUP('Données projet'!$B$13,Paramètres!$A$1:$I$89,3,0)*0.475*44/12</f>
        <v>0</v>
      </c>
      <c r="DI19" s="24">
        <f t="shared" si="15"/>
        <v>0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5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2">
        <f t="shared" si="32"/>
        <v>0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18.333333333333332</v>
      </c>
      <c r="H20" s="70">
        <f t="shared" si="1"/>
        <v>183.33333333333334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2.1</v>
      </c>
      <c r="N20" s="14">
        <f>IF('Données projet'!$A$36&gt;35,N19+M20-V19,IF(A20&lt;'Données projet'!$A$36,$K$205^A20,IF(A20='Données projet'!$A$36,'Données projet'!$B$36,N19+M20-V19)))</f>
        <v>23.975181126327602</v>
      </c>
      <c r="O20" s="14">
        <f>N20*VLOOKUP('Données projet'!$B$9,Paramètres!$A$1:$I$89,3,0)*VLOOKUP('Données projet'!$B$9,Paramètres!$A$1:$I$89,5,0)</f>
        <v>21.692743883101215</v>
      </c>
      <c r="P20" s="14">
        <f t="shared" si="33"/>
        <v>6.98746341685115</v>
      </c>
      <c r="Q20" s="22">
        <f t="shared" si="2"/>
        <v>49.951361047417038</v>
      </c>
      <c r="R20" s="62">
        <f t="shared" si="0"/>
        <v>259.31748536328973</v>
      </c>
      <c r="S20" s="62">
        <f ca="1">AVERAGE(OFFSET($R$3,0,0,'Données projet'!$E$9+1,1))-AVERAGE(OFFSET($H$3,0,0,'Données projet'!$E$9+1,1))</f>
        <v>469.67944008675863</v>
      </c>
      <c r="T20" s="62">
        <f t="shared" si="34"/>
        <v>266.11908070867173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6.2820512820512802</v>
      </c>
      <c r="AI20" s="14">
        <f>IF('Données projet'!$A$62&gt;35,AI19+AH20-AQ19,IF(A20&lt;'Données projet'!$A$62,$AF$205^A20,IF(A20='Données projet'!$A$62,'Données projet'!$B$62,AI19+AH20-AQ19)))</f>
        <v>49.102564102564095</v>
      </c>
      <c r="AJ20" s="14">
        <f>AI20*VLOOKUP('Données projet'!$B$10,Paramètres!$A$1:$I$89,3,0)*VLOOKUP('Données projet'!$B$10,Paramètres!$A$1:$I$89,5,0)</f>
        <v>46.725999999999992</v>
      </c>
      <c r="AK20" s="14">
        <f t="shared" si="35"/>
        <v>13.764931291666562</v>
      </c>
      <c r="AL20" s="22">
        <f t="shared" si="4"/>
        <v>105.35503866631923</v>
      </c>
      <c r="AM20" s="62">
        <f t="shared" si="5"/>
        <v>314.72116298219197</v>
      </c>
      <c r="AN20" s="62">
        <f ca="1">AVERAGE(OFFSET($AM$3,0,0,'Données projet'!$E$10+1,1))-AVERAGE(OFFSET($H$3,0,0,'Données projet'!$E$10+1,1))</f>
        <v>400.48230125343474</v>
      </c>
      <c r="AO20" s="62">
        <f t="shared" si="36"/>
        <v>275.67023303885048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0</v>
      </c>
      <c r="AX20" s="23">
        <f t="shared" si="6"/>
        <v>0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2.1</v>
      </c>
      <c r="BD20" s="13">
        <f>IF('Données projet'!$A$88&gt;35,BD19+BC20-BL19,IF(A20&lt;'Données projet'!$A$88,$BA$205^A20,IF(A20='Données projet'!$A$88,'Données projet'!$B$88,BD19+BC20-BL19)))</f>
        <v>23.975181126327602</v>
      </c>
      <c r="BE20" s="14">
        <f>BD20*VLOOKUP('Données projet'!$B$11,Paramètres!$A$1:$I$89,3,0)*VLOOKUP('Données projet'!$B$11,Paramètres!$A$1:$I$89,5,0)</f>
        <v>23.188795185384055</v>
      </c>
      <c r="BF20" s="14">
        <f t="shared" si="37"/>
        <v>7.4115982288884323</v>
      </c>
      <c r="BG20" s="22">
        <f t="shared" si="7"/>
        <v>53.29568519652458</v>
      </c>
      <c r="BH20" s="62">
        <f t="shared" si="8"/>
        <v>262.66180951239733</v>
      </c>
      <c r="BI20" s="62">
        <f ca="1">AVERAGE(OFFSET($BH$3,0,0,'Données projet'!$E$11+1,1))-AVERAGE(OFFSET($H$3,0,0,'Données projet'!$E$11+1,1))</f>
        <v>496.33873798282525</v>
      </c>
      <c r="BJ20" s="62">
        <f t="shared" si="38"/>
        <v>280.25465074992246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>
        <f>EXP(-LN(2)/35)*BP19+(1-EXP(-LN(2)/35))/(LN(2)/35)*BL20*BM20*VLOOKUP('Données projet'!$B$11,Paramètres!$A$1:$I$89,3,0)*0.475*44/12</f>
        <v>0</v>
      </c>
      <c r="BQ20" s="23">
        <f>EXP(-LN(2)/25)*BQ19+(1-EXP(-LN(2)/25))/(LN(2)/25)*Calculateur!BL20*Calculateur!BN20*VLOOKUP('Données projet'!$B$11,Paramètres!$A$1:$I$89,3,0)*0.475*44/12</f>
        <v>0</v>
      </c>
      <c r="BR20" s="23">
        <f>EXP(-LN(2)/2)*BR19+(1-EXP(-LN(2)/2))/(LN(2)/2)*BL20*BO20*VLOOKUP('Données projet'!$B$11,Paramètres!$A$1:$I$89,3,0)*0.475*44/12</f>
        <v>0</v>
      </c>
      <c r="BS20" s="24">
        <f t="shared" si="9"/>
        <v>0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9.6</v>
      </c>
      <c r="BY20" s="13">
        <f>IF('Données projet'!$A$114&gt;35,BY19+BX20-CG19,IF(A20&lt;'Données projet'!$A$114,$BV$205^A20,IF(A20='Données projet'!$A$114,'Données projet'!$B$114,BY19+BX20-CG19)))</f>
        <v>28.200000000000003</v>
      </c>
      <c r="BZ20" s="14">
        <f>BY20*VLOOKUP('Données projet'!$B$12,Paramètres!$A$1:$I$89,3,0)*VLOOKUP('Données projet'!$B$12,Paramètres!$A$1:$I$89,5,0)</f>
        <v>24.635520000000007</v>
      </c>
      <c r="CA20" s="14">
        <f t="shared" si="39"/>
        <v>7.8187263384607988</v>
      </c>
      <c r="CB20" s="22">
        <f t="shared" si="10"/>
        <v>56.524479039485897</v>
      </c>
      <c r="CC20" s="62">
        <f t="shared" si="11"/>
        <v>265.89060335535862</v>
      </c>
      <c r="CD20" s="62">
        <f ca="1">AVERAGE(OFFSET($CC$3,0,0,'Données projet'!$E$12+1,1))-AVERAGE(OFFSET($H$3,0,0,'Données projet'!$E$12+1,1))</f>
        <v>298.56812743477741</v>
      </c>
      <c r="CE20" s="62">
        <f t="shared" si="40"/>
        <v>276.01618888357268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>
        <f>EXP(-LN(2)/35)*CK19+(1-EXP(-LN(2)/35))/(LN(2)/35)*CG20*CH20*VLOOKUP('Données projet'!$B$12,Paramètres!$A$1:$I$89,3,0)*0.475*44/12</f>
        <v>0</v>
      </c>
      <c r="CL20" s="23">
        <f>EXP(-LN(2)/25)*CL19+(1-EXP(-LN(2)/25))/(LN(2)/25)*Calculateur!CG20*Calculateur!CI20*VLOOKUP('Données projet'!$B$12,Paramètres!$A$1:$I$89,3,0)*0.475*44/12</f>
        <v>0</v>
      </c>
      <c r="CM20" s="23">
        <f>EXP(-LN(2)/2)*CM19+(1-EXP(-LN(2)/2))/(LN(2)/2)*CG20*CJ20*VLOOKUP('Données projet'!$B$12,Paramètres!$A$1:$I$89,3,0)*0.475*44/12</f>
        <v>0</v>
      </c>
      <c r="CN20" s="24">
        <f t="shared" si="12"/>
        <v>0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8.2051282051282044</v>
      </c>
      <c r="CT20" s="13">
        <f>IF('Données projet'!$A$140&gt;35,CT19+CS20-DB19,IF(A20&lt;'Données projet'!$A$140,$CQ$205^A20,IF(A20='Données projet'!$A$140,'Données projet'!$B$140,CT19+CS20-DB19)))</f>
        <v>66.410256410256409</v>
      </c>
      <c r="CU20" s="18">
        <f>CT20*VLOOKUP('Données projet'!$B$13,Paramètres!$A$1:$I$89,3,0)*VLOOKUP('Données projet'!$B$13,Paramètres!$A$1:$I$89,5,0)</f>
        <v>44.548000000000002</v>
      </c>
      <c r="CV20" s="14">
        <f t="shared" si="41"/>
        <v>13.196436493358</v>
      </c>
      <c r="CW20" s="22">
        <f t="shared" si="13"/>
        <v>100.57156022593183</v>
      </c>
      <c r="CX20" s="62">
        <f t="shared" si="14"/>
        <v>309.93768454180457</v>
      </c>
      <c r="CY20" s="62">
        <f ca="1">AVERAGE(OFFSET($CX$3,0,0,'Données projet'!$E$13+1,1))-AVERAGE(OFFSET($H$3,0,0,'Données projet'!$E$13+1,1))</f>
        <v>346.82725381974132</v>
      </c>
      <c r="CZ20" s="62">
        <f t="shared" si="42"/>
        <v>254.09787950201044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>
        <f>EXP(-LN(2)/35)*DF19+(1-EXP(-LN(2)/35))/(LN(2)/35)*DB20*DC20*VLOOKUP('Données projet'!$B$13,Paramètres!$A$1:$I$89,3,0)*0.475*44/12</f>
        <v>0</v>
      </c>
      <c r="DG20" s="23">
        <f>EXP(-LN(2)/25)*DG19+(1-EXP(-LN(2)/25))/(LN(2)/25)*Calculateur!DB20*Calculateur!DD20*VLOOKUP('Données projet'!$B$13,Paramètres!$A$1:$I$89,3,0)*0.475*44/12</f>
        <v>0</v>
      </c>
      <c r="DH20" s="23">
        <f>EXP(-LN(2)/2)*DH19+(1-EXP(-LN(2)/2))/(LN(2)/2)*DB20*DE20*VLOOKUP('Données projet'!$B$13,Paramètres!$A$1:$I$89,3,0)*0.475*44/12</f>
        <v>0</v>
      </c>
      <c r="DI20" s="24">
        <f t="shared" si="15"/>
        <v>0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5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2">
        <f t="shared" si="32"/>
        <v>0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18.333333333333332</v>
      </c>
      <c r="H21" s="70">
        <f t="shared" si="1"/>
        <v>183.33333333333334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2.1</v>
      </c>
      <c r="N21" s="14">
        <f>IF('Données projet'!$A$36&gt;35,N20+M21-V20,IF(A21&lt;'Données projet'!$A$36,$K$205^A21,IF(A21='Données projet'!$A$36,'Données projet'!$B$36,N20+M21-V20)))</f>
        <v>28.901764726506816</v>
      </c>
      <c r="O21" s="14">
        <f>N21*VLOOKUP('Données projet'!$B$9,Paramètres!$A$1:$I$89,3,0)*VLOOKUP('Données projet'!$B$9,Paramètres!$A$1:$I$89,5,0)</f>
        <v>26.150316724543362</v>
      </c>
      <c r="P21" s="14">
        <f t="shared" si="33"/>
        <v>8.2420396752158016</v>
      </c>
      <c r="Q21" s="22">
        <f t="shared" si="2"/>
        <v>59.900020729580547</v>
      </c>
      <c r="R21" s="62">
        <f t="shared" si="0"/>
        <v>271.66937392158366</v>
      </c>
      <c r="S21" s="62">
        <f ca="1">AVERAGE(OFFSET($R$3,0,0,'Données projet'!$E$9+1,1))-AVERAGE(OFFSET($H$3,0,0,'Données projet'!$E$9+1,1))</f>
        <v>469.67944008675863</v>
      </c>
      <c r="T21" s="62">
        <f t="shared" si="34"/>
        <v>266.11908070867173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0</v>
      </c>
      <c r="AC21" s="24">
        <f t="shared" si="3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6.2820512820512802</v>
      </c>
      <c r="AI21" s="14">
        <f>IF('Données projet'!$A$62&gt;35,AI20+AH21-AQ20,IF(A21&lt;'Données projet'!$A$62,$AF$205^A21,IF(A21='Données projet'!$A$62,'Données projet'!$B$62,AI20+AH21-AQ20)))</f>
        <v>55.384615384615373</v>
      </c>
      <c r="AJ21" s="14">
        <f>AI21*VLOOKUP('Données projet'!$B$10,Paramètres!$A$1:$I$89,3,0)*VLOOKUP('Données projet'!$B$10,Paramètres!$A$1:$I$89,5,0)</f>
        <v>52.703999999999994</v>
      </c>
      <c r="AK21" s="14">
        <f t="shared" si="35"/>
        <v>15.30992453291827</v>
      </c>
      <c r="AL21" s="22">
        <f t="shared" si="4"/>
        <v>118.45758522816597</v>
      </c>
      <c r="AM21" s="62">
        <f t="shared" si="5"/>
        <v>330.22693842016906</v>
      </c>
      <c r="AN21" s="62">
        <f ca="1">AVERAGE(OFFSET($AM$3,0,0,'Données projet'!$E$10+1,1))-AVERAGE(OFFSET($H$3,0,0,'Données projet'!$E$10+1,1))</f>
        <v>400.48230125343474</v>
      </c>
      <c r="AO21" s="62">
        <f t="shared" si="36"/>
        <v>275.67023303885048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0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0</v>
      </c>
      <c r="AX21" s="23">
        <f t="shared" si="6"/>
        <v>0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2.1</v>
      </c>
      <c r="BD21" s="13">
        <f>IF('Données projet'!$A$88&gt;35,BD20+BC21-BL20,IF(A21&lt;'Données projet'!$A$88,$BA$205^A21,IF(A21='Données projet'!$A$88,'Données projet'!$B$88,BD20+BC21-BL20)))</f>
        <v>28.901764726506816</v>
      </c>
      <c r="BE21" s="14">
        <f>BD21*VLOOKUP('Données projet'!$B$11,Paramètres!$A$1:$I$89,3,0)*VLOOKUP('Données projet'!$B$11,Paramètres!$A$1:$I$89,5,0)</f>
        <v>27.953786843477392</v>
      </c>
      <c r="BF21" s="14">
        <f t="shared" si="37"/>
        <v>8.7423265089215931</v>
      </c>
      <c r="BG21" s="22">
        <f t="shared" si="7"/>
        <v>63.912397422094891</v>
      </c>
      <c r="BH21" s="62">
        <f t="shared" si="8"/>
        <v>275.68175061409801</v>
      </c>
      <c r="BI21" s="62">
        <f ca="1">AVERAGE(OFFSET($BH$3,0,0,'Données projet'!$E$11+1,1))-AVERAGE(OFFSET($H$3,0,0,'Données projet'!$E$11+1,1))</f>
        <v>496.33873798282525</v>
      </c>
      <c r="BJ21" s="62">
        <f t="shared" si="38"/>
        <v>280.25465074992246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>
        <f>EXP(-LN(2)/35)*BP20+(1-EXP(-LN(2)/35))/(LN(2)/35)*BL21*BM21*VLOOKUP('Données projet'!$B$11,Paramètres!$A$1:$I$89,3,0)*0.475*44/12</f>
        <v>0</v>
      </c>
      <c r="BQ21" s="23">
        <f>EXP(-LN(2)/25)*BQ20+(1-EXP(-LN(2)/25))/(LN(2)/25)*Calculateur!BL21*Calculateur!BN21*VLOOKUP('Données projet'!$B$11,Paramètres!$A$1:$I$89,3,0)*0.475*44/12</f>
        <v>0</v>
      </c>
      <c r="BR21" s="23">
        <f>EXP(-LN(2)/2)*BR20+(1-EXP(-LN(2)/2))/(LN(2)/2)*BL21*BO21*VLOOKUP('Données projet'!$B$11,Paramètres!$A$1:$I$89,3,0)*0.475*44/12</f>
        <v>0</v>
      </c>
      <c r="BS21" s="24">
        <f t="shared" si="9"/>
        <v>0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9.6</v>
      </c>
      <c r="BY21" s="13">
        <f>IF('Données projet'!$A$114&gt;35,BY20+BX21-CG20,IF(A21&lt;'Données projet'!$A$114,$BV$205^A21,IF(A21='Données projet'!$A$114,'Données projet'!$B$114,BY20+BX21-CG20)))</f>
        <v>37.800000000000004</v>
      </c>
      <c r="BZ21" s="14">
        <f>BY21*VLOOKUP('Données projet'!$B$12,Paramètres!$A$1:$I$89,3,0)*VLOOKUP('Données projet'!$B$12,Paramètres!$A$1:$I$89,5,0)</f>
        <v>33.022080000000003</v>
      </c>
      <c r="CA21" s="14">
        <f t="shared" si="39"/>
        <v>10.129025278332465</v>
      </c>
      <c r="CB21" s="22">
        <f t="shared" si="10"/>
        <v>75.154841693095705</v>
      </c>
      <c r="CC21" s="62">
        <f t="shared" si="11"/>
        <v>286.92419488509881</v>
      </c>
      <c r="CD21" s="62">
        <f ca="1">AVERAGE(OFFSET($CC$3,0,0,'Données projet'!$E$12+1,1))-AVERAGE(OFFSET($H$3,0,0,'Données projet'!$E$12+1,1))</f>
        <v>298.56812743477741</v>
      </c>
      <c r="CE21" s="62">
        <f t="shared" si="40"/>
        <v>276.01618888357268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>
        <f>EXP(-LN(2)/35)*CK20+(1-EXP(-LN(2)/35))/(LN(2)/35)*CG21*CH21*VLOOKUP('Données projet'!$B$12,Paramètres!$A$1:$I$89,3,0)*0.475*44/12</f>
        <v>0</v>
      </c>
      <c r="CL21" s="23">
        <f>EXP(-LN(2)/25)*CL20+(1-EXP(-LN(2)/25))/(LN(2)/25)*Calculateur!CG21*Calculateur!CI21*VLOOKUP('Données projet'!$B$12,Paramètres!$A$1:$I$89,3,0)*0.475*44/12</f>
        <v>0</v>
      </c>
      <c r="CM21" s="23">
        <f>EXP(-LN(2)/2)*CM20+(1-EXP(-LN(2)/2))/(LN(2)/2)*CG21*CJ21*VLOOKUP('Données projet'!$B$12,Paramètres!$A$1:$I$89,3,0)*0.475*44/12</f>
        <v>0</v>
      </c>
      <c r="CN21" s="24">
        <f t="shared" si="12"/>
        <v>0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8.2051282051282044</v>
      </c>
      <c r="CT21" s="13">
        <f>IF('Données projet'!$A$140&gt;35,CT20+CS21-DB20,IF(A21&lt;'Données projet'!$A$140,$CQ$205^A21,IF(A21='Données projet'!$A$140,'Données projet'!$B$140,CT20+CS21-DB20)))</f>
        <v>74.615384615384613</v>
      </c>
      <c r="CU21" s="18">
        <f>CT21*VLOOKUP('Données projet'!$B$13,Paramètres!$A$1:$I$89,3,0)*VLOOKUP('Données projet'!$B$13,Paramètres!$A$1:$I$89,5,0)</f>
        <v>50.052</v>
      </c>
      <c r="CV21" s="14">
        <f t="shared" si="41"/>
        <v>14.62718807768414</v>
      </c>
      <c r="CW21" s="22">
        <f t="shared" si="13"/>
        <v>112.64958590196655</v>
      </c>
      <c r="CX21" s="62">
        <f t="shared" si="14"/>
        <v>324.41893909396964</v>
      </c>
      <c r="CY21" s="62">
        <f ca="1">AVERAGE(OFFSET($CX$3,0,0,'Données projet'!$E$13+1,1))-AVERAGE(OFFSET($H$3,0,0,'Données projet'!$E$13+1,1))</f>
        <v>346.82725381974132</v>
      </c>
      <c r="CZ21" s="62">
        <f t="shared" si="42"/>
        <v>254.09787950201044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>
        <f>EXP(-LN(2)/35)*DF20+(1-EXP(-LN(2)/35))/(LN(2)/35)*DB21*DC21*VLOOKUP('Données projet'!$B$13,Paramètres!$A$1:$I$89,3,0)*0.475*44/12</f>
        <v>0</v>
      </c>
      <c r="DG21" s="23">
        <f>EXP(-LN(2)/25)*DG20+(1-EXP(-LN(2)/25))/(LN(2)/25)*Calculateur!DB21*Calculateur!DD21*VLOOKUP('Données projet'!$B$13,Paramètres!$A$1:$I$89,3,0)*0.475*44/12</f>
        <v>0</v>
      </c>
      <c r="DH21" s="23">
        <f>EXP(-LN(2)/2)*DH20+(1-EXP(-LN(2)/2))/(LN(2)/2)*DB21*DE21*VLOOKUP('Données projet'!$B$13,Paramètres!$A$1:$I$89,3,0)*0.475*44/12</f>
        <v>0</v>
      </c>
      <c r="DI21" s="24">
        <f t="shared" si="15"/>
        <v>0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5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2">
        <f t="shared" si="32"/>
        <v>0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18.333333333333332</v>
      </c>
      <c r="H22" s="70">
        <f t="shared" si="1"/>
        <v>183.33333333333334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2.1</v>
      </c>
      <c r="N22" s="14">
        <f>IF('Données projet'!$A$36&gt;35,N21+M22-V21,IF(A22&lt;'Données projet'!$A$36,$K$205^A22,IF(A22='Données projet'!$A$36,'Données projet'!$B$36,N21+M22-V21)))</f>
        <v>34.840696297767764</v>
      </c>
      <c r="O22" s="14">
        <f>N22*VLOOKUP('Données projet'!$B$9,Paramètres!$A$1:$I$89,3,0)*VLOOKUP('Données projet'!$B$9,Paramètres!$A$1:$I$89,5,0)</f>
        <v>31.52386201022027</v>
      </c>
      <c r="P22" s="14">
        <f t="shared" si="33"/>
        <v>9.7218710074397983</v>
      </c>
      <c r="Q22" s="22">
        <f t="shared" si="2"/>
        <v>71.836318339091292</v>
      </c>
      <c r="R22" s="62">
        <f t="shared" si="0"/>
        <v>285.98841258211485</v>
      </c>
      <c r="S22" s="62">
        <f ca="1">AVERAGE(OFFSET($R$3,0,0,'Données projet'!$E$9+1,1))-AVERAGE(OFFSET($H$3,0,0,'Données projet'!$E$9+1,1))</f>
        <v>469.67944008675863</v>
      </c>
      <c r="T22" s="62">
        <f t="shared" si="34"/>
        <v>266.11908070867173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0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0</v>
      </c>
      <c r="AC22" s="24">
        <f t="shared" si="3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6.2820512820512802</v>
      </c>
      <c r="AI22" s="14">
        <f>IF('Données projet'!$A$62&gt;35,AI21+AH22-AQ21,IF(A22&lt;'Données projet'!$A$62,$AF$205^A22,IF(A22='Données projet'!$A$62,'Données projet'!$B$62,AI21+AH22-AQ21)))</f>
        <v>61.66666666666665</v>
      </c>
      <c r="AJ22" s="14">
        <f>AI22*VLOOKUP('Données projet'!$B$10,Paramètres!$A$1:$I$89,3,0)*VLOOKUP('Données projet'!$B$10,Paramètres!$A$1:$I$89,5,0)</f>
        <v>58.681999999999981</v>
      </c>
      <c r="AK22" s="14">
        <f t="shared" si="35"/>
        <v>16.834607713213735</v>
      </c>
      <c r="AL22" s="22">
        <f t="shared" si="4"/>
        <v>131.52475843384721</v>
      </c>
      <c r="AM22" s="62">
        <f t="shared" si="5"/>
        <v>345.67685267687074</v>
      </c>
      <c r="AN22" s="62">
        <f ca="1">AVERAGE(OFFSET($AM$3,0,0,'Données projet'!$E$10+1,1))-AVERAGE(OFFSET($H$3,0,0,'Données projet'!$E$10+1,1))</f>
        <v>400.48230125343474</v>
      </c>
      <c r="AO22" s="62">
        <f t="shared" si="36"/>
        <v>275.67023303885048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0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0</v>
      </c>
      <c r="AX22" s="23">
        <f t="shared" si="6"/>
        <v>0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2.1</v>
      </c>
      <c r="BD22" s="13">
        <f>IF('Données projet'!$A$88&gt;35,BD21+BC22-BL21,IF(A22&lt;'Données projet'!$A$88,$BA$205^A22,IF(A22='Données projet'!$A$88,'Données projet'!$B$88,BD21+BC22-BL21)))</f>
        <v>34.840696297767764</v>
      </c>
      <c r="BE22" s="14">
        <f>BD22*VLOOKUP('Données projet'!$B$11,Paramètres!$A$1:$I$89,3,0)*VLOOKUP('Données projet'!$B$11,Paramètres!$A$1:$I$89,5,0)</f>
        <v>33.697921459200977</v>
      </c>
      <c r="BF22" s="14">
        <f t="shared" si="37"/>
        <v>10.31198270984201</v>
      </c>
      <c r="BG22" s="22">
        <f t="shared" si="7"/>
        <v>76.650583094416518</v>
      </c>
      <c r="BH22" s="62">
        <f t="shared" si="8"/>
        <v>290.80267733744006</v>
      </c>
      <c r="BI22" s="62">
        <f ca="1">AVERAGE(OFFSET($BH$3,0,0,'Données projet'!$E$11+1,1))-AVERAGE(OFFSET($H$3,0,0,'Données projet'!$E$11+1,1))</f>
        <v>496.33873798282525</v>
      </c>
      <c r="BJ22" s="62">
        <f t="shared" si="38"/>
        <v>280.25465074992246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>
        <f>EXP(-LN(2)/35)*BP21+(1-EXP(-LN(2)/35))/(LN(2)/35)*BL22*BM22*VLOOKUP('Données projet'!$B$11,Paramètres!$A$1:$I$89,3,0)*0.475*44/12</f>
        <v>0</v>
      </c>
      <c r="BQ22" s="23">
        <f>EXP(-LN(2)/25)*BQ21+(1-EXP(-LN(2)/25))/(LN(2)/25)*Calculateur!BL22*Calculateur!BN22*VLOOKUP('Données projet'!$B$11,Paramètres!$A$1:$I$89,3,0)*0.475*44/12</f>
        <v>0</v>
      </c>
      <c r="BR22" s="23">
        <f>EXP(-LN(2)/2)*BR21+(1-EXP(-LN(2)/2))/(LN(2)/2)*BL22*BO22*VLOOKUP('Données projet'!$B$11,Paramètres!$A$1:$I$89,3,0)*0.475*44/12</f>
        <v>0</v>
      </c>
      <c r="BS22" s="24">
        <f t="shared" si="9"/>
        <v>0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9.6</v>
      </c>
      <c r="BY22" s="13">
        <f>IF('Données projet'!$A$114&gt;35,BY21+BX22-CG21,IF(A22&lt;'Données projet'!$A$114,$BV$205^A22,IF(A22='Données projet'!$A$114,'Données projet'!$B$114,BY21+BX22-CG21)))</f>
        <v>47.400000000000006</v>
      </c>
      <c r="BZ22" s="14">
        <f>BY22*VLOOKUP('Données projet'!$B$12,Paramètres!$A$1:$I$89,3,0)*VLOOKUP('Données projet'!$B$12,Paramètres!$A$1:$I$89,5,0)</f>
        <v>41.408640000000005</v>
      </c>
      <c r="CA22" s="14">
        <f t="shared" si="39"/>
        <v>12.371251711099637</v>
      </c>
      <c r="CB22" s="22">
        <f t="shared" si="10"/>
        <v>93.666644730165203</v>
      </c>
      <c r="CC22" s="62">
        <f t="shared" si="11"/>
        <v>307.81873897318872</v>
      </c>
      <c r="CD22" s="62">
        <f ca="1">AVERAGE(OFFSET($CC$3,0,0,'Données projet'!$E$12+1,1))-AVERAGE(OFFSET($H$3,0,0,'Données projet'!$E$12+1,1))</f>
        <v>298.56812743477741</v>
      </c>
      <c r="CE22" s="62">
        <f t="shared" si="40"/>
        <v>276.01618888357268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>
        <f>EXP(-LN(2)/35)*CK21+(1-EXP(-LN(2)/35))/(LN(2)/35)*CG22*CH22*VLOOKUP('Données projet'!$B$12,Paramètres!$A$1:$I$89,3,0)*0.475*44/12</f>
        <v>0</v>
      </c>
      <c r="CL22" s="23">
        <f>EXP(-LN(2)/25)*CL21+(1-EXP(-LN(2)/25))/(LN(2)/25)*Calculateur!CG22*Calculateur!CI22*VLOOKUP('Données projet'!$B$12,Paramètres!$A$1:$I$89,3,0)*0.475*44/12</f>
        <v>0</v>
      </c>
      <c r="CM22" s="23">
        <f>EXP(-LN(2)/2)*CM21+(1-EXP(-LN(2)/2))/(LN(2)/2)*CG22*CJ22*VLOOKUP('Données projet'!$B$12,Paramètres!$A$1:$I$89,3,0)*0.475*44/12</f>
        <v>0</v>
      </c>
      <c r="CN22" s="24">
        <f t="shared" si="12"/>
        <v>0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8.2051282051282044</v>
      </c>
      <c r="CT22" s="13">
        <f>IF('Données projet'!$A$140&gt;35,CT21+CS22-DB21,IF(A22&lt;'Données projet'!$A$140,$CQ$205^A22,IF(A22='Données projet'!$A$140,'Données projet'!$B$140,CT21+CS22-DB21)))</f>
        <v>82.820512820512818</v>
      </c>
      <c r="CU22" s="18">
        <f>CT22*VLOOKUP('Données projet'!$B$13,Paramètres!$A$1:$I$89,3,0)*VLOOKUP('Données projet'!$B$13,Paramètres!$A$1:$I$89,5,0)</f>
        <v>55.556000000000004</v>
      </c>
      <c r="CV22" s="14">
        <f t="shared" si="41"/>
        <v>16.039703993592667</v>
      </c>
      <c r="CW22" s="22">
        <f t="shared" si="13"/>
        <v>124.69585112217392</v>
      </c>
      <c r="CX22" s="62">
        <f t="shared" si="14"/>
        <v>338.84794536519746</v>
      </c>
      <c r="CY22" s="62">
        <f ca="1">AVERAGE(OFFSET($CX$3,0,0,'Données projet'!$E$13+1,1))-AVERAGE(OFFSET($H$3,0,0,'Données projet'!$E$13+1,1))</f>
        <v>346.82725381974132</v>
      </c>
      <c r="CZ22" s="62">
        <f t="shared" si="42"/>
        <v>254.09787950201044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>
        <f>EXP(-LN(2)/35)*DF21+(1-EXP(-LN(2)/35))/(LN(2)/35)*DB22*DC22*VLOOKUP('Données projet'!$B$13,Paramètres!$A$1:$I$89,3,0)*0.475*44/12</f>
        <v>0</v>
      </c>
      <c r="DG22" s="23">
        <f>EXP(-LN(2)/25)*DG21+(1-EXP(-LN(2)/25))/(LN(2)/25)*Calculateur!DB22*Calculateur!DD22*VLOOKUP('Données projet'!$B$13,Paramètres!$A$1:$I$89,3,0)*0.475*44/12</f>
        <v>0</v>
      </c>
      <c r="DH22" s="23">
        <f>EXP(-LN(2)/2)*DH21+(1-EXP(-LN(2)/2))/(LN(2)/2)*DB22*DE22*VLOOKUP('Données projet'!$B$13,Paramètres!$A$1:$I$89,3,0)*0.475*44/12</f>
        <v>0</v>
      </c>
      <c r="DI22" s="24">
        <f t="shared" si="15"/>
        <v>0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5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2">
        <f t="shared" si="32"/>
        <v>0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18.333333333333332</v>
      </c>
      <c r="H23" s="70">
        <f t="shared" si="1"/>
        <v>183.33333333333334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>
        <f>VLOOKUP(A23,'Données projet'!$A$35:$I$55,2,0)</f>
        <v>42</v>
      </c>
      <c r="L23" s="13">
        <f>VLOOKUP(A23,'Données projet'!$A$35:$I$55,9,0)</f>
        <v>2.1</v>
      </c>
      <c r="M23" s="13">
        <f t="array" ref="M23">INDEX(L:L,MIN(IF(ISNUMBER(L23:L219),ROW(L23:L219),"")))</f>
        <v>2.1</v>
      </c>
      <c r="N23" s="14">
        <f>IF('Données projet'!$A$36&gt;35,N22+M23-V22,IF(A23&lt;'Données projet'!$A$36,$K$205^A23,IF(A23='Données projet'!$A$36,'Données projet'!$B$36,N22+M23-V22)))</f>
        <v>42</v>
      </c>
      <c r="O23" s="14">
        <f>N23*VLOOKUP('Données projet'!$B$9,Paramètres!$A$1:$I$89,3,0)*VLOOKUP('Données projet'!$B$9,Paramètres!$A$1:$I$89,5,0)</f>
        <v>38.001600000000003</v>
      </c>
      <c r="P23" s="14">
        <f t="shared" si="33"/>
        <v>11.467401227090512</v>
      </c>
      <c r="Q23" s="22">
        <f t="shared" si="2"/>
        <v>86.158510470515978</v>
      </c>
      <c r="R23" s="62">
        <f t="shared" si="0"/>
        <v>302.67321335741167</v>
      </c>
      <c r="S23" s="62">
        <f ca="1">AVERAGE(OFFSET($R$3,0,0,'Données projet'!$E$9+1,1))-AVERAGE(OFFSET($H$3,0,0,'Données projet'!$E$9+1,1))</f>
        <v>469.67944008675863</v>
      </c>
      <c r="T23" s="62">
        <f t="shared" si="34"/>
        <v>266.11908070867173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0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0</v>
      </c>
      <c r="AC23" s="24">
        <f t="shared" si="3"/>
        <v>0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>
        <f>VLOOKUP(A23,'Données projet'!$A$61:$I$81,2,0)</f>
        <v>67.948717948717942</v>
      </c>
      <c r="AG23" s="13">
        <f>VLOOKUP(A23,'Données projet'!$A$61:$I$81,9,0)</f>
        <v>6.2820512820512802</v>
      </c>
      <c r="AH23" s="13">
        <f t="array" ref="AH23">INDEX(AG:AG,MIN(IF(ISNUMBER(AG23:AG219),ROW(AG23:AG219),"")))</f>
        <v>6.2820512820512802</v>
      </c>
      <c r="AI23" s="14">
        <f>IF('Données projet'!$A$62&gt;35,AI22+AH23-AQ22,IF(A23&lt;'Données projet'!$A$62,$AF$205^A23,IF(A23='Données projet'!$A$62,'Données projet'!$B$62,AI22+AH23-AQ22)))</f>
        <v>67.948717948717928</v>
      </c>
      <c r="AJ23" s="14">
        <f>AI23*VLOOKUP('Données projet'!$B$10,Paramètres!$A$1:$I$89,3,0)*VLOOKUP('Données projet'!$B$10,Paramètres!$A$1:$I$89,5,0)</f>
        <v>64.659999999999982</v>
      </c>
      <c r="AK23" s="14">
        <f t="shared" si="35"/>
        <v>18.341285436472681</v>
      </c>
      <c r="AL23" s="22">
        <f t="shared" si="4"/>
        <v>144.56057213518989</v>
      </c>
      <c r="AM23" s="62">
        <f t="shared" si="5"/>
        <v>361.07527502208563</v>
      </c>
      <c r="AN23" s="62">
        <f ca="1">AVERAGE(OFFSET($AM$3,0,0,'Données projet'!$E$10+1,1))-AVERAGE(OFFSET($H$3,0,0,'Données projet'!$E$10+1,1))</f>
        <v>400.48230125343474</v>
      </c>
      <c r="AO23" s="62">
        <f t="shared" si="36"/>
        <v>275.67023303885048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projet'!$B$10,Paramètres!$A$1:$I$89,3,0)*0.475*44/12</f>
        <v>0</v>
      </c>
      <c r="AV23" s="23">
        <f>EXP(-LN(2)/25)*AV22+(1-EXP(-LN(2)/25))/(LN(2)/25)*Calculateur!AQ23*Calculateur!AS23*VLOOKUP('Données projet'!$B$10,Paramètres!$A$1:$I$89,3,0)*0.475*44/12</f>
        <v>0</v>
      </c>
      <c r="AW23" s="23">
        <f>EXP(-LN(2)/2)*AW22+(1-EXP(-LN(2)/2))/(LN(2)/2)*AQ23*AT23*VLOOKUP('Données projet'!$B$10,Paramètres!$A$1:$I$89,3,0)*0.475*44/12</f>
        <v>0</v>
      </c>
      <c r="AX23" s="23">
        <f t="shared" si="6"/>
        <v>0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>
        <f>VLOOKUP(A23,'Données projet'!$A$87:$I$107,2,0)</f>
        <v>42</v>
      </c>
      <c r="BB23" s="13">
        <f>VLOOKUP(A23,'Données projet'!$A$87:$I$107,9,0)</f>
        <v>2.1</v>
      </c>
      <c r="BC23" s="13">
        <f t="array" ref="BC23">INDEX(BB:BB,MIN(IF(ISNUMBER(BB23:BB219),ROW(BB23:BB219),"")))</f>
        <v>2.1</v>
      </c>
      <c r="BD23" s="13">
        <f>IF('Données projet'!$A$88&gt;35,BD22+BC23-BL22,IF(A23&lt;'Données projet'!$A$88,$BA$205^A23,IF(A23='Données projet'!$A$88,'Données projet'!$B$88,BD22+BC23-BL22)))</f>
        <v>42</v>
      </c>
      <c r="BE23" s="14">
        <f>BD23*VLOOKUP('Données projet'!$B$11,Paramètres!$A$1:$I$89,3,0)*VLOOKUP('Données projet'!$B$11,Paramètres!$A$1:$I$89,5,0)</f>
        <v>40.622399999999999</v>
      </c>
      <c r="BF23" s="14">
        <f t="shared" si="37"/>
        <v>12.163465560290264</v>
      </c>
      <c r="BG23" s="22">
        <f t="shared" si="7"/>
        <v>91.935382517505545</v>
      </c>
      <c r="BH23" s="62">
        <f t="shared" si="8"/>
        <v>308.45008540440125</v>
      </c>
      <c r="BI23" s="62">
        <f ca="1">AVERAGE(OFFSET($BH$3,0,0,'Données projet'!$E$11+1,1))-AVERAGE(OFFSET($H$3,0,0,'Données projet'!$E$11+1,1))</f>
        <v>496.33873798282525</v>
      </c>
      <c r="BJ23" s="62">
        <f t="shared" si="38"/>
        <v>280.25465074992246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>
        <f>EXP(-LN(2)/35)*BP22+(1-EXP(-LN(2)/35))/(LN(2)/35)*BL23*BM23*VLOOKUP('Données projet'!$B$11,Paramètres!$A$1:$I$89,3,0)*0.475*44/12</f>
        <v>0</v>
      </c>
      <c r="BQ23" s="23">
        <f>EXP(-LN(2)/25)*BQ22+(1-EXP(-LN(2)/25))/(LN(2)/25)*Calculateur!BL23*Calculateur!BN23*VLOOKUP('Données projet'!$B$11,Paramètres!$A$1:$I$89,3,0)*0.475*44/12</f>
        <v>0</v>
      </c>
      <c r="BR23" s="23">
        <f>EXP(-LN(2)/2)*BR22+(1-EXP(-LN(2)/2))/(LN(2)/2)*BL23*BO23*VLOOKUP('Données projet'!$B$11,Paramètres!$A$1:$I$89,3,0)*0.475*44/12</f>
        <v>0</v>
      </c>
      <c r="BS23" s="24">
        <f t="shared" si="9"/>
        <v>0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>
        <f>VLOOKUP(A23,'Données projet'!$A$113:$I$133,2,0)</f>
        <v>57</v>
      </c>
      <c r="BW23" s="13">
        <f>VLOOKUP(A23,'Données projet'!$A$113:$I$133,9,0)</f>
        <v>9.6</v>
      </c>
      <c r="BX23" s="13">
        <f t="array" ref="BX23">INDEX(BW:BW,MIN(IF(ISNUMBER(BW23:BW219),ROW(BW23:BW219),"")))</f>
        <v>9.6</v>
      </c>
      <c r="BY23" s="13">
        <f>IF('Données projet'!$A$114&gt;35,BY22+BX23-CG22,IF(A23&lt;'Données projet'!$A$114,$BV$205^A23,IF(A23='Données projet'!$A$114,'Données projet'!$B$114,BY22+BX23-CG22)))</f>
        <v>57.000000000000007</v>
      </c>
      <c r="BZ23" s="14">
        <f>BY23*VLOOKUP('Données projet'!$B$12,Paramètres!$A$1:$I$89,3,0)*VLOOKUP('Données projet'!$B$12,Paramètres!$A$1:$I$89,5,0)</f>
        <v>49.795200000000008</v>
      </c>
      <c r="CA23" s="14">
        <f t="shared" si="39"/>
        <v>14.560856542690781</v>
      </c>
      <c r="CB23" s="22">
        <f t="shared" si="10"/>
        <v>112.08679847851981</v>
      </c>
      <c r="CC23" s="62">
        <f t="shared" si="11"/>
        <v>328.60150136541552</v>
      </c>
      <c r="CD23" s="62">
        <f ca="1">AVERAGE(OFFSET($CC$3,0,0,'Données projet'!$E$12+1,1))-AVERAGE(OFFSET($H$3,0,0,'Données projet'!$E$12+1,1))</f>
        <v>298.56812743477741</v>
      </c>
      <c r="CE23" s="62">
        <f t="shared" si="40"/>
        <v>276.01618888357268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>
        <f>EXP(-LN(2)/35)*CK22+(1-EXP(-LN(2)/35))/(LN(2)/35)*CG23*CH23*VLOOKUP('Données projet'!$B$12,Paramètres!$A$1:$I$89,3,0)*0.475*44/12</f>
        <v>0</v>
      </c>
      <c r="CL23" s="23">
        <f>EXP(-LN(2)/25)*CL22+(1-EXP(-LN(2)/25))/(LN(2)/25)*Calculateur!CG23*Calculateur!CI23*VLOOKUP('Données projet'!$B$12,Paramètres!$A$1:$I$89,3,0)*0.475*44/12</f>
        <v>0</v>
      </c>
      <c r="CM23" s="23">
        <f>EXP(-LN(2)/2)*CM22+(1-EXP(-LN(2)/2))/(LN(2)/2)*CG23*CJ23*VLOOKUP('Données projet'!$B$12,Paramètres!$A$1:$I$89,3,0)*0.475*44/12</f>
        <v>0</v>
      </c>
      <c r="CN23" s="24">
        <f t="shared" si="12"/>
        <v>0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>
        <f>VLOOKUP(A23,'Données projet'!$A$139:$I$159,2,0)</f>
        <v>91.025641025641022</v>
      </c>
      <c r="CR23" s="13">
        <f>VLOOKUP(A23,'Données projet'!$A$139:$I$159,9,0)</f>
        <v>8.2051282051282044</v>
      </c>
      <c r="CS23" s="13">
        <f t="array" ref="CS23">INDEX(CR:CR,MIN(IF(ISNUMBER(CR23:CR219),ROW(CR23:CR219),"")))</f>
        <v>8.2051282051282044</v>
      </c>
      <c r="CT23" s="13">
        <f>IF('Données projet'!$A$140&gt;35,CT22+CS23-DB22,IF(A23&lt;'Données projet'!$A$140,$CQ$205^A23,IF(A23='Données projet'!$A$140,'Données projet'!$B$140,CT22+CS23-DB22)))</f>
        <v>91.025641025641022</v>
      </c>
      <c r="CU23" s="18">
        <f>CT23*VLOOKUP('Données projet'!$B$13,Paramètres!$A$1:$I$89,3,0)*VLOOKUP('Données projet'!$B$13,Paramètres!$A$1:$I$89,5,0)</f>
        <v>61.06</v>
      </c>
      <c r="CV23" s="14">
        <f t="shared" si="41"/>
        <v>17.43599650596687</v>
      </c>
      <c r="CW23" s="22">
        <f t="shared" si="13"/>
        <v>136.71386058122562</v>
      </c>
      <c r="CX23" s="62">
        <f t="shared" si="14"/>
        <v>353.22856346812137</v>
      </c>
      <c r="CY23" s="62">
        <f ca="1">AVERAGE(OFFSET($CX$3,0,0,'Données projet'!$E$13+1,1))-AVERAGE(OFFSET($H$3,0,0,'Données projet'!$E$13+1,1))</f>
        <v>346.82725381974132</v>
      </c>
      <c r="CZ23" s="62">
        <f t="shared" si="42"/>
        <v>254.09787950201044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>
        <f>EXP(-LN(2)/35)*DF22+(1-EXP(-LN(2)/35))/(LN(2)/35)*DB23*DC23*VLOOKUP('Données projet'!$B$13,Paramètres!$A$1:$I$89,3,0)*0.475*44/12</f>
        <v>0</v>
      </c>
      <c r="DG23" s="23">
        <f>EXP(-LN(2)/25)*DG22+(1-EXP(-LN(2)/25))/(LN(2)/25)*Calculateur!DB23*Calculateur!DD23*VLOOKUP('Données projet'!$B$13,Paramètres!$A$1:$I$89,3,0)*0.475*44/12</f>
        <v>0</v>
      </c>
      <c r="DH23" s="23">
        <f>EXP(-LN(2)/2)*DH22+(1-EXP(-LN(2)/2))/(LN(2)/2)*DB23*DE23*VLOOKUP('Données projet'!$B$13,Paramètres!$A$1:$I$89,3,0)*0.475*44/12</f>
        <v>0</v>
      </c>
      <c r="DI23" s="24">
        <f t="shared" si="15"/>
        <v>0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5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2">
        <f t="shared" si="32"/>
        <v>0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18.333333333333332</v>
      </c>
      <c r="H24" s="70">
        <f t="shared" si="1"/>
        <v>183.33333333333334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5.6</v>
      </c>
      <c r="N24" s="14">
        <f>IF('Données projet'!$A$36&gt;35,N23+M24-V23,IF(A24&lt;'Données projet'!$A$36,$K$205^A24,IF(A24='Données projet'!$A$36,'Données projet'!$B$36,N23+M24-V23)))</f>
        <v>47.6</v>
      </c>
      <c r="O24" s="14">
        <f>N24*VLOOKUP('Données projet'!$B$9,Paramètres!$A$1:$I$89,3,0)*VLOOKUP('Données projet'!$B$9,Paramètres!$A$1:$I$89,5,0)</f>
        <v>43.068480000000001</v>
      </c>
      <c r="P24" s="14">
        <f t="shared" si="33"/>
        <v>12.808416415102187</v>
      </c>
      <c r="Q24" s="22">
        <f t="shared" si="2"/>
        <v>97.318927922969635</v>
      </c>
      <c r="R24" s="62">
        <f t="shared" si="0"/>
        <v>316.17645629884402</v>
      </c>
      <c r="S24" s="62">
        <f ca="1">AVERAGE(OFFSET($R$3,0,0,'Données projet'!$E$9+1,1))-AVERAGE(OFFSET($H$3,0,0,'Données projet'!$E$9+1,1))</f>
        <v>469.67944008675863</v>
      </c>
      <c r="T24" s="62">
        <f t="shared" si="34"/>
        <v>266.11908070867173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0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0</v>
      </c>
      <c r="AC24" s="24">
        <f t="shared" si="3"/>
        <v>0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6.5384615384615383</v>
      </c>
      <c r="AI24" s="14">
        <f>IF('Données projet'!$A$62&gt;35,AI23+AH24-AQ23,IF(A24&lt;'Données projet'!$A$62,$AF$205^A24,IF(A24='Données projet'!$A$62,'Données projet'!$B$62,AI23+AH24-AQ23)))</f>
        <v>74.487179487179461</v>
      </c>
      <c r="AJ24" s="14">
        <f>AI24*VLOOKUP('Données projet'!$B$10,Paramètres!$A$1:$I$89,3,0)*VLOOKUP('Données projet'!$B$10,Paramètres!$A$1:$I$89,5,0)</f>
        <v>70.881999999999977</v>
      </c>
      <c r="AK24" s="14">
        <f t="shared" si="35"/>
        <v>19.892329384797868</v>
      </c>
      <c r="AL24" s="22">
        <f t="shared" si="4"/>
        <v>158.0986236785229</v>
      </c>
      <c r="AM24" s="62">
        <f t="shared" si="5"/>
        <v>376.95615205439731</v>
      </c>
      <c r="AN24" s="62">
        <f ca="1">AVERAGE(OFFSET($AM$3,0,0,'Données projet'!$E$10+1,1))-AVERAGE(OFFSET($H$3,0,0,'Données projet'!$E$10+1,1))</f>
        <v>400.48230125343474</v>
      </c>
      <c r="AO24" s="62">
        <f t="shared" si="36"/>
        <v>275.67023303885048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0</v>
      </c>
      <c r="AV24" s="23">
        <f>EXP(-LN(2)/25)*AV23+(1-EXP(-LN(2)/25))/(LN(2)/25)*Calculateur!AQ24*Calculateur!AS24*VLOOKUP('Données projet'!$B$10,Paramètres!$A$1:$I$89,3,0)*0.475*44/12</f>
        <v>0</v>
      </c>
      <c r="AW24" s="23">
        <f>EXP(-LN(2)/2)*AW23+(1-EXP(-LN(2)/2))/(LN(2)/2)*AQ24*AT24*VLOOKUP('Données projet'!$B$10,Paramètres!$A$1:$I$89,3,0)*0.475*44/12</f>
        <v>0</v>
      </c>
      <c r="AX24" s="23">
        <f t="shared" si="6"/>
        <v>0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5.6</v>
      </c>
      <c r="BD24" s="13">
        <f>IF('Données projet'!$A$88&gt;35,BD23+BC24-BL23,IF(A24&lt;'Données projet'!$A$88,$BA$205^A24,IF(A24='Données projet'!$A$88,'Données projet'!$B$88,BD23+BC24-BL23)))</f>
        <v>47.6</v>
      </c>
      <c r="BE24" s="14">
        <f>BD24*VLOOKUP('Données projet'!$B$11,Paramètres!$A$1:$I$89,3,0)*VLOOKUP('Données projet'!$B$11,Paramètres!$A$1:$I$89,5,0)</f>
        <v>46.038720000000005</v>
      </c>
      <c r="BF24" s="14">
        <f t="shared" si="37"/>
        <v>13.585879560828786</v>
      </c>
      <c r="BG24" s="22">
        <f t="shared" si="7"/>
        <v>103.84617756844348</v>
      </c>
      <c r="BH24" s="62">
        <f t="shared" si="8"/>
        <v>322.70370594431785</v>
      </c>
      <c r="BI24" s="62">
        <f ca="1">AVERAGE(OFFSET($BH$3,0,0,'Données projet'!$E$11+1,1))-AVERAGE(OFFSET($H$3,0,0,'Données projet'!$E$11+1,1))</f>
        <v>496.33873798282525</v>
      </c>
      <c r="BJ24" s="62">
        <f t="shared" si="38"/>
        <v>280.25465074992246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>
        <f>EXP(-LN(2)/35)*BP23+(1-EXP(-LN(2)/35))/(LN(2)/35)*BL24*BM24*VLOOKUP('Données projet'!$B$11,Paramètres!$A$1:$I$89,3,0)*0.475*44/12</f>
        <v>0</v>
      </c>
      <c r="BQ24" s="23">
        <f>EXP(-LN(2)/25)*BQ23+(1-EXP(-LN(2)/25))/(LN(2)/25)*Calculateur!BL24*Calculateur!BN24*VLOOKUP('Données projet'!$B$11,Paramètres!$A$1:$I$89,3,0)*0.475*44/12</f>
        <v>0</v>
      </c>
      <c r="BR24" s="23">
        <f>EXP(-LN(2)/2)*BR23+(1-EXP(-LN(2)/2))/(LN(2)/2)*BL24*BO24*VLOOKUP('Données projet'!$B$11,Paramètres!$A$1:$I$89,3,0)*0.475*44/12</f>
        <v>0</v>
      </c>
      <c r="BS24" s="24">
        <f t="shared" si="9"/>
        <v>0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10</v>
      </c>
      <c r="BY24" s="13">
        <f>IF('Données projet'!$A$114&gt;35,BY23+BX24-CG23,IF(A24&lt;'Données projet'!$A$114,$BV$205^A24,IF(A24='Données projet'!$A$114,'Données projet'!$B$114,BY23+BX24-CG23)))</f>
        <v>67</v>
      </c>
      <c r="BZ24" s="14">
        <f>BY24*VLOOKUP('Données projet'!$B$12,Paramètres!$A$1:$I$89,3,0)*VLOOKUP('Données projet'!$B$12,Paramètres!$A$1:$I$89,5,0)</f>
        <v>58.531200000000005</v>
      </c>
      <c r="CA24" s="14">
        <f t="shared" si="39"/>
        <v>16.796376317470752</v>
      </c>
      <c r="CB24" s="22">
        <f t="shared" si="10"/>
        <v>131.19552875292825</v>
      </c>
      <c r="CC24" s="62">
        <f t="shared" si="11"/>
        <v>350.05305712880261</v>
      </c>
      <c r="CD24" s="62">
        <f ca="1">AVERAGE(OFFSET($CC$3,0,0,'Données projet'!$E$12+1,1))-AVERAGE(OFFSET($H$3,0,0,'Données projet'!$E$12+1,1))</f>
        <v>298.56812743477741</v>
      </c>
      <c r="CE24" s="62">
        <f t="shared" si="40"/>
        <v>276.01618888357268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>
        <f>EXP(-LN(2)/35)*CK23+(1-EXP(-LN(2)/35))/(LN(2)/35)*CG24*CH24*VLOOKUP('Données projet'!$B$12,Paramètres!$A$1:$I$89,3,0)*0.475*44/12</f>
        <v>0</v>
      </c>
      <c r="CL24" s="23">
        <f>EXP(-LN(2)/25)*CL23+(1-EXP(-LN(2)/25))/(LN(2)/25)*Calculateur!CG24*Calculateur!CI24*VLOOKUP('Données projet'!$B$12,Paramètres!$A$1:$I$89,3,0)*0.475*44/12</f>
        <v>0</v>
      </c>
      <c r="CM24" s="23">
        <f>EXP(-LN(2)/2)*CM23+(1-EXP(-LN(2)/2))/(LN(2)/2)*CG24*CJ24*VLOOKUP('Données projet'!$B$12,Paramètres!$A$1:$I$89,3,0)*0.475*44/12</f>
        <v>0</v>
      </c>
      <c r="CN24" s="24">
        <f t="shared" si="12"/>
        <v>0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8.4615384615384635</v>
      </c>
      <c r="CT24" s="13">
        <f>IF('Données projet'!$A$140&gt;35,CT23+CS24-DB23,IF(A24&lt;'Données projet'!$A$140,$CQ$205^A24,IF(A24='Données projet'!$A$140,'Données projet'!$B$140,CT23+CS24-DB23)))</f>
        <v>99.487179487179489</v>
      </c>
      <c r="CU24" s="18">
        <f>CT24*VLOOKUP('Données projet'!$B$13,Paramètres!$A$1:$I$89,3,0)*VLOOKUP('Données projet'!$B$13,Paramètres!$A$1:$I$89,5,0)</f>
        <v>66.736000000000004</v>
      </c>
      <c r="CV24" s="14">
        <f t="shared" si="41"/>
        <v>18.860652493535977</v>
      </c>
      <c r="CW24" s="22">
        <f t="shared" si="13"/>
        <v>149.08083642624183</v>
      </c>
      <c r="CX24" s="62">
        <f t="shared" si="14"/>
        <v>367.93836480211621</v>
      </c>
      <c r="CY24" s="62">
        <f ca="1">AVERAGE(OFFSET($CX$3,0,0,'Données projet'!$E$13+1,1))-AVERAGE(OFFSET($H$3,0,0,'Données projet'!$E$13+1,1))</f>
        <v>346.82725381974132</v>
      </c>
      <c r="CZ24" s="62">
        <f t="shared" si="42"/>
        <v>254.09787950201044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>
        <f>EXP(-LN(2)/35)*DF23+(1-EXP(-LN(2)/35))/(LN(2)/35)*DB24*DC24*VLOOKUP('Données projet'!$B$13,Paramètres!$A$1:$I$89,3,0)*0.475*44/12</f>
        <v>0</v>
      </c>
      <c r="DG24" s="23">
        <f>EXP(-LN(2)/25)*DG23+(1-EXP(-LN(2)/25))/(LN(2)/25)*Calculateur!DB24*Calculateur!DD24*VLOOKUP('Données projet'!$B$13,Paramètres!$A$1:$I$89,3,0)*0.475*44/12</f>
        <v>0</v>
      </c>
      <c r="DH24" s="23">
        <f>EXP(-LN(2)/2)*DH23+(1-EXP(-LN(2)/2))/(LN(2)/2)*DB24*DE24*VLOOKUP('Données projet'!$B$13,Paramètres!$A$1:$I$89,3,0)*0.475*44/12</f>
        <v>0</v>
      </c>
      <c r="DI24" s="24">
        <f t="shared" si="15"/>
        <v>0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5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2">
        <f t="shared" si="32"/>
        <v>0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18.333333333333332</v>
      </c>
      <c r="H25" s="70">
        <f t="shared" si="1"/>
        <v>183.33333333333334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5.6</v>
      </c>
      <c r="N25" s="14">
        <f>IF('Données projet'!$A$36&gt;35,N24+M25-V24,IF(A25&lt;'Données projet'!$A$36,$K$205^A25,IF(A25='Données projet'!$A$36,'Données projet'!$B$36,N24+M25-V24)))</f>
        <v>53.2</v>
      </c>
      <c r="O25" s="14">
        <f>N25*VLOOKUP('Données projet'!$B$9,Paramètres!$A$1:$I$89,3,0)*VLOOKUP('Données projet'!$B$9,Paramètres!$A$1:$I$89,5,0)</f>
        <v>48.135359999999999</v>
      </c>
      <c r="P25" s="14">
        <f t="shared" si="33"/>
        <v>14.131148275361113</v>
      </c>
      <c r="Q25" s="22">
        <f t="shared" si="2"/>
        <v>108.4475019129206</v>
      </c>
      <c r="R25" s="62">
        <f t="shared" si="0"/>
        <v>329.62841581638901</v>
      </c>
      <c r="S25" s="62">
        <f ca="1">AVERAGE(OFFSET($R$3,0,0,'Données projet'!$E$9+1,1))-AVERAGE(OFFSET($H$3,0,0,'Données projet'!$E$9+1,1))</f>
        <v>469.67944008675863</v>
      </c>
      <c r="T25" s="62">
        <f t="shared" si="34"/>
        <v>266.11908070867173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0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0</v>
      </c>
      <c r="AC25" s="24">
        <f t="shared" si="3"/>
        <v>0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6.5384615384615383</v>
      </c>
      <c r="AI25" s="14">
        <f>IF('Données projet'!$A$62&gt;35,AI24+AH25-AQ24,IF(A25&lt;'Données projet'!$A$62,$AF$205^A25,IF(A25='Données projet'!$A$62,'Données projet'!$B$62,AI24+AH25-AQ24)))</f>
        <v>81.025641025640994</v>
      </c>
      <c r="AJ25" s="14">
        <f>AI25*VLOOKUP('Données projet'!$B$10,Paramètres!$A$1:$I$89,3,0)*VLOOKUP('Données projet'!$B$10,Paramètres!$A$1:$I$89,5,0)</f>
        <v>77.103999999999971</v>
      </c>
      <c r="AK25" s="14">
        <f t="shared" si="35"/>
        <v>21.427584756535701</v>
      </c>
      <c r="AL25" s="22">
        <f t="shared" si="4"/>
        <v>171.60917678429962</v>
      </c>
      <c r="AM25" s="62">
        <f t="shared" si="5"/>
        <v>392.79009068776804</v>
      </c>
      <c r="AN25" s="62">
        <f ca="1">AVERAGE(OFFSET($AM$3,0,0,'Données projet'!$E$10+1,1))-AVERAGE(OFFSET($H$3,0,0,'Données projet'!$E$10+1,1))</f>
        <v>400.48230125343474</v>
      </c>
      <c r="AO25" s="62">
        <f t="shared" si="36"/>
        <v>275.67023303885048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0</v>
      </c>
      <c r="AV25" s="23">
        <f>EXP(-LN(2)/25)*AV24+(1-EXP(-LN(2)/25))/(LN(2)/25)*Calculateur!AQ25*Calculateur!AS25*VLOOKUP('Données projet'!$B$10,Paramètres!$A$1:$I$89,3,0)*0.475*44/12</f>
        <v>0</v>
      </c>
      <c r="AW25" s="23">
        <f>EXP(-LN(2)/2)*AW24+(1-EXP(-LN(2)/2))/(LN(2)/2)*AQ25*AT25*VLOOKUP('Données projet'!$B$10,Paramètres!$A$1:$I$89,3,0)*0.475*44/12</f>
        <v>0</v>
      </c>
      <c r="AX25" s="23">
        <f t="shared" si="6"/>
        <v>0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5.6</v>
      </c>
      <c r="BD25" s="13">
        <f>IF('Données projet'!$A$88&gt;35,BD24+BC25-BL24,IF(A25&lt;'Données projet'!$A$88,$BA$205^A25,IF(A25='Données projet'!$A$88,'Données projet'!$B$88,BD24+BC25-BL24)))</f>
        <v>53.2</v>
      </c>
      <c r="BE25" s="14">
        <f>BD25*VLOOKUP('Données projet'!$B$11,Paramètres!$A$1:$I$89,3,0)*VLOOKUP('Données projet'!$B$11,Paramètres!$A$1:$I$89,5,0)</f>
        <v>51.455040000000004</v>
      </c>
      <c r="BF25" s="14">
        <f t="shared" si="37"/>
        <v>14.988900446655085</v>
      </c>
      <c r="BG25" s="22">
        <f t="shared" si="7"/>
        <v>115.72319627792427</v>
      </c>
      <c r="BH25" s="62">
        <f t="shared" si="8"/>
        <v>336.90411018139264</v>
      </c>
      <c r="BI25" s="62">
        <f ca="1">AVERAGE(OFFSET($BH$3,0,0,'Données projet'!$E$11+1,1))-AVERAGE(OFFSET($H$3,0,0,'Données projet'!$E$11+1,1))</f>
        <v>496.33873798282525</v>
      </c>
      <c r="BJ25" s="62">
        <f t="shared" si="38"/>
        <v>280.25465074992246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>
        <f>EXP(-LN(2)/35)*BP24+(1-EXP(-LN(2)/35))/(LN(2)/35)*BL25*BM25*VLOOKUP('Données projet'!$B$11,Paramètres!$A$1:$I$89,3,0)*0.475*44/12</f>
        <v>0</v>
      </c>
      <c r="BQ25" s="23">
        <f>EXP(-LN(2)/25)*BQ24+(1-EXP(-LN(2)/25))/(LN(2)/25)*Calculateur!BL25*Calculateur!BN25*VLOOKUP('Données projet'!$B$11,Paramètres!$A$1:$I$89,3,0)*0.475*44/12</f>
        <v>0</v>
      </c>
      <c r="BR25" s="23">
        <f>EXP(-LN(2)/2)*BR24+(1-EXP(-LN(2)/2))/(LN(2)/2)*BL25*BO25*VLOOKUP('Données projet'!$B$11,Paramètres!$A$1:$I$89,3,0)*0.475*44/12</f>
        <v>0</v>
      </c>
      <c r="BS25" s="24">
        <f t="shared" si="9"/>
        <v>0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10</v>
      </c>
      <c r="BY25" s="13">
        <f>IF('Données projet'!$A$114&gt;35,BY24+BX25-CG24,IF(A25&lt;'Données projet'!$A$114,$BV$205^A25,IF(A25='Données projet'!$A$114,'Données projet'!$B$114,BY24+BX25-CG24)))</f>
        <v>77</v>
      </c>
      <c r="BZ25" s="14">
        <f>BY25*VLOOKUP('Données projet'!$B$12,Paramètres!$A$1:$I$89,3,0)*VLOOKUP('Données projet'!$B$12,Paramètres!$A$1:$I$89,5,0)</f>
        <v>67.267200000000003</v>
      </c>
      <c r="CA25" s="14">
        <f t="shared" si="39"/>
        <v>18.993242158132926</v>
      </c>
      <c r="CB25" s="22">
        <f t="shared" si="10"/>
        <v>150.23693675874819</v>
      </c>
      <c r="CC25" s="62">
        <f t="shared" si="11"/>
        <v>371.41785066221655</v>
      </c>
      <c r="CD25" s="62">
        <f ca="1">AVERAGE(OFFSET($CC$3,0,0,'Données projet'!$E$12+1,1))-AVERAGE(OFFSET($H$3,0,0,'Données projet'!$E$12+1,1))</f>
        <v>298.56812743477741</v>
      </c>
      <c r="CE25" s="62">
        <f t="shared" si="40"/>
        <v>276.01618888357268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>
        <f>EXP(-LN(2)/35)*CK24+(1-EXP(-LN(2)/35))/(LN(2)/35)*CG25*CH25*VLOOKUP('Données projet'!$B$12,Paramètres!$A$1:$I$89,3,0)*0.475*44/12</f>
        <v>0</v>
      </c>
      <c r="CL25" s="23">
        <f>EXP(-LN(2)/25)*CL24+(1-EXP(-LN(2)/25))/(LN(2)/25)*Calculateur!CG25*Calculateur!CI25*VLOOKUP('Données projet'!$B$12,Paramètres!$A$1:$I$89,3,0)*0.475*44/12</f>
        <v>0</v>
      </c>
      <c r="CM25" s="23">
        <f>EXP(-LN(2)/2)*CM24+(1-EXP(-LN(2)/2))/(LN(2)/2)*CG25*CJ25*VLOOKUP('Données projet'!$B$12,Paramètres!$A$1:$I$89,3,0)*0.475*44/12</f>
        <v>0</v>
      </c>
      <c r="CN25" s="24">
        <f t="shared" si="12"/>
        <v>0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8.4615384615384635</v>
      </c>
      <c r="CT25" s="13">
        <f>IF('Données projet'!$A$140&gt;35,CT24+CS25-DB24,IF(A25&lt;'Données projet'!$A$140,$CQ$205^A25,IF(A25='Données projet'!$A$140,'Données projet'!$B$140,CT24+CS25-DB24)))</f>
        <v>107.94871794871796</v>
      </c>
      <c r="CU25" s="18">
        <f>CT25*VLOOKUP('Données projet'!$B$13,Paramètres!$A$1:$I$89,3,0)*VLOOKUP('Données projet'!$B$13,Paramètres!$A$1:$I$89,5,0)</f>
        <v>72.412000000000006</v>
      </c>
      <c r="CV25" s="14">
        <f t="shared" si="41"/>
        <v>20.271256101526671</v>
      </c>
      <c r="CW25" s="22">
        <f t="shared" si="13"/>
        <v>161.42333771015896</v>
      </c>
      <c r="CX25" s="62">
        <f t="shared" si="14"/>
        <v>382.60425161362735</v>
      </c>
      <c r="CY25" s="62">
        <f ca="1">AVERAGE(OFFSET($CX$3,0,0,'Données projet'!$E$13+1,1))-AVERAGE(OFFSET($H$3,0,0,'Données projet'!$E$13+1,1))</f>
        <v>346.82725381974132</v>
      </c>
      <c r="CZ25" s="62">
        <f t="shared" si="42"/>
        <v>254.09787950201044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>
        <f>EXP(-LN(2)/35)*DF24+(1-EXP(-LN(2)/35))/(LN(2)/35)*DB25*DC25*VLOOKUP('Données projet'!$B$13,Paramètres!$A$1:$I$89,3,0)*0.475*44/12</f>
        <v>0</v>
      </c>
      <c r="DG25" s="23">
        <f>EXP(-LN(2)/25)*DG24+(1-EXP(-LN(2)/25))/(LN(2)/25)*Calculateur!DB25*Calculateur!DD25*VLOOKUP('Données projet'!$B$13,Paramètres!$A$1:$I$89,3,0)*0.475*44/12</f>
        <v>0</v>
      </c>
      <c r="DH25" s="23">
        <f>EXP(-LN(2)/2)*DH24+(1-EXP(-LN(2)/2))/(LN(2)/2)*DB25*DE25*VLOOKUP('Données projet'!$B$13,Paramètres!$A$1:$I$89,3,0)*0.475*44/12</f>
        <v>0</v>
      </c>
      <c r="DI25" s="24">
        <f t="shared" si="15"/>
        <v>0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5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2">
        <f t="shared" si="32"/>
        <v>0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18.333333333333332</v>
      </c>
      <c r="H26" s="70">
        <f t="shared" si="1"/>
        <v>183.33333333333334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5.6</v>
      </c>
      <c r="N26" s="14">
        <f>IF('Données projet'!$A$36&gt;35,N25+M26-V25,IF(A26&lt;'Données projet'!$A$36,$K$205^A26,IF(A26='Données projet'!$A$36,'Données projet'!$B$36,N25+M26-V25)))</f>
        <v>58.800000000000004</v>
      </c>
      <c r="O26" s="14">
        <f>N26*VLOOKUP('Données projet'!$B$9,Paramètres!$A$1:$I$89,3,0)*VLOOKUP('Données projet'!$B$9,Paramètres!$A$1:$I$89,5,0)</f>
        <v>53.202240000000003</v>
      </c>
      <c r="P26" s="14">
        <f t="shared" si="33"/>
        <v>15.437740642425908</v>
      </c>
      <c r="Q26" s="22">
        <f t="shared" si="2"/>
        <v>119.54796628555846</v>
      </c>
      <c r="R26" s="62">
        <f t="shared" si="0"/>
        <v>343.03316299510493</v>
      </c>
      <c r="S26" s="62">
        <f ca="1">AVERAGE(OFFSET($R$3,0,0,'Données projet'!$E$9+1,1))-AVERAGE(OFFSET($H$3,0,0,'Données projet'!$E$9+1,1))</f>
        <v>469.67944008675863</v>
      </c>
      <c r="T26" s="62">
        <f t="shared" si="34"/>
        <v>266.11908070867173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0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0</v>
      </c>
      <c r="AC26" s="24">
        <f t="shared" si="3"/>
        <v>0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6.5384615384615383</v>
      </c>
      <c r="AI26" s="14">
        <f>IF('Données projet'!$A$62&gt;35,AI25+AH26-AQ25,IF(A26&lt;'Données projet'!$A$62,$AF$205^A26,IF(A26='Données projet'!$A$62,'Données projet'!$B$62,AI25+AH26-AQ25)))</f>
        <v>87.564102564102527</v>
      </c>
      <c r="AJ26" s="14">
        <f>AI26*VLOOKUP('Données projet'!$B$10,Paramètres!$A$1:$I$89,3,0)*VLOOKUP('Données projet'!$B$10,Paramètres!$A$1:$I$89,5,0)</f>
        <v>83.325999999999965</v>
      </c>
      <c r="AK26" s="14">
        <f t="shared" si="35"/>
        <v>22.948470480010226</v>
      </c>
      <c r="AL26" s="22">
        <f t="shared" si="4"/>
        <v>185.09470275268441</v>
      </c>
      <c r="AM26" s="62">
        <f t="shared" si="5"/>
        <v>408.57989946223091</v>
      </c>
      <c r="AN26" s="62">
        <f ca="1">AVERAGE(OFFSET($AM$3,0,0,'Données projet'!$E$10+1,1))-AVERAGE(OFFSET($H$3,0,0,'Données projet'!$E$10+1,1))</f>
        <v>400.48230125343474</v>
      </c>
      <c r="AO26" s="62">
        <f t="shared" si="36"/>
        <v>275.67023303885048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0</v>
      </c>
      <c r="AV26" s="23">
        <f>EXP(-LN(2)/25)*AV25+(1-EXP(-LN(2)/25))/(LN(2)/25)*Calculateur!AQ26*Calculateur!AS26*VLOOKUP('Données projet'!$B$10,Paramètres!$A$1:$I$89,3,0)*0.475*44/12</f>
        <v>0</v>
      </c>
      <c r="AW26" s="23">
        <f>EXP(-LN(2)/2)*AW25+(1-EXP(-LN(2)/2))/(LN(2)/2)*AQ26*AT26*VLOOKUP('Données projet'!$B$10,Paramètres!$A$1:$I$89,3,0)*0.475*44/12</f>
        <v>0</v>
      </c>
      <c r="AX26" s="23">
        <f t="shared" si="6"/>
        <v>0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5.6</v>
      </c>
      <c r="BD26" s="13">
        <f>IF('Données projet'!$A$88&gt;35,BD25+BC26-BL25,IF(A26&lt;'Données projet'!$A$88,$BA$205^A26,IF(A26='Données projet'!$A$88,'Données projet'!$B$88,BD25+BC26-BL25)))</f>
        <v>58.800000000000004</v>
      </c>
      <c r="BE26" s="14">
        <f>BD26*VLOOKUP('Données projet'!$B$11,Paramètres!$A$1:$I$89,3,0)*VLOOKUP('Données projet'!$B$11,Paramètres!$A$1:$I$89,5,0)</f>
        <v>56.87136000000001</v>
      </c>
      <c r="BF26" s="14">
        <f t="shared" si="37"/>
        <v>16.374802181791551</v>
      </c>
      <c r="BG26" s="22">
        <f t="shared" si="7"/>
        <v>127.57039913328697</v>
      </c>
      <c r="BH26" s="62">
        <f t="shared" si="8"/>
        <v>351.05559584283344</v>
      </c>
      <c r="BI26" s="62">
        <f ca="1">AVERAGE(OFFSET($BH$3,0,0,'Données projet'!$E$11+1,1))-AVERAGE(OFFSET($H$3,0,0,'Données projet'!$E$11+1,1))</f>
        <v>496.33873798282525</v>
      </c>
      <c r="BJ26" s="62">
        <f t="shared" si="38"/>
        <v>280.25465074992246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>
        <f>EXP(-LN(2)/35)*BP25+(1-EXP(-LN(2)/35))/(LN(2)/35)*BL26*BM26*VLOOKUP('Données projet'!$B$11,Paramètres!$A$1:$I$89,3,0)*0.475*44/12</f>
        <v>0</v>
      </c>
      <c r="BQ26" s="23">
        <f>EXP(-LN(2)/25)*BQ25+(1-EXP(-LN(2)/25))/(LN(2)/25)*Calculateur!BL26*Calculateur!BN26*VLOOKUP('Données projet'!$B$11,Paramètres!$A$1:$I$89,3,0)*0.475*44/12</f>
        <v>0</v>
      </c>
      <c r="BR26" s="23">
        <f>EXP(-LN(2)/2)*BR25+(1-EXP(-LN(2)/2))/(LN(2)/2)*BL26*BO26*VLOOKUP('Données projet'!$B$11,Paramètres!$A$1:$I$89,3,0)*0.475*44/12</f>
        <v>0</v>
      </c>
      <c r="BS26" s="24">
        <f t="shared" si="9"/>
        <v>0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10</v>
      </c>
      <c r="BY26" s="13">
        <f>IF('Données projet'!$A$114&gt;35,BY25+BX26-CG25,IF(A26&lt;'Données projet'!$A$114,$BV$205^A26,IF(A26='Données projet'!$A$114,'Données projet'!$B$114,BY25+BX26-CG25)))</f>
        <v>87</v>
      </c>
      <c r="BZ26" s="14">
        <f>BY26*VLOOKUP('Données projet'!$B$12,Paramètres!$A$1:$I$89,3,0)*VLOOKUP('Données projet'!$B$12,Paramètres!$A$1:$I$89,5,0)</f>
        <v>76.003200000000007</v>
      </c>
      <c r="CA26" s="14">
        <f t="shared" si="39"/>
        <v>21.157049992000456</v>
      </c>
      <c r="CB26" s="22">
        <f t="shared" si="10"/>
        <v>169.22076873606747</v>
      </c>
      <c r="CC26" s="62">
        <f t="shared" si="11"/>
        <v>392.70596544561397</v>
      </c>
      <c r="CD26" s="62">
        <f ca="1">AVERAGE(OFFSET($CC$3,0,0,'Données projet'!$E$12+1,1))-AVERAGE(OFFSET($H$3,0,0,'Données projet'!$E$12+1,1))</f>
        <v>298.56812743477741</v>
      </c>
      <c r="CE26" s="62">
        <f t="shared" si="40"/>
        <v>276.01618888357268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>
        <f>EXP(-LN(2)/35)*CK25+(1-EXP(-LN(2)/35))/(LN(2)/35)*CG26*CH26*VLOOKUP('Données projet'!$B$12,Paramètres!$A$1:$I$89,3,0)*0.475*44/12</f>
        <v>0</v>
      </c>
      <c r="CL26" s="23">
        <f>EXP(-LN(2)/25)*CL25+(1-EXP(-LN(2)/25))/(LN(2)/25)*Calculateur!CG26*Calculateur!CI26*VLOOKUP('Données projet'!$B$12,Paramètres!$A$1:$I$89,3,0)*0.475*44/12</f>
        <v>0</v>
      </c>
      <c r="CM26" s="23">
        <f>EXP(-LN(2)/2)*CM25+(1-EXP(-LN(2)/2))/(LN(2)/2)*CG26*CJ26*VLOOKUP('Données projet'!$B$12,Paramètres!$A$1:$I$89,3,0)*0.475*44/12</f>
        <v>0</v>
      </c>
      <c r="CN26" s="24">
        <f t="shared" si="12"/>
        <v>0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8.4615384615384635</v>
      </c>
      <c r="CT26" s="13">
        <f>IF('Données projet'!$A$140&gt;35,CT25+CS26-DB25,IF(A26&lt;'Données projet'!$A$140,$CQ$205^A26,IF(A26='Données projet'!$A$140,'Données projet'!$B$140,CT25+CS26-DB25)))</f>
        <v>116.41025641025642</v>
      </c>
      <c r="CU26" s="18">
        <f>CT26*VLOOKUP('Données projet'!$B$13,Paramètres!$A$1:$I$89,3,0)*VLOOKUP('Données projet'!$B$13,Paramètres!$A$1:$I$89,5,0)</f>
        <v>78.088000000000008</v>
      </c>
      <c r="CV26" s="14">
        <f t="shared" si="41"/>
        <v>21.669034056246403</v>
      </c>
      <c r="CW26" s="22">
        <f t="shared" si="13"/>
        <v>173.74350098129582</v>
      </c>
      <c r="CX26" s="62">
        <f t="shared" si="14"/>
        <v>397.2286976908423</v>
      </c>
      <c r="CY26" s="62">
        <f ca="1">AVERAGE(OFFSET($CX$3,0,0,'Données projet'!$E$13+1,1))-AVERAGE(OFFSET($H$3,0,0,'Données projet'!$E$13+1,1))</f>
        <v>346.82725381974132</v>
      </c>
      <c r="CZ26" s="62">
        <f t="shared" si="42"/>
        <v>254.09787950201044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>
        <f>EXP(-LN(2)/35)*DF25+(1-EXP(-LN(2)/35))/(LN(2)/35)*DB26*DC26*VLOOKUP('Données projet'!$B$13,Paramètres!$A$1:$I$89,3,0)*0.475*44/12</f>
        <v>0</v>
      </c>
      <c r="DG26" s="23">
        <f>EXP(-LN(2)/25)*DG25+(1-EXP(-LN(2)/25))/(LN(2)/25)*Calculateur!DB26*Calculateur!DD26*VLOOKUP('Données projet'!$B$13,Paramètres!$A$1:$I$89,3,0)*0.475*44/12</f>
        <v>0</v>
      </c>
      <c r="DH26" s="23">
        <f>EXP(-LN(2)/2)*DH25+(1-EXP(-LN(2)/2))/(LN(2)/2)*DB26*DE26*VLOOKUP('Données projet'!$B$13,Paramètres!$A$1:$I$89,3,0)*0.475*44/12</f>
        <v>0</v>
      </c>
      <c r="DI26" s="24">
        <f t="shared" si="15"/>
        <v>0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5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2">
        <f t="shared" si="32"/>
        <v>0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18.333333333333332</v>
      </c>
      <c r="H27" s="70">
        <f t="shared" si="1"/>
        <v>183.33333333333334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5.6</v>
      </c>
      <c r="N27" s="14">
        <f>IF('Données projet'!$A$36&gt;35,N26+M27-V26,IF(A27&lt;'Données projet'!$A$36,$K$205^A27,IF(A27='Données projet'!$A$36,'Données projet'!$B$36,N26+M27-V26)))</f>
        <v>64.400000000000006</v>
      </c>
      <c r="O27" s="14">
        <f>N27*VLOOKUP('Données projet'!$B$9,Paramètres!$A$1:$I$89,3,0)*VLOOKUP('Données projet'!$B$9,Paramètres!$A$1:$I$89,5,0)</f>
        <v>58.269120000000008</v>
      </c>
      <c r="P27" s="14">
        <f t="shared" si="33"/>
        <v>16.729905486873804</v>
      </c>
      <c r="Q27" s="22">
        <f t="shared" si="2"/>
        <v>130.62330272297189</v>
      </c>
      <c r="R27" s="62">
        <f t="shared" si="0"/>
        <v>356.39401090659169</v>
      </c>
      <c r="S27" s="62">
        <f ca="1">AVERAGE(OFFSET($R$3,0,0,'Données projet'!$E$9+1,1))-AVERAGE(OFFSET($H$3,0,0,'Données projet'!$E$9+1,1))</f>
        <v>469.67944008675863</v>
      </c>
      <c r="T27" s="62">
        <f t="shared" si="34"/>
        <v>266.11908070867173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0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0</v>
      </c>
      <c r="AC27" s="24">
        <f t="shared" si="3"/>
        <v>0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6.5384615384615383</v>
      </c>
      <c r="AI27" s="14">
        <f>IF('Données projet'!$A$62&gt;35,AI26+AH27-AQ26,IF(A27&lt;'Données projet'!$A$62,$AF$205^A27,IF(A27='Données projet'!$A$62,'Données projet'!$B$62,AI26+AH27-AQ26)))</f>
        <v>94.10256410256406</v>
      </c>
      <c r="AJ27" s="14">
        <f>AI27*VLOOKUP('Données projet'!$B$10,Paramètres!$A$1:$I$89,3,0)*VLOOKUP('Données projet'!$B$10,Paramètres!$A$1:$I$89,5,0)</f>
        <v>89.547999999999959</v>
      </c>
      <c r="AK27" s="14">
        <f t="shared" si="35"/>
        <v>24.456181554997588</v>
      </c>
      <c r="AL27" s="22">
        <f t="shared" si="4"/>
        <v>198.55728287495404</v>
      </c>
      <c r="AM27" s="62">
        <f t="shared" si="5"/>
        <v>424.32799105857384</v>
      </c>
      <c r="AN27" s="62">
        <f ca="1">AVERAGE(OFFSET($AM$3,0,0,'Données projet'!$E$10+1,1))-AVERAGE(OFFSET($H$3,0,0,'Données projet'!$E$10+1,1))</f>
        <v>400.48230125343474</v>
      </c>
      <c r="AO27" s="62">
        <f t="shared" si="36"/>
        <v>275.67023303885048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0</v>
      </c>
      <c r="AV27" s="23">
        <f>EXP(-LN(2)/25)*AV26+(1-EXP(-LN(2)/25))/(LN(2)/25)*Calculateur!AQ27*Calculateur!AS27*VLOOKUP('Données projet'!$B$10,Paramètres!$A$1:$I$89,3,0)*0.475*44/12</f>
        <v>0</v>
      </c>
      <c r="AW27" s="23">
        <f>EXP(-LN(2)/2)*AW26+(1-EXP(-LN(2)/2))/(LN(2)/2)*AQ27*AT27*VLOOKUP('Données projet'!$B$10,Paramètres!$A$1:$I$89,3,0)*0.475*44/12</f>
        <v>0</v>
      </c>
      <c r="AX27" s="23">
        <f t="shared" si="6"/>
        <v>0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5.6</v>
      </c>
      <c r="BD27" s="13">
        <f>IF('Données projet'!$A$88&gt;35,BD26+BC27-BL26,IF(A27&lt;'Données projet'!$A$88,$BA$205^A27,IF(A27='Données projet'!$A$88,'Données projet'!$B$88,BD26+BC27-BL26)))</f>
        <v>64.400000000000006</v>
      </c>
      <c r="BE27" s="14">
        <f>BD27*VLOOKUP('Données projet'!$B$11,Paramètres!$A$1:$I$89,3,0)*VLOOKUP('Données projet'!$B$11,Paramètres!$A$1:$I$89,5,0)</f>
        <v>62.287680000000009</v>
      </c>
      <c r="BF27" s="14">
        <f t="shared" si="37"/>
        <v>17.745400652396182</v>
      </c>
      <c r="BG27" s="22">
        <f t="shared" si="7"/>
        <v>139.39094880292336</v>
      </c>
      <c r="BH27" s="62">
        <f t="shared" si="8"/>
        <v>365.16165698654316</v>
      </c>
      <c r="BI27" s="62">
        <f ca="1">AVERAGE(OFFSET($BH$3,0,0,'Données projet'!$E$11+1,1))-AVERAGE(OFFSET($H$3,0,0,'Données projet'!$E$11+1,1))</f>
        <v>496.33873798282525</v>
      </c>
      <c r="BJ27" s="62">
        <f t="shared" si="38"/>
        <v>280.25465074992246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>
        <f>EXP(-LN(2)/35)*BP26+(1-EXP(-LN(2)/35))/(LN(2)/35)*BL27*BM27*VLOOKUP('Données projet'!$B$11,Paramètres!$A$1:$I$89,3,0)*0.475*44/12</f>
        <v>0</v>
      </c>
      <c r="BQ27" s="23">
        <f>EXP(-LN(2)/25)*BQ26+(1-EXP(-LN(2)/25))/(LN(2)/25)*Calculateur!BL27*Calculateur!BN27*VLOOKUP('Données projet'!$B$11,Paramètres!$A$1:$I$89,3,0)*0.475*44/12</f>
        <v>0</v>
      </c>
      <c r="BR27" s="23">
        <f>EXP(-LN(2)/2)*BR26+(1-EXP(-LN(2)/2))/(LN(2)/2)*BL27*BO27*VLOOKUP('Données projet'!$B$11,Paramètres!$A$1:$I$89,3,0)*0.475*44/12</f>
        <v>0</v>
      </c>
      <c r="BS27" s="24">
        <f t="shared" si="9"/>
        <v>0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10</v>
      </c>
      <c r="BY27" s="13">
        <f>IF('Données projet'!$A$114&gt;35,BY26+BX27-CG26,IF(A27&lt;'Données projet'!$A$114,$BV$205^A27,IF(A27='Données projet'!$A$114,'Données projet'!$B$114,BY26+BX27-CG26)))</f>
        <v>97</v>
      </c>
      <c r="BZ27" s="14">
        <f>BY27*VLOOKUP('Données projet'!$B$12,Paramètres!$A$1:$I$89,3,0)*VLOOKUP('Données projet'!$B$12,Paramètres!$A$1:$I$89,5,0)</f>
        <v>84.739200000000011</v>
      </c>
      <c r="CA27" s="14">
        <f t="shared" si="39"/>
        <v>23.292033444816514</v>
      </c>
      <c r="CB27" s="22">
        <f t="shared" si="10"/>
        <v>188.15439824972211</v>
      </c>
      <c r="CC27" s="62">
        <f t="shared" si="11"/>
        <v>413.92510643334191</v>
      </c>
      <c r="CD27" s="62">
        <f ca="1">AVERAGE(OFFSET($CC$3,0,0,'Données projet'!$E$12+1,1))-AVERAGE(OFFSET($H$3,0,0,'Données projet'!$E$12+1,1))</f>
        <v>298.56812743477741</v>
      </c>
      <c r="CE27" s="62">
        <f t="shared" si="40"/>
        <v>276.01618888357268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>
        <f>EXP(-LN(2)/35)*CK26+(1-EXP(-LN(2)/35))/(LN(2)/35)*CG27*CH27*VLOOKUP('Données projet'!$B$12,Paramètres!$A$1:$I$89,3,0)*0.475*44/12</f>
        <v>0</v>
      </c>
      <c r="CL27" s="23">
        <f>EXP(-LN(2)/25)*CL26+(1-EXP(-LN(2)/25))/(LN(2)/25)*Calculateur!CG27*Calculateur!CI27*VLOOKUP('Données projet'!$B$12,Paramètres!$A$1:$I$89,3,0)*0.475*44/12</f>
        <v>0</v>
      </c>
      <c r="CM27" s="23">
        <f>EXP(-LN(2)/2)*CM26+(1-EXP(-LN(2)/2))/(LN(2)/2)*CG27*CJ27*VLOOKUP('Données projet'!$B$12,Paramètres!$A$1:$I$89,3,0)*0.475*44/12</f>
        <v>0</v>
      </c>
      <c r="CN27" s="24">
        <f t="shared" si="12"/>
        <v>0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8.4615384615384635</v>
      </c>
      <c r="CT27" s="13">
        <f>IF('Données projet'!$A$140&gt;35,CT26+CS27-DB26,IF(A27&lt;'Données projet'!$A$140,$CQ$205^A27,IF(A27='Données projet'!$A$140,'Données projet'!$B$140,CT26+CS27-DB26)))</f>
        <v>124.87179487179489</v>
      </c>
      <c r="CU27" s="18">
        <f>CT27*VLOOKUP('Données projet'!$B$13,Paramètres!$A$1:$I$89,3,0)*VLOOKUP('Données projet'!$B$13,Paramètres!$A$1:$I$89,5,0)</f>
        <v>83.76400000000001</v>
      </c>
      <c r="CV27" s="14">
        <f t="shared" si="41"/>
        <v>23.055024638911448</v>
      </c>
      <c r="CW27" s="22">
        <f t="shared" si="13"/>
        <v>186.04313457943746</v>
      </c>
      <c r="CX27" s="62">
        <f t="shared" si="14"/>
        <v>411.81384276305727</v>
      </c>
      <c r="CY27" s="62">
        <f ca="1">AVERAGE(OFFSET($CX$3,0,0,'Données projet'!$E$13+1,1))-AVERAGE(OFFSET($H$3,0,0,'Données projet'!$E$13+1,1))</f>
        <v>346.82725381974132</v>
      </c>
      <c r="CZ27" s="62">
        <f t="shared" si="42"/>
        <v>254.09787950201044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>
        <f>EXP(-LN(2)/35)*DF26+(1-EXP(-LN(2)/35))/(LN(2)/35)*DB27*DC27*VLOOKUP('Données projet'!$B$13,Paramètres!$A$1:$I$89,3,0)*0.475*44/12</f>
        <v>0</v>
      </c>
      <c r="DG27" s="23">
        <f>EXP(-LN(2)/25)*DG26+(1-EXP(-LN(2)/25))/(LN(2)/25)*Calculateur!DB27*Calculateur!DD27*VLOOKUP('Données projet'!$B$13,Paramètres!$A$1:$I$89,3,0)*0.475*44/12</f>
        <v>0</v>
      </c>
      <c r="DH27" s="23">
        <f>EXP(-LN(2)/2)*DH26+(1-EXP(-LN(2)/2))/(LN(2)/2)*DB27*DE27*VLOOKUP('Données projet'!$B$13,Paramètres!$A$1:$I$89,3,0)*0.475*44/12</f>
        <v>0</v>
      </c>
      <c r="DI27" s="24">
        <f t="shared" si="15"/>
        <v>0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5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2">
        <f t="shared" si="32"/>
        <v>0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18.333333333333332</v>
      </c>
      <c r="H28" s="70">
        <f t="shared" si="1"/>
        <v>183.33333333333334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>
        <f>VLOOKUP(A28,'Données projet'!$A$35:$I$55,2,0)</f>
        <v>70</v>
      </c>
      <c r="L28" s="13">
        <f>VLOOKUP(A28,'Données projet'!$A$35:$I$55,9,0)</f>
        <v>5.6</v>
      </c>
      <c r="M28" s="13">
        <f t="array" ref="M28">INDEX(L:L,MIN(IF(ISNUMBER(L28:L224),ROW(L28:L224),"")))</f>
        <v>5.6</v>
      </c>
      <c r="N28" s="14">
        <f>IF('Données projet'!$A$36&gt;35,N27+M28-V27,IF(A28&lt;'Données projet'!$A$36,$K$205^A28,IF(A28='Données projet'!$A$36,'Données projet'!$B$36,N27+M28-V27)))</f>
        <v>70</v>
      </c>
      <c r="O28" s="14">
        <f>N28*VLOOKUP('Données projet'!$B$9,Paramètres!$A$1:$I$89,3,0)*VLOOKUP('Données projet'!$B$9,Paramètres!$A$1:$I$89,5,0)</f>
        <v>63.335999999999991</v>
      </c>
      <c r="P28" s="14">
        <f t="shared" si="33"/>
        <v>18.009040022946227</v>
      </c>
      <c r="Q28" s="22">
        <f t="shared" si="2"/>
        <v>141.67594470663133</v>
      </c>
      <c r="R28" s="62">
        <f t="shared" si="0"/>
        <v>369.71371867296341</v>
      </c>
      <c r="S28" s="62">
        <f ca="1">AVERAGE(OFFSET($R$3,0,0,'Données projet'!$E$9+1,1))-AVERAGE(OFFSET($H$3,0,0,'Données projet'!$E$9+1,1))</f>
        <v>469.67944008675863</v>
      </c>
      <c r="T28" s="62">
        <f t="shared" si="34"/>
        <v>266.11908070867173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0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0</v>
      </c>
      <c r="AC28" s="24">
        <f t="shared" si="3"/>
        <v>0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>
        <f>VLOOKUP(A28,'Données projet'!$A$61:$I$81,2,0)</f>
        <v>100.64102564102564</v>
      </c>
      <c r="AG28" s="13">
        <f>VLOOKUP(A28,'Données projet'!$A$61:$I$81,9,0)</f>
        <v>6.5384615384615383</v>
      </c>
      <c r="AH28" s="13">
        <f t="array" ref="AH28">INDEX(AG:AG,MIN(IF(ISNUMBER(AG28:AG224),ROW(AG28:AG224),"")))</f>
        <v>6.5384615384615383</v>
      </c>
      <c r="AI28" s="14">
        <f>IF('Données projet'!$A$62&gt;35,AI27+AH28-AQ27,IF(A28&lt;'Données projet'!$A$62,$AF$205^A28,IF(A28='Données projet'!$A$62,'Données projet'!$B$62,AI27+AH28-AQ27)))</f>
        <v>100.64102564102559</v>
      </c>
      <c r="AJ28" s="14">
        <f>AI28*VLOOKUP('Données projet'!$B$10,Paramètres!$A$1:$I$89,3,0)*VLOOKUP('Données projet'!$B$10,Paramètres!$A$1:$I$89,5,0)</f>
        <v>95.769999999999953</v>
      </c>
      <c r="AK28" s="14">
        <f t="shared" si="35"/>
        <v>25.951737515460781</v>
      </c>
      <c r="AL28" s="22">
        <f t="shared" si="4"/>
        <v>211.99869283942743</v>
      </c>
      <c r="AM28" s="62">
        <f t="shared" si="5"/>
        <v>440.03646680575957</v>
      </c>
      <c r="AN28" s="62">
        <f ca="1">AVERAGE(OFFSET($AM$3,0,0,'Données projet'!$E$10+1,1))-AVERAGE(OFFSET($H$3,0,0,'Données projet'!$E$10+1,1))</f>
        <v>400.48230125343474</v>
      </c>
      <c r="AO28" s="62">
        <f t="shared" si="36"/>
        <v>275.67023303885048</v>
      </c>
      <c r="AP28" s="16">
        <f>IF(ISNA(VLOOKUP(A28,'Données projet'!$A$61:$I$81,3,0)),0,VLOOKUP(A28,'Données projet'!$A$61:$I$81,3,0))</f>
        <v>1</v>
      </c>
      <c r="AQ28" s="16">
        <f>IF(ISNA(VLOOKUP(A28,'Données projet'!$A$61:$I$81,4,0)),0,VLOOKUP(A28,'Données projet'!$A$61:$I$81,4,0))</f>
        <v>28.846153846153847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>
        <f>EXP(-LN(2)/35)*AU27+(1-EXP(-LN(2)/35))/(LN(2)/35)*AQ28*AR28*VLOOKUP('Données projet'!$B$10,Paramètres!$A$1:$I$89,3,0)*0.475*44/12</f>
        <v>0</v>
      </c>
      <c r="AV28" s="23">
        <f>EXP(-LN(2)/25)*AV27+(1-EXP(-LN(2)/25))/(LN(2)/25)*Calculateur!AQ28*Calculateur!AS28*VLOOKUP('Données projet'!$B$10,Paramètres!$A$1:$I$89,3,0)*0.475*44/12</f>
        <v>0</v>
      </c>
      <c r="AW28" s="23">
        <f>EXP(-LN(2)/2)*AW27+(1-EXP(-LN(2)/2))/(LN(2)/2)*AQ28*AT28*VLOOKUP('Données projet'!$B$10,Paramètres!$A$1:$I$89,3,0)*0.475*44/12</f>
        <v>0</v>
      </c>
      <c r="AX28" s="23">
        <f t="shared" si="6"/>
        <v>0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>
        <f>VLOOKUP(A28,'Données projet'!$A$87:$I$107,2,0)</f>
        <v>70</v>
      </c>
      <c r="BB28" s="13">
        <f>VLOOKUP(A28,'Données projet'!$A$87:$I$107,9,0)</f>
        <v>5.6</v>
      </c>
      <c r="BC28" s="13">
        <f t="array" ref="BC28">INDEX(BB:BB,MIN(IF(ISNUMBER(BB28:BB224),ROW(BB28:BB224),"")))</f>
        <v>5.6</v>
      </c>
      <c r="BD28" s="13">
        <f>IF('Données projet'!$A$88&gt;35,BD27+BC28-BL27,IF(A28&lt;'Données projet'!$A$88,$BA$205^A28,IF(A28='Données projet'!$A$88,'Données projet'!$B$88,BD27+BC28-BL27)))</f>
        <v>70</v>
      </c>
      <c r="BE28" s="14">
        <f>BD28*VLOOKUP('Données projet'!$B$11,Paramètres!$A$1:$I$89,3,0)*VLOOKUP('Données projet'!$B$11,Paramètres!$A$1:$I$89,5,0)</f>
        <v>67.703999999999994</v>
      </c>
      <c r="BF28" s="14">
        <f t="shared" si="37"/>
        <v>19.102177882771514</v>
      </c>
      <c r="BG28" s="22">
        <f t="shared" si="7"/>
        <v>151.18742647916039</v>
      </c>
      <c r="BH28" s="62">
        <f t="shared" si="8"/>
        <v>379.22520044549253</v>
      </c>
      <c r="BI28" s="62">
        <f ca="1">AVERAGE(OFFSET($BH$3,0,0,'Données projet'!$E$11+1,1))-AVERAGE(OFFSET($H$3,0,0,'Données projet'!$E$11+1,1))</f>
        <v>496.33873798282525</v>
      </c>
      <c r="BJ28" s="62">
        <f t="shared" si="38"/>
        <v>280.25465074992246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>
        <f>EXP(-LN(2)/35)*BP27+(1-EXP(-LN(2)/35))/(LN(2)/35)*BL28*BM28*VLOOKUP('Données projet'!$B$11,Paramètres!$A$1:$I$89,3,0)*0.475*44/12</f>
        <v>0</v>
      </c>
      <c r="BQ28" s="23">
        <f>EXP(-LN(2)/25)*BQ27+(1-EXP(-LN(2)/25))/(LN(2)/25)*Calculateur!BL28*Calculateur!BN28*VLOOKUP('Données projet'!$B$11,Paramètres!$A$1:$I$89,3,0)*0.475*44/12</f>
        <v>0</v>
      </c>
      <c r="BR28" s="23">
        <f>EXP(-LN(2)/2)*BR27+(1-EXP(-LN(2)/2))/(LN(2)/2)*BL28*BO28*VLOOKUP('Données projet'!$B$11,Paramètres!$A$1:$I$89,3,0)*0.475*44/12</f>
        <v>0</v>
      </c>
      <c r="BS28" s="24">
        <f t="shared" si="9"/>
        <v>0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>
        <f>VLOOKUP(A28,'Données projet'!$A$113:$I$133,2,0)</f>
        <v>107</v>
      </c>
      <c r="BW28" s="13">
        <f>VLOOKUP(A28,'Données projet'!$A$113:$I$133,9,0)</f>
        <v>10</v>
      </c>
      <c r="BX28" s="13">
        <f t="array" ref="BX28">INDEX(BW:BW,MIN(IF(ISNUMBER(BW28:BW224),ROW(BW28:BW224),"")))</f>
        <v>10</v>
      </c>
      <c r="BY28" s="13">
        <f>IF('Données projet'!$A$114&gt;35,BY27+BX28-CG27,IF(A28&lt;'Données projet'!$A$114,$BV$205^A28,IF(A28='Données projet'!$A$114,'Données projet'!$B$114,BY27+BX28-CG27)))</f>
        <v>107</v>
      </c>
      <c r="BZ28" s="14">
        <f>BY28*VLOOKUP('Données projet'!$B$12,Paramètres!$A$1:$I$89,3,0)*VLOOKUP('Données projet'!$B$12,Paramètres!$A$1:$I$89,5,0)</f>
        <v>93.475200000000015</v>
      </c>
      <c r="CA28" s="14">
        <f t="shared" si="39"/>
        <v>25.401502539965662</v>
      </c>
      <c r="CB28" s="22">
        <f t="shared" si="10"/>
        <v>207.04359025710687</v>
      </c>
      <c r="CC28" s="62">
        <f t="shared" si="11"/>
        <v>435.08136422343898</v>
      </c>
      <c r="CD28" s="62">
        <f ca="1">AVERAGE(OFFSET($CC$3,0,0,'Données projet'!$E$12+1,1))-AVERAGE(OFFSET($H$3,0,0,'Données projet'!$E$12+1,1))</f>
        <v>298.56812743477741</v>
      </c>
      <c r="CE28" s="62">
        <f t="shared" si="40"/>
        <v>276.01618888357268</v>
      </c>
      <c r="CF28" s="16">
        <f>IF(ISNA(VLOOKUP(A28,'Données projet'!$A$113:$I$133,3,0)),0,VLOOKUP(A28,'Données projet'!$A$113:$I$133,3,0))</f>
        <v>1</v>
      </c>
      <c r="CG28" s="16">
        <f>IF(ISNA(VLOOKUP(A28,'Données projet'!$A$113:$I$133,4,0)),0,VLOOKUP(A28,'Données projet'!$A$113:$I$133,4,0))</f>
        <v>42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>
        <f>EXP(-LN(2)/35)*CK27+(1-EXP(-LN(2)/35))/(LN(2)/35)*CG28*CH28*VLOOKUP('Données projet'!$B$12,Paramètres!$A$1:$I$89,3,0)*0.475*44/12</f>
        <v>0</v>
      </c>
      <c r="CL28" s="23">
        <f>EXP(-LN(2)/25)*CL27+(1-EXP(-LN(2)/25))/(LN(2)/25)*Calculateur!CG28*Calculateur!CI28*VLOOKUP('Données projet'!$B$12,Paramètres!$A$1:$I$89,3,0)*0.475*44/12</f>
        <v>0</v>
      </c>
      <c r="CM28" s="23">
        <f>EXP(-LN(2)/2)*CM27+(1-EXP(-LN(2)/2))/(LN(2)/2)*CG28*CJ28*VLOOKUP('Données projet'!$B$12,Paramètres!$A$1:$I$89,3,0)*0.475*44/12</f>
        <v>0</v>
      </c>
      <c r="CN28" s="24">
        <f t="shared" si="12"/>
        <v>0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>
        <f>VLOOKUP(A28,'Données projet'!$A$139:$I$159,2,0)</f>
        <v>133.33333333333334</v>
      </c>
      <c r="CR28" s="13">
        <f>VLOOKUP(A28,'Données projet'!$A$139:$I$159,9,0)</f>
        <v>8.4615384615384635</v>
      </c>
      <c r="CS28" s="13">
        <f t="array" ref="CS28">INDEX(CR:CR,MIN(IF(ISNUMBER(CR28:CR224),ROW(CR28:CR224),"")))</f>
        <v>8.4615384615384635</v>
      </c>
      <c r="CT28" s="13">
        <f>IF('Données projet'!$A$140&gt;35,CT27+CS28-DB27,IF(A28&lt;'Données projet'!$A$140,$CQ$205^A28,IF(A28='Données projet'!$A$140,'Données projet'!$B$140,CT27+CS28-DB27)))</f>
        <v>133.33333333333334</v>
      </c>
      <c r="CU28" s="18">
        <f>CT28*VLOOKUP('Données projet'!$B$13,Paramètres!$A$1:$I$89,3,0)*VLOOKUP('Données projet'!$B$13,Paramètres!$A$1:$I$89,5,0)</f>
        <v>89.440000000000012</v>
      </c>
      <c r="CV28" s="14">
        <f t="shared" si="41"/>
        <v>24.430117455867048</v>
      </c>
      <c r="CW28" s="22">
        <f t="shared" si="13"/>
        <v>198.3237879023018</v>
      </c>
      <c r="CX28" s="62">
        <f t="shared" si="14"/>
        <v>426.36156186863388</v>
      </c>
      <c r="CY28" s="62">
        <f ca="1">AVERAGE(OFFSET($CX$3,0,0,'Données projet'!$E$13+1,1))-AVERAGE(OFFSET($H$3,0,0,'Données projet'!$E$13+1,1))</f>
        <v>346.82725381974132</v>
      </c>
      <c r="CZ28" s="62">
        <f t="shared" si="42"/>
        <v>254.09787950201044</v>
      </c>
      <c r="DA28" s="16">
        <f>IF(ISNA(VLOOKUP(A28,'Données projet'!$A$139:$I$159,3,0)),0,VLOOKUP(A28,'Données projet'!$A$139:$I$159,3,0))</f>
        <v>1</v>
      </c>
      <c r="DB28" s="16">
        <f>IF(ISNA(VLOOKUP(A28,'Données projet'!$A$139:$I$159,4,0)),0,VLOOKUP(A28,'Données projet'!$A$139:$I$159,4,0))</f>
        <v>40.38461538461538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>
        <f>EXP(-LN(2)/35)*DF27+(1-EXP(-LN(2)/35))/(LN(2)/35)*DB28*DC28*VLOOKUP('Données projet'!$B$13,Paramètres!$A$1:$I$89,3,0)*0.475*44/12</f>
        <v>0</v>
      </c>
      <c r="DG28" s="23">
        <f>EXP(-LN(2)/25)*DG27+(1-EXP(-LN(2)/25))/(LN(2)/25)*Calculateur!DB28*Calculateur!DD28*VLOOKUP('Données projet'!$B$13,Paramètres!$A$1:$I$89,3,0)*0.475*44/12</f>
        <v>0</v>
      </c>
      <c r="DH28" s="23">
        <f>EXP(-LN(2)/2)*DH27+(1-EXP(-LN(2)/2))/(LN(2)/2)*DB28*DE28*VLOOKUP('Données projet'!$B$13,Paramètres!$A$1:$I$89,3,0)*0.475*44/12</f>
        <v>0</v>
      </c>
      <c r="DI28" s="24">
        <f t="shared" si="15"/>
        <v>0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5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2">
        <f t="shared" si="32"/>
        <v>0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18.333333333333332</v>
      </c>
      <c r="H29" s="70">
        <f t="shared" si="1"/>
        <v>183.33333333333334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7</v>
      </c>
      <c r="N29" s="14">
        <f>IF('Données projet'!$A$36&gt;35,N28+M29-V28,IF(A29&lt;'Données projet'!$A$36,$K$205^A29,IF(A29='Données projet'!$A$36,'Données projet'!$B$36,N28+M29-V28)))</f>
        <v>77</v>
      </c>
      <c r="O29" s="14">
        <f>N29*VLOOKUP('Données projet'!$B$9,Paramètres!$A$1:$I$89,3,0)*VLOOKUP('Données projet'!$B$9,Paramètres!$A$1:$I$89,5,0)</f>
        <v>69.669600000000003</v>
      </c>
      <c r="P29" s="14">
        <f t="shared" si="33"/>
        <v>19.591385027476957</v>
      </c>
      <c r="Q29" s="22">
        <f t="shared" si="2"/>
        <v>155.46288225618903</v>
      </c>
      <c r="R29" s="62">
        <f t="shared" si="0"/>
        <v>385.74959630537921</v>
      </c>
      <c r="S29" s="62">
        <f ca="1">AVERAGE(OFFSET($R$3,0,0,'Données projet'!$E$9+1,1))-AVERAGE(OFFSET($H$3,0,0,'Données projet'!$E$9+1,1))</f>
        <v>469.67944008675863</v>
      </c>
      <c r="T29" s="62">
        <f t="shared" si="34"/>
        <v>266.11908070867173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0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0</v>
      </c>
      <c r="AC29" s="24">
        <f t="shared" si="3"/>
        <v>0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6.5384615384615383</v>
      </c>
      <c r="AI29" s="14">
        <f>IF('Données projet'!$A$62&gt;35,AI28+AH29-AQ28,IF(A29&lt;'Données projet'!$A$62,$AF$205^A29,IF(A29='Données projet'!$A$62,'Données projet'!$B$62,AI28+AH29-AQ28)))</f>
        <v>78.333333333333286</v>
      </c>
      <c r="AJ29" s="14">
        <f>AI29*VLOOKUP('Données projet'!$B$10,Paramètres!$A$1:$I$89,3,0)*VLOOKUP('Données projet'!$B$10,Paramètres!$A$1:$I$89,5,0)</f>
        <v>74.541999999999959</v>
      </c>
      <c r="AK29" s="14">
        <f t="shared" si="35"/>
        <v>20.797236217950161</v>
      </c>
      <c r="AL29" s="22">
        <f t="shared" si="4"/>
        <v>166.04916974626312</v>
      </c>
      <c r="AM29" s="62">
        <f t="shared" si="5"/>
        <v>396.3358837954533</v>
      </c>
      <c r="AN29" s="62">
        <f ca="1">AVERAGE(OFFSET($AM$3,0,0,'Données projet'!$E$10+1,1))-AVERAGE(OFFSET($H$3,0,0,'Données projet'!$E$10+1,1))</f>
        <v>400.48230125343474</v>
      </c>
      <c r="AO29" s="62">
        <f t="shared" si="36"/>
        <v>275.67023303885048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0</v>
      </c>
      <c r="AV29" s="23">
        <f>EXP(-LN(2)/25)*AV28+(1-EXP(-LN(2)/25))/(LN(2)/25)*Calculateur!AQ29*Calculateur!AS29*VLOOKUP('Données projet'!$B$10,Paramètres!$A$1:$I$89,3,0)*0.475*44/12</f>
        <v>0</v>
      </c>
      <c r="AW29" s="23">
        <f>EXP(-LN(2)/2)*AW28+(1-EXP(-LN(2)/2))/(LN(2)/2)*AQ29*AT29*VLOOKUP('Données projet'!$B$10,Paramètres!$A$1:$I$89,3,0)*0.475*44/12</f>
        <v>0</v>
      </c>
      <c r="AX29" s="23">
        <f t="shared" si="6"/>
        <v>0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7</v>
      </c>
      <c r="BD29" s="13">
        <f>IF('Données projet'!$A$88&gt;35,BD28+BC29-BL28,IF(A29&lt;'Données projet'!$A$88,$BA$205^A29,IF(A29='Données projet'!$A$88,'Données projet'!$B$88,BD28+BC29-BL28)))</f>
        <v>77</v>
      </c>
      <c r="BE29" s="14">
        <f>BD29*VLOOKUP('Données projet'!$B$11,Paramètres!$A$1:$I$89,3,0)*VLOOKUP('Données projet'!$B$11,Paramètres!$A$1:$I$89,5,0)</f>
        <v>74.474400000000003</v>
      </c>
      <c r="BF29" s="14">
        <f t="shared" si="37"/>
        <v>20.780570274034375</v>
      </c>
      <c r="BG29" s="22">
        <f t="shared" si="7"/>
        <v>165.90240656060988</v>
      </c>
      <c r="BH29" s="62">
        <f t="shared" si="8"/>
        <v>396.18912060980006</v>
      </c>
      <c r="BI29" s="62">
        <f ca="1">AVERAGE(OFFSET($BH$3,0,0,'Données projet'!$E$11+1,1))-AVERAGE(OFFSET($H$3,0,0,'Données projet'!$E$11+1,1))</f>
        <v>496.33873798282525</v>
      </c>
      <c r="BJ29" s="62">
        <f t="shared" si="38"/>
        <v>280.25465074992246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>
        <f>EXP(-LN(2)/35)*BP28+(1-EXP(-LN(2)/35))/(LN(2)/35)*BL29*BM29*VLOOKUP('Données projet'!$B$11,Paramètres!$A$1:$I$89,3,0)*0.475*44/12</f>
        <v>0</v>
      </c>
      <c r="BQ29" s="23">
        <f>EXP(-LN(2)/25)*BQ28+(1-EXP(-LN(2)/25))/(LN(2)/25)*Calculateur!BL29*Calculateur!BN29*VLOOKUP('Données projet'!$B$11,Paramètres!$A$1:$I$89,3,0)*0.475*44/12</f>
        <v>0</v>
      </c>
      <c r="BR29" s="23">
        <f>EXP(-LN(2)/2)*BR28+(1-EXP(-LN(2)/2))/(LN(2)/2)*BL29*BO29*VLOOKUP('Données projet'!$B$11,Paramètres!$A$1:$I$89,3,0)*0.475*44/12</f>
        <v>0</v>
      </c>
      <c r="BS29" s="24">
        <f t="shared" si="9"/>
        <v>0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9.8000000000000007</v>
      </c>
      <c r="BY29" s="13">
        <f>IF('Données projet'!$A$114&gt;35,BY28+BX29-CG28,IF(A29&lt;'Données projet'!$A$114,$BV$205^A29,IF(A29='Données projet'!$A$114,'Données projet'!$B$114,BY28+BX29-CG28)))</f>
        <v>74.8</v>
      </c>
      <c r="BZ29" s="14">
        <f>BY29*VLOOKUP('Données projet'!$B$12,Paramètres!$A$1:$I$89,3,0)*VLOOKUP('Données projet'!$B$12,Paramètres!$A$1:$I$89,5,0)</f>
        <v>65.345280000000017</v>
      </c>
      <c r="CA29" s="14">
        <f t="shared" si="39"/>
        <v>18.512938248561991</v>
      </c>
      <c r="CB29" s="22">
        <f t="shared" si="10"/>
        <v>146.05306344957884</v>
      </c>
      <c r="CC29" s="62">
        <f t="shared" si="11"/>
        <v>376.33977749876902</v>
      </c>
      <c r="CD29" s="62">
        <f ca="1">AVERAGE(OFFSET($CC$3,0,0,'Données projet'!$E$12+1,1))-AVERAGE(OFFSET($H$3,0,0,'Données projet'!$E$12+1,1))</f>
        <v>298.56812743477741</v>
      </c>
      <c r="CE29" s="62">
        <f t="shared" si="40"/>
        <v>276.01618888357268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>
        <f>EXP(-LN(2)/35)*CK28+(1-EXP(-LN(2)/35))/(LN(2)/35)*CG29*CH29*VLOOKUP('Données projet'!$B$12,Paramètres!$A$1:$I$89,3,0)*0.475*44/12</f>
        <v>0</v>
      </c>
      <c r="CL29" s="23">
        <f>EXP(-LN(2)/25)*CL28+(1-EXP(-LN(2)/25))/(LN(2)/25)*Calculateur!CG29*Calculateur!CI29*VLOOKUP('Données projet'!$B$12,Paramètres!$A$1:$I$89,3,0)*0.475*44/12</f>
        <v>0</v>
      </c>
      <c r="CM29" s="23">
        <f>EXP(-LN(2)/2)*CM28+(1-EXP(-LN(2)/2))/(LN(2)/2)*CG29*CJ29*VLOOKUP('Données projet'!$B$12,Paramètres!$A$1:$I$89,3,0)*0.475*44/12</f>
        <v>0</v>
      </c>
      <c r="CN29" s="24">
        <f t="shared" si="12"/>
        <v>0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8.0769230769230766</v>
      </c>
      <c r="CT29" s="13">
        <f>IF('Données projet'!$A$140&gt;35,CT28+CS29-DB28,IF(A29&lt;'Données projet'!$A$140,$CQ$205^A29,IF(A29='Données projet'!$A$140,'Données projet'!$B$140,CT28+CS29-DB28)))</f>
        <v>101.02564102564102</v>
      </c>
      <c r="CU29" s="18">
        <f>CT29*VLOOKUP('Données projet'!$B$13,Paramètres!$A$1:$I$89,3,0)*VLOOKUP('Données projet'!$B$13,Paramètres!$A$1:$I$89,5,0)</f>
        <v>67.768000000000001</v>
      </c>
      <c r="CV29" s="14">
        <f t="shared" si="41"/>
        <v>19.118132278240573</v>
      </c>
      <c r="CW29" s="22">
        <f t="shared" si="13"/>
        <v>151.32668038460233</v>
      </c>
      <c r="CX29" s="62">
        <f t="shared" si="14"/>
        <v>381.61339443379251</v>
      </c>
      <c r="CY29" s="62">
        <f ca="1">AVERAGE(OFFSET($CX$3,0,0,'Données projet'!$E$13+1,1))-AVERAGE(OFFSET($H$3,0,0,'Données projet'!$E$13+1,1))</f>
        <v>346.82725381974132</v>
      </c>
      <c r="CZ29" s="62">
        <f t="shared" si="42"/>
        <v>254.09787950201044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>
        <f>EXP(-LN(2)/35)*DF28+(1-EXP(-LN(2)/35))/(LN(2)/35)*DB29*DC29*VLOOKUP('Données projet'!$B$13,Paramètres!$A$1:$I$89,3,0)*0.475*44/12</f>
        <v>0</v>
      </c>
      <c r="DG29" s="23">
        <f>EXP(-LN(2)/25)*DG28+(1-EXP(-LN(2)/25))/(LN(2)/25)*Calculateur!DB29*Calculateur!DD29*VLOOKUP('Données projet'!$B$13,Paramètres!$A$1:$I$89,3,0)*0.475*44/12</f>
        <v>0</v>
      </c>
      <c r="DH29" s="23">
        <f>EXP(-LN(2)/2)*DH28+(1-EXP(-LN(2)/2))/(LN(2)/2)*DB29*DE29*VLOOKUP('Données projet'!$B$13,Paramètres!$A$1:$I$89,3,0)*0.475*44/12</f>
        <v>0</v>
      </c>
      <c r="DI29" s="24">
        <f t="shared" si="15"/>
        <v>0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5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2">
        <f t="shared" si="32"/>
        <v>0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18.333333333333332</v>
      </c>
      <c r="H30" s="70">
        <f t="shared" si="1"/>
        <v>183.33333333333334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7</v>
      </c>
      <c r="N30" s="14">
        <f>IF('Données projet'!$A$36&gt;35,N29+M30-V29,IF(A30&lt;'Données projet'!$A$36,$K$205^A30,IF(A30='Données projet'!$A$36,'Données projet'!$B$36,N29+M30-V29)))</f>
        <v>84</v>
      </c>
      <c r="O30" s="14">
        <f>N30*VLOOKUP('Données projet'!$B$9,Paramètres!$A$1:$I$89,3,0)*VLOOKUP('Données projet'!$B$9,Paramètres!$A$1:$I$89,5,0)</f>
        <v>76.003200000000007</v>
      </c>
      <c r="P30" s="14">
        <f t="shared" si="33"/>
        <v>21.157049992000456</v>
      </c>
      <c r="Q30" s="22">
        <f t="shared" si="2"/>
        <v>169.22076873606747</v>
      </c>
      <c r="R30" s="62">
        <f t="shared" si="0"/>
        <v>401.738611608631</v>
      </c>
      <c r="S30" s="62">
        <f ca="1">AVERAGE(OFFSET($R$3,0,0,'Données projet'!$E$9+1,1))-AVERAGE(OFFSET($H$3,0,0,'Données projet'!$E$9+1,1))</f>
        <v>469.67944008675863</v>
      </c>
      <c r="T30" s="62">
        <f t="shared" si="34"/>
        <v>266.11908070867173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0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0</v>
      </c>
      <c r="AC30" s="24">
        <f t="shared" si="3"/>
        <v>0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6.5384615384615383</v>
      </c>
      <c r="AI30" s="14">
        <f>IF('Données projet'!$A$62&gt;35,AI29+AH30-AQ29,IF(A30&lt;'Données projet'!$A$62,$AF$205^A30,IF(A30='Données projet'!$A$62,'Données projet'!$B$62,AI29+AH30-AQ29)))</f>
        <v>84.871794871794819</v>
      </c>
      <c r="AJ30" s="14">
        <f>AI30*VLOOKUP('Données projet'!$B$10,Paramètres!$A$1:$I$89,3,0)*VLOOKUP('Données projet'!$B$10,Paramètres!$A$1:$I$89,5,0)</f>
        <v>80.763999999999953</v>
      </c>
      <c r="AK30" s="14">
        <f t="shared" si="35"/>
        <v>22.323882641197464</v>
      </c>
      <c r="AL30" s="22">
        <f t="shared" si="4"/>
        <v>179.54472893341881</v>
      </c>
      <c r="AM30" s="62">
        <f t="shared" si="5"/>
        <v>412.06257180598232</v>
      </c>
      <c r="AN30" s="62">
        <f ca="1">AVERAGE(OFFSET($AM$3,0,0,'Données projet'!$E$10+1,1))-AVERAGE(OFFSET($H$3,0,0,'Données projet'!$E$10+1,1))</f>
        <v>400.48230125343474</v>
      </c>
      <c r="AO30" s="62">
        <f t="shared" si="36"/>
        <v>275.67023303885048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0</v>
      </c>
      <c r="AV30" s="23">
        <f>EXP(-LN(2)/25)*AV29+(1-EXP(-LN(2)/25))/(LN(2)/25)*Calculateur!AQ30*Calculateur!AS30*VLOOKUP('Données projet'!$B$10,Paramètres!$A$1:$I$89,3,0)*0.475*44/12</f>
        <v>0</v>
      </c>
      <c r="AW30" s="23">
        <f>EXP(-LN(2)/2)*AW29+(1-EXP(-LN(2)/2))/(LN(2)/2)*AQ30*AT30*VLOOKUP('Données projet'!$B$10,Paramètres!$A$1:$I$89,3,0)*0.475*44/12</f>
        <v>0</v>
      </c>
      <c r="AX30" s="23">
        <f t="shared" si="6"/>
        <v>0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7</v>
      </c>
      <c r="BD30" s="13">
        <f>IF('Données projet'!$A$88&gt;35,BD29+BC30-BL29,IF(A30&lt;'Données projet'!$A$88,$BA$205^A30,IF(A30='Données projet'!$A$88,'Données projet'!$B$88,BD29+BC30-BL29)))</f>
        <v>84</v>
      </c>
      <c r="BE30" s="14">
        <f>BD30*VLOOKUP('Données projet'!$B$11,Paramètres!$A$1:$I$89,3,0)*VLOOKUP('Données projet'!$B$11,Paramètres!$A$1:$I$89,5,0)</f>
        <v>81.244799999999998</v>
      </c>
      <c r="BF30" s="14">
        <f t="shared" si="37"/>
        <v>22.441270156928962</v>
      </c>
      <c r="BG30" s="22">
        <f t="shared" si="7"/>
        <v>180.58657218998462</v>
      </c>
      <c r="BH30" s="62">
        <f t="shared" si="8"/>
        <v>413.10441506254813</v>
      </c>
      <c r="BI30" s="62">
        <f ca="1">AVERAGE(OFFSET($BH$3,0,0,'Données projet'!$E$11+1,1))-AVERAGE(OFFSET($H$3,0,0,'Données projet'!$E$11+1,1))</f>
        <v>496.33873798282525</v>
      </c>
      <c r="BJ30" s="62">
        <f t="shared" si="38"/>
        <v>280.25465074992246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>
        <f>EXP(-LN(2)/35)*BP29+(1-EXP(-LN(2)/35))/(LN(2)/35)*BL30*BM30*VLOOKUP('Données projet'!$B$11,Paramètres!$A$1:$I$89,3,0)*0.475*44/12</f>
        <v>0</v>
      </c>
      <c r="BQ30" s="23">
        <f>EXP(-LN(2)/25)*BQ29+(1-EXP(-LN(2)/25))/(LN(2)/25)*Calculateur!BL30*Calculateur!BN30*VLOOKUP('Données projet'!$B$11,Paramètres!$A$1:$I$89,3,0)*0.475*44/12</f>
        <v>0</v>
      </c>
      <c r="BR30" s="23">
        <f>EXP(-LN(2)/2)*BR29+(1-EXP(-LN(2)/2))/(LN(2)/2)*BL30*BO30*VLOOKUP('Données projet'!$B$11,Paramètres!$A$1:$I$89,3,0)*0.475*44/12</f>
        <v>0</v>
      </c>
      <c r="BS30" s="24">
        <f t="shared" si="9"/>
        <v>0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9.8000000000000007</v>
      </c>
      <c r="BY30" s="13">
        <f>IF('Données projet'!$A$114&gt;35,BY29+BX30-CG29,IF(A30&lt;'Données projet'!$A$114,$BV$205^A30,IF(A30='Données projet'!$A$114,'Données projet'!$B$114,BY29+BX30-CG29)))</f>
        <v>84.6</v>
      </c>
      <c r="BZ30" s="14">
        <f>BY30*VLOOKUP('Données projet'!$B$12,Paramètres!$A$1:$I$89,3,0)*VLOOKUP('Données projet'!$B$12,Paramètres!$A$1:$I$89,5,0)</f>
        <v>73.906560000000013</v>
      </c>
      <c r="CA30" s="14">
        <f t="shared" si="39"/>
        <v>20.640506648584481</v>
      </c>
      <c r="CB30" s="22">
        <f t="shared" si="10"/>
        <v>164.6694744129513</v>
      </c>
      <c r="CC30" s="62">
        <f t="shared" si="11"/>
        <v>397.18731728551484</v>
      </c>
      <c r="CD30" s="62">
        <f ca="1">AVERAGE(OFFSET($CC$3,0,0,'Données projet'!$E$12+1,1))-AVERAGE(OFFSET($H$3,0,0,'Données projet'!$E$12+1,1))</f>
        <v>298.56812743477741</v>
      </c>
      <c r="CE30" s="62">
        <f t="shared" si="40"/>
        <v>276.01618888357268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>
        <f>EXP(-LN(2)/35)*CK29+(1-EXP(-LN(2)/35))/(LN(2)/35)*CG30*CH30*VLOOKUP('Données projet'!$B$12,Paramètres!$A$1:$I$89,3,0)*0.475*44/12</f>
        <v>0</v>
      </c>
      <c r="CL30" s="23">
        <f>EXP(-LN(2)/25)*CL29+(1-EXP(-LN(2)/25))/(LN(2)/25)*Calculateur!CG30*Calculateur!CI30*VLOOKUP('Données projet'!$B$12,Paramètres!$A$1:$I$89,3,0)*0.475*44/12</f>
        <v>0</v>
      </c>
      <c r="CM30" s="23">
        <f>EXP(-LN(2)/2)*CM29+(1-EXP(-LN(2)/2))/(LN(2)/2)*CG30*CJ30*VLOOKUP('Données projet'!$B$12,Paramètres!$A$1:$I$89,3,0)*0.475*44/12</f>
        <v>0</v>
      </c>
      <c r="CN30" s="24">
        <f t="shared" si="12"/>
        <v>0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8.0769230769230766</v>
      </c>
      <c r="CT30" s="13">
        <f>IF('Données projet'!$A$140&gt;35,CT29+CS30-DB29,IF(A30&lt;'Données projet'!$A$140,$CQ$205^A30,IF(A30='Données projet'!$A$140,'Données projet'!$B$140,CT29+CS30-DB29)))</f>
        <v>109.1025641025641</v>
      </c>
      <c r="CU30" s="18">
        <f>CT30*VLOOKUP('Données projet'!$B$13,Paramètres!$A$1:$I$89,3,0)*VLOOKUP('Données projet'!$B$13,Paramètres!$A$1:$I$89,5,0)</f>
        <v>73.186000000000007</v>
      </c>
      <c r="CV30" s="14">
        <f t="shared" si="41"/>
        <v>20.462592502396515</v>
      </c>
      <c r="CW30" s="22">
        <f t="shared" si="13"/>
        <v>163.10463194167394</v>
      </c>
      <c r="CX30" s="62">
        <f t="shared" si="14"/>
        <v>395.62247481423742</v>
      </c>
      <c r="CY30" s="62">
        <f ca="1">AVERAGE(OFFSET($CX$3,0,0,'Données projet'!$E$13+1,1))-AVERAGE(OFFSET($H$3,0,0,'Données projet'!$E$13+1,1))</f>
        <v>346.82725381974132</v>
      </c>
      <c r="CZ30" s="62">
        <f t="shared" si="42"/>
        <v>254.09787950201044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>
        <f>EXP(-LN(2)/35)*DF29+(1-EXP(-LN(2)/35))/(LN(2)/35)*DB30*DC30*VLOOKUP('Données projet'!$B$13,Paramètres!$A$1:$I$89,3,0)*0.475*44/12</f>
        <v>0</v>
      </c>
      <c r="DG30" s="23">
        <f>EXP(-LN(2)/25)*DG29+(1-EXP(-LN(2)/25))/(LN(2)/25)*Calculateur!DB30*Calculateur!DD30*VLOOKUP('Données projet'!$B$13,Paramètres!$A$1:$I$89,3,0)*0.475*44/12</f>
        <v>0</v>
      </c>
      <c r="DH30" s="23">
        <f>EXP(-LN(2)/2)*DH29+(1-EXP(-LN(2)/2))/(LN(2)/2)*DB30*DE30*VLOOKUP('Données projet'!$B$13,Paramètres!$A$1:$I$89,3,0)*0.475*44/12</f>
        <v>0</v>
      </c>
      <c r="DI30" s="24">
        <f t="shared" si="15"/>
        <v>0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5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2">
        <f t="shared" si="32"/>
        <v>0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18.333333333333332</v>
      </c>
      <c r="H31" s="70">
        <f t="shared" si="1"/>
        <v>183.33333333333334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7</v>
      </c>
      <c r="N31" s="14">
        <f>IF('Données projet'!$A$36&gt;35,N30+M31-V30,IF(A31&lt;'Données projet'!$A$36,$K$205^A31,IF(A31='Données projet'!$A$36,'Données projet'!$B$36,N30+M31-V30)))</f>
        <v>91</v>
      </c>
      <c r="O31" s="14">
        <f>N31*VLOOKUP('Données projet'!$B$9,Paramètres!$A$1:$I$89,3,0)*VLOOKUP('Données projet'!$B$9,Paramètres!$A$1:$I$89,5,0)</f>
        <v>82.336799999999997</v>
      </c>
      <c r="P31" s="14">
        <f t="shared" si="33"/>
        <v>22.707582950885364</v>
      </c>
      <c r="Q31" s="22">
        <f t="shared" si="2"/>
        <v>182.95230030612535</v>
      </c>
      <c r="R31" s="62">
        <f t="shared" si="0"/>
        <v>417.68376972810944</v>
      </c>
      <c r="S31" s="62">
        <f ca="1">AVERAGE(OFFSET($R$3,0,0,'Données projet'!$E$9+1,1))-AVERAGE(OFFSET($H$3,0,0,'Données projet'!$E$9+1,1))</f>
        <v>469.67944008675863</v>
      </c>
      <c r="T31" s="62">
        <f t="shared" si="34"/>
        <v>266.11908070867173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0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0</v>
      </c>
      <c r="AC31" s="24">
        <f t="shared" si="3"/>
        <v>0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6.5384615384615383</v>
      </c>
      <c r="AI31" s="14">
        <f>IF('Données projet'!$A$62&gt;35,AI30+AH31-AQ30,IF(A31&lt;'Données projet'!$A$62,$AF$205^A31,IF(A31='Données projet'!$A$62,'Données projet'!$B$62,AI30+AH31-AQ30)))</f>
        <v>91.410256410256352</v>
      </c>
      <c r="AJ31" s="14">
        <f>AI31*VLOOKUP('Données projet'!$B$10,Paramètres!$A$1:$I$89,3,0)*VLOOKUP('Données projet'!$B$10,Paramètres!$A$1:$I$89,5,0)</f>
        <v>86.985999999999947</v>
      </c>
      <c r="AK31" s="14">
        <f t="shared" si="35"/>
        <v>23.836886019918609</v>
      </c>
      <c r="AL31" s="22">
        <f t="shared" si="4"/>
        <v>193.01652648469147</v>
      </c>
      <c r="AM31" s="62">
        <f t="shared" si="5"/>
        <v>427.74799590667556</v>
      </c>
      <c r="AN31" s="62">
        <f ca="1">AVERAGE(OFFSET($AM$3,0,0,'Données projet'!$E$10+1,1))-AVERAGE(OFFSET($H$3,0,0,'Données projet'!$E$10+1,1))</f>
        <v>400.48230125343474</v>
      </c>
      <c r="AO31" s="62">
        <f t="shared" si="36"/>
        <v>275.67023303885048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0</v>
      </c>
      <c r="AV31" s="23">
        <f>EXP(-LN(2)/25)*AV30+(1-EXP(-LN(2)/25))/(LN(2)/25)*Calculateur!AQ31*Calculateur!AS31*VLOOKUP('Données projet'!$B$10,Paramètres!$A$1:$I$89,3,0)*0.475*44/12</f>
        <v>0</v>
      </c>
      <c r="AW31" s="23">
        <f>EXP(-LN(2)/2)*AW30+(1-EXP(-LN(2)/2))/(LN(2)/2)*AQ31*AT31*VLOOKUP('Données projet'!$B$10,Paramètres!$A$1:$I$89,3,0)*0.475*44/12</f>
        <v>0</v>
      </c>
      <c r="AX31" s="23">
        <f t="shared" si="6"/>
        <v>0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7</v>
      </c>
      <c r="BD31" s="13">
        <f>IF('Données projet'!$A$88&gt;35,BD30+BC31-BL30,IF(A31&lt;'Données projet'!$A$88,$BA$205^A31,IF(A31='Données projet'!$A$88,'Données projet'!$B$88,BD30+BC31-BL30)))</f>
        <v>91</v>
      </c>
      <c r="BE31" s="14">
        <f>BD31*VLOOKUP('Données projet'!$B$11,Paramètres!$A$1:$I$89,3,0)*VLOOKUP('Données projet'!$B$11,Paramètres!$A$1:$I$89,5,0)</f>
        <v>88.015200000000007</v>
      </c>
      <c r="BF31" s="14">
        <f t="shared" si="37"/>
        <v>24.085919530575829</v>
      </c>
      <c r="BG31" s="22">
        <f t="shared" si="7"/>
        <v>195.24278318241954</v>
      </c>
      <c r="BH31" s="62">
        <f t="shared" si="8"/>
        <v>429.97425260440366</v>
      </c>
      <c r="BI31" s="62">
        <f ca="1">AVERAGE(OFFSET($BH$3,0,0,'Données projet'!$E$11+1,1))-AVERAGE(OFFSET($H$3,0,0,'Données projet'!$E$11+1,1))</f>
        <v>496.33873798282525</v>
      </c>
      <c r="BJ31" s="62">
        <f t="shared" si="38"/>
        <v>280.25465074992246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>
        <f>EXP(-LN(2)/35)*BP30+(1-EXP(-LN(2)/35))/(LN(2)/35)*BL31*BM31*VLOOKUP('Données projet'!$B$11,Paramètres!$A$1:$I$89,3,0)*0.475*44/12</f>
        <v>0</v>
      </c>
      <c r="BQ31" s="23">
        <f>EXP(-LN(2)/25)*BQ30+(1-EXP(-LN(2)/25))/(LN(2)/25)*Calculateur!BL31*Calculateur!BN31*VLOOKUP('Données projet'!$B$11,Paramètres!$A$1:$I$89,3,0)*0.475*44/12</f>
        <v>0</v>
      </c>
      <c r="BR31" s="23">
        <f>EXP(-LN(2)/2)*BR30+(1-EXP(-LN(2)/2))/(LN(2)/2)*BL31*BO31*VLOOKUP('Données projet'!$B$11,Paramètres!$A$1:$I$89,3,0)*0.475*44/12</f>
        <v>0</v>
      </c>
      <c r="BS31" s="24">
        <f t="shared" si="9"/>
        <v>0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9.8000000000000007</v>
      </c>
      <c r="BY31" s="13">
        <f>IF('Données projet'!$A$114&gt;35,BY30+BX31-CG30,IF(A31&lt;'Données projet'!$A$114,$BV$205^A31,IF(A31='Données projet'!$A$114,'Données projet'!$B$114,BY30+BX31-CG30)))</f>
        <v>94.399999999999991</v>
      </c>
      <c r="BZ31" s="14">
        <f>BY31*VLOOKUP('Données projet'!$B$12,Paramètres!$A$1:$I$89,3,0)*VLOOKUP('Données projet'!$B$12,Paramètres!$A$1:$I$89,5,0)</f>
        <v>82.467839999999995</v>
      </c>
      <c r="CA31" s="14">
        <f t="shared" si="39"/>
        <v>22.739512759227473</v>
      </c>
      <c r="CB31" s="22">
        <f t="shared" si="10"/>
        <v>183.23613938898782</v>
      </c>
      <c r="CC31" s="62">
        <f t="shared" si="11"/>
        <v>417.96760881097191</v>
      </c>
      <c r="CD31" s="62">
        <f ca="1">AVERAGE(OFFSET($CC$3,0,0,'Données projet'!$E$12+1,1))-AVERAGE(OFFSET($H$3,0,0,'Données projet'!$E$12+1,1))</f>
        <v>298.56812743477741</v>
      </c>
      <c r="CE31" s="62">
        <f t="shared" si="40"/>
        <v>276.01618888357268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>
        <f>EXP(-LN(2)/35)*CK30+(1-EXP(-LN(2)/35))/(LN(2)/35)*CG31*CH31*VLOOKUP('Données projet'!$B$12,Paramètres!$A$1:$I$89,3,0)*0.475*44/12</f>
        <v>0</v>
      </c>
      <c r="CL31" s="23">
        <f>EXP(-LN(2)/25)*CL30+(1-EXP(-LN(2)/25))/(LN(2)/25)*Calculateur!CG31*Calculateur!CI31*VLOOKUP('Données projet'!$B$12,Paramètres!$A$1:$I$89,3,0)*0.475*44/12</f>
        <v>0</v>
      </c>
      <c r="CM31" s="23">
        <f>EXP(-LN(2)/2)*CM30+(1-EXP(-LN(2)/2))/(LN(2)/2)*CG31*CJ31*VLOOKUP('Données projet'!$B$12,Paramètres!$A$1:$I$89,3,0)*0.475*44/12</f>
        <v>0</v>
      </c>
      <c r="CN31" s="24">
        <f t="shared" si="12"/>
        <v>0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8.0769230769230766</v>
      </c>
      <c r="CT31" s="13">
        <f>IF('Données projet'!$A$140&gt;35,CT30+CS31-DB30,IF(A31&lt;'Données projet'!$A$140,$CQ$205^A31,IF(A31='Données projet'!$A$140,'Données projet'!$B$140,CT30+CS31-DB30)))</f>
        <v>117.17948717948718</v>
      </c>
      <c r="CU31" s="18">
        <f>CT31*VLOOKUP('Données projet'!$B$13,Paramètres!$A$1:$I$89,3,0)*VLOOKUP('Données projet'!$B$13,Paramètres!$A$1:$I$89,5,0)</f>
        <v>78.603999999999999</v>
      </c>
      <c r="CV31" s="14">
        <f t="shared" si="41"/>
        <v>21.795505948627731</v>
      </c>
      <c r="CW31" s="22">
        <f t="shared" si="13"/>
        <v>174.86247286052662</v>
      </c>
      <c r="CX31" s="62">
        <f t="shared" si="14"/>
        <v>409.59394228251074</v>
      </c>
      <c r="CY31" s="62">
        <f ca="1">AVERAGE(OFFSET($CX$3,0,0,'Données projet'!$E$13+1,1))-AVERAGE(OFFSET($H$3,0,0,'Données projet'!$E$13+1,1))</f>
        <v>346.82725381974132</v>
      </c>
      <c r="CZ31" s="62">
        <f t="shared" si="42"/>
        <v>254.09787950201044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>
        <f>EXP(-LN(2)/35)*DF30+(1-EXP(-LN(2)/35))/(LN(2)/35)*DB31*DC31*VLOOKUP('Données projet'!$B$13,Paramètres!$A$1:$I$89,3,0)*0.475*44/12</f>
        <v>0</v>
      </c>
      <c r="DG31" s="23">
        <f>EXP(-LN(2)/25)*DG30+(1-EXP(-LN(2)/25))/(LN(2)/25)*Calculateur!DB31*Calculateur!DD31*VLOOKUP('Données projet'!$B$13,Paramètres!$A$1:$I$89,3,0)*0.475*44/12</f>
        <v>0</v>
      </c>
      <c r="DH31" s="23">
        <f>EXP(-LN(2)/2)*DH30+(1-EXP(-LN(2)/2))/(LN(2)/2)*DB31*DE31*VLOOKUP('Données projet'!$B$13,Paramètres!$A$1:$I$89,3,0)*0.475*44/12</f>
        <v>0</v>
      </c>
      <c r="DI31" s="24">
        <f t="shared" si="15"/>
        <v>0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5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2">
        <f t="shared" si="32"/>
        <v>0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18.333333333333332</v>
      </c>
      <c r="H32" s="70">
        <f t="shared" si="1"/>
        <v>183.33333333333334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7</v>
      </c>
      <c r="N32" s="14">
        <f>IF('Données projet'!$A$36&gt;35,N31+M32-V31,IF(A32&lt;'Données projet'!$A$36,$K$205^A32,IF(A32='Données projet'!$A$36,'Données projet'!$B$36,N31+M32-V31)))</f>
        <v>98</v>
      </c>
      <c r="O32" s="14">
        <f>N32*VLOOKUP('Données projet'!$B$9,Paramètres!$A$1:$I$89,3,0)*VLOOKUP('Données projet'!$B$9,Paramètres!$A$1:$I$89,5,0)</f>
        <v>88.670400000000001</v>
      </c>
      <c r="P32" s="14">
        <f t="shared" si="33"/>
        <v>24.244280250395512</v>
      </c>
      <c r="Q32" s="22">
        <f t="shared" si="2"/>
        <v>196.65973476943884</v>
      </c>
      <c r="R32" s="62">
        <f t="shared" si="0"/>
        <v>433.58763209221468</v>
      </c>
      <c r="S32" s="62">
        <f ca="1">AVERAGE(OFFSET($R$3,0,0,'Données projet'!$E$9+1,1))-AVERAGE(OFFSET($H$3,0,0,'Données projet'!$E$9+1,1))</f>
        <v>469.67944008675863</v>
      </c>
      <c r="T32" s="62">
        <f t="shared" si="34"/>
        <v>266.11908070867173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0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0</v>
      </c>
      <c r="AC32" s="24">
        <f t="shared" si="3"/>
        <v>0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6.5384615384615383</v>
      </c>
      <c r="AI32" s="14">
        <f>IF('Données projet'!$A$62&gt;35,AI31+AH32-AQ31,IF(A32&lt;'Données projet'!$A$62,$AF$205^A32,IF(A32='Données projet'!$A$62,'Données projet'!$B$62,AI31+AH32-AQ31)))</f>
        <v>97.948717948717885</v>
      </c>
      <c r="AJ32" s="14">
        <f>AI32*VLOOKUP('Données projet'!$B$10,Paramètres!$A$1:$I$89,3,0)*VLOOKUP('Données projet'!$B$10,Paramètres!$A$1:$I$89,5,0)</f>
        <v>93.207999999999942</v>
      </c>
      <c r="AK32" s="14">
        <f t="shared" si="35"/>
        <v>25.337333212581303</v>
      </c>
      <c r="AL32" s="22">
        <f t="shared" si="4"/>
        <v>206.46645534524563</v>
      </c>
      <c r="AM32" s="62">
        <f t="shared" si="5"/>
        <v>443.3943526680215</v>
      </c>
      <c r="AN32" s="62">
        <f ca="1">AVERAGE(OFFSET($AM$3,0,0,'Données projet'!$E$10+1,1))-AVERAGE(OFFSET($H$3,0,0,'Données projet'!$E$10+1,1))</f>
        <v>400.48230125343474</v>
      </c>
      <c r="AO32" s="62">
        <f t="shared" si="36"/>
        <v>275.67023303885048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0</v>
      </c>
      <c r="AV32" s="23">
        <f>EXP(-LN(2)/25)*AV31+(1-EXP(-LN(2)/25))/(LN(2)/25)*Calculateur!AQ32*Calculateur!AS32*VLOOKUP('Données projet'!$B$10,Paramètres!$A$1:$I$89,3,0)*0.475*44/12</f>
        <v>0</v>
      </c>
      <c r="AW32" s="23">
        <f>EXP(-LN(2)/2)*AW31+(1-EXP(-LN(2)/2))/(LN(2)/2)*AQ32*AT32*VLOOKUP('Données projet'!$B$10,Paramètres!$A$1:$I$89,3,0)*0.475*44/12</f>
        <v>0</v>
      </c>
      <c r="AX32" s="23">
        <f t="shared" si="6"/>
        <v>0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7</v>
      </c>
      <c r="BD32" s="13">
        <f>IF('Données projet'!$A$88&gt;35,BD31+BC32-BL31,IF(A32&lt;'Données projet'!$A$88,$BA$205^A32,IF(A32='Données projet'!$A$88,'Données projet'!$B$88,BD31+BC32-BL31)))</f>
        <v>98</v>
      </c>
      <c r="BE32" s="14">
        <f>BD32*VLOOKUP('Données projet'!$B$11,Paramètres!$A$1:$I$89,3,0)*VLOOKUP('Données projet'!$B$11,Paramètres!$A$1:$I$89,5,0)</f>
        <v>94.785600000000002</v>
      </c>
      <c r="BF32" s="14">
        <f t="shared" si="37"/>
        <v>25.715893428674526</v>
      </c>
      <c r="BG32" s="22">
        <f t="shared" si="7"/>
        <v>209.87343438827483</v>
      </c>
      <c r="BH32" s="62">
        <f t="shared" si="8"/>
        <v>446.80133171105069</v>
      </c>
      <c r="BI32" s="62">
        <f ca="1">AVERAGE(OFFSET($BH$3,0,0,'Données projet'!$E$11+1,1))-AVERAGE(OFFSET($H$3,0,0,'Données projet'!$E$11+1,1))</f>
        <v>496.33873798282525</v>
      </c>
      <c r="BJ32" s="62">
        <f t="shared" si="38"/>
        <v>280.25465074992246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>
        <f>EXP(-LN(2)/35)*BP31+(1-EXP(-LN(2)/35))/(LN(2)/35)*BL32*BM32*VLOOKUP('Données projet'!$B$11,Paramètres!$A$1:$I$89,3,0)*0.475*44/12</f>
        <v>0</v>
      </c>
      <c r="BQ32" s="23">
        <f>EXP(-LN(2)/25)*BQ31+(1-EXP(-LN(2)/25))/(LN(2)/25)*Calculateur!BL32*Calculateur!BN32*VLOOKUP('Données projet'!$B$11,Paramètres!$A$1:$I$89,3,0)*0.475*44/12</f>
        <v>0</v>
      </c>
      <c r="BR32" s="23">
        <f>EXP(-LN(2)/2)*BR31+(1-EXP(-LN(2)/2))/(LN(2)/2)*BL32*BO32*VLOOKUP('Données projet'!$B$11,Paramètres!$A$1:$I$89,3,0)*0.475*44/12</f>
        <v>0</v>
      </c>
      <c r="BS32" s="24">
        <f t="shared" si="9"/>
        <v>0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9.8000000000000007</v>
      </c>
      <c r="BY32" s="13">
        <f>IF('Données projet'!$A$114&gt;35,BY31+BX32-CG31,IF(A32&lt;'Données projet'!$A$114,$BV$205^A32,IF(A32='Données projet'!$A$114,'Données projet'!$B$114,BY31+BX32-CG31)))</f>
        <v>104.19999999999999</v>
      </c>
      <c r="BZ32" s="14">
        <f>BY32*VLOOKUP('Données projet'!$B$12,Paramètres!$A$1:$I$89,3,0)*VLOOKUP('Données projet'!$B$12,Paramètres!$A$1:$I$89,5,0)</f>
        <v>91.029119999999992</v>
      </c>
      <c r="CA32" s="14">
        <f t="shared" si="39"/>
        <v>24.813259479575809</v>
      </c>
      <c r="CB32" s="22">
        <f t="shared" si="10"/>
        <v>201.75881092692782</v>
      </c>
      <c r="CC32" s="62">
        <f t="shared" si="11"/>
        <v>438.68670824970366</v>
      </c>
      <c r="CD32" s="62">
        <f ca="1">AVERAGE(OFFSET($CC$3,0,0,'Données projet'!$E$12+1,1))-AVERAGE(OFFSET($H$3,0,0,'Données projet'!$E$12+1,1))</f>
        <v>298.56812743477741</v>
      </c>
      <c r="CE32" s="62">
        <f t="shared" si="40"/>
        <v>276.01618888357268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>
        <f>EXP(-LN(2)/35)*CK31+(1-EXP(-LN(2)/35))/(LN(2)/35)*CG32*CH32*VLOOKUP('Données projet'!$B$12,Paramètres!$A$1:$I$89,3,0)*0.475*44/12</f>
        <v>0</v>
      </c>
      <c r="CL32" s="23">
        <f>EXP(-LN(2)/25)*CL31+(1-EXP(-LN(2)/25))/(LN(2)/25)*Calculateur!CG32*Calculateur!CI32*VLOOKUP('Données projet'!$B$12,Paramètres!$A$1:$I$89,3,0)*0.475*44/12</f>
        <v>0</v>
      </c>
      <c r="CM32" s="23">
        <f>EXP(-LN(2)/2)*CM31+(1-EXP(-LN(2)/2))/(LN(2)/2)*CG32*CJ32*VLOOKUP('Données projet'!$B$12,Paramètres!$A$1:$I$89,3,0)*0.475*44/12</f>
        <v>0</v>
      </c>
      <c r="CN32" s="24">
        <f t="shared" si="12"/>
        <v>0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8.0769230769230766</v>
      </c>
      <c r="CT32" s="13">
        <f>IF('Données projet'!$A$140&gt;35,CT31+CS32-DB31,IF(A32&lt;'Données projet'!$A$140,$CQ$205^A32,IF(A32='Données projet'!$A$140,'Données projet'!$B$140,CT31+CS32-DB31)))</f>
        <v>125.25641025641026</v>
      </c>
      <c r="CU32" s="18">
        <f>CT32*VLOOKUP('Données projet'!$B$13,Paramètres!$A$1:$I$89,3,0)*VLOOKUP('Données projet'!$B$13,Paramètres!$A$1:$I$89,5,0)</f>
        <v>84.022000000000006</v>
      </c>
      <c r="CV32" s="14">
        <f t="shared" si="41"/>
        <v>23.117759050061025</v>
      </c>
      <c r="CW32" s="22">
        <f t="shared" si="13"/>
        <v>186.60174701218963</v>
      </c>
      <c r="CX32" s="62">
        <f t="shared" si="14"/>
        <v>423.5296443349655</v>
      </c>
      <c r="CY32" s="62">
        <f ca="1">AVERAGE(OFFSET($CX$3,0,0,'Données projet'!$E$13+1,1))-AVERAGE(OFFSET($H$3,0,0,'Données projet'!$E$13+1,1))</f>
        <v>346.82725381974132</v>
      </c>
      <c r="CZ32" s="62">
        <f t="shared" si="42"/>
        <v>254.09787950201044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>
        <f>EXP(-LN(2)/35)*DF31+(1-EXP(-LN(2)/35))/(LN(2)/35)*DB32*DC32*VLOOKUP('Données projet'!$B$13,Paramètres!$A$1:$I$89,3,0)*0.475*44/12</f>
        <v>0</v>
      </c>
      <c r="DG32" s="23">
        <f>EXP(-LN(2)/25)*DG31+(1-EXP(-LN(2)/25))/(LN(2)/25)*Calculateur!DB32*Calculateur!DD32*VLOOKUP('Données projet'!$B$13,Paramètres!$A$1:$I$89,3,0)*0.475*44/12</f>
        <v>0</v>
      </c>
      <c r="DH32" s="23">
        <f>EXP(-LN(2)/2)*DH31+(1-EXP(-LN(2)/2))/(LN(2)/2)*DB32*DE32*VLOOKUP('Données projet'!$B$13,Paramètres!$A$1:$I$89,3,0)*0.475*44/12</f>
        <v>0</v>
      </c>
      <c r="DI32" s="24">
        <f t="shared" si="15"/>
        <v>0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5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2">
        <f t="shared" si="32"/>
        <v>0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18.333333333333332</v>
      </c>
      <c r="H33" s="70">
        <f t="shared" si="1"/>
        <v>183.33333333333334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105</v>
      </c>
      <c r="L33" s="13">
        <f>VLOOKUP(A33,'Données projet'!$A$35:$I$55,9,0)</f>
        <v>7</v>
      </c>
      <c r="M33" s="13">
        <f t="array" ref="M33">INDEX(L:L,MIN(IF(ISNUMBER(L33:L229),ROW(L33:L229),"")))</f>
        <v>7</v>
      </c>
      <c r="N33" s="14">
        <f>IF('Données projet'!$A$36&gt;35,N32+M33-V32,IF(A33&lt;'Données projet'!$A$36,$K$205^A33,IF(A33='Données projet'!$A$36,'Données projet'!$B$36,N32+M33-V32)))</f>
        <v>105</v>
      </c>
      <c r="O33" s="14">
        <f>N33*VLOOKUP('Données projet'!$B$9,Paramètres!$A$1:$I$89,3,0)*VLOOKUP('Données projet'!$B$9,Paramètres!$A$1:$I$89,5,0)</f>
        <v>95.004000000000005</v>
      </c>
      <c r="P33" s="14">
        <f t="shared" si="33"/>
        <v>25.768242550600785</v>
      </c>
      <c r="Q33" s="22">
        <f t="shared" si="2"/>
        <v>210.34498910896306</v>
      </c>
      <c r="R33" s="62">
        <f t="shared" si="0"/>
        <v>449.45241404200505</v>
      </c>
      <c r="S33" s="62">
        <f ca="1">AVERAGE(OFFSET($R$3,0,0,'Données projet'!$E$9+1,1))-AVERAGE(OFFSET($H$3,0,0,'Données projet'!$E$9+1,1))</f>
        <v>469.67944008675863</v>
      </c>
      <c r="T33" s="62">
        <f t="shared" si="34"/>
        <v>266.11908070867173</v>
      </c>
      <c r="U33" s="16">
        <f>IF(ISNA(VLOOKUP(A33,'Données projet'!$A$35:$I$55,3,0)),0,VLOOKUP(A33,'Données projet'!$A$35:$I$55,3,0))</f>
        <v>1</v>
      </c>
      <c r="V33" s="16">
        <f>IF(ISNA(VLOOKUP(A33,'Données projet'!$A$35:$I$55,4,0)),0,VLOOKUP(A33,'Données projet'!$A$35:$I$55,4,0))</f>
        <v>29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0</v>
      </c>
      <c r="AA33" s="23">
        <f>EXP(-LN(2)/25)*AA32+(1-EXP(-LN(2)/25))/(LN(2)/25)*Calculateur!V33*Calculateur!X33*VLOOKUP('Données projet'!$B$9,Paramètres!$A$1:$I$89,3,0)*0.475*44/12</f>
        <v>0</v>
      </c>
      <c r="AB33" s="23">
        <f>EXP(-LN(2)/2)*AB32+(1-EXP(-LN(2)/2))/(LN(2)/2)*V33*Y33*VLOOKUP('Données projet'!$B$9,Paramètres!$A$1:$I$89,3,0)*0.475*44/12</f>
        <v>0</v>
      </c>
      <c r="AC33" s="24">
        <f t="shared" si="3"/>
        <v>0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>
        <f>VLOOKUP(A33,'Données projet'!$A$61:$I$81,2,0)</f>
        <v>104.48717948717949</v>
      </c>
      <c r="AG33" s="13">
        <f>VLOOKUP(A33,'Données projet'!$A$61:$I$81,9,0)</f>
        <v>6.5384615384615383</v>
      </c>
      <c r="AH33" s="13">
        <f t="array" ref="AH33">INDEX(AG:AG,MIN(IF(ISNUMBER(AG33:AG229),ROW(AG33:AG229),"")))</f>
        <v>6.5384615384615383</v>
      </c>
      <c r="AI33" s="14">
        <f>IF('Données projet'!$A$62&gt;35,AI32+AH33-AQ32,IF(A33&lt;'Données projet'!$A$62,$AF$205^A33,IF(A33='Données projet'!$A$62,'Données projet'!$B$62,AI32+AH33-AQ32)))</f>
        <v>104.48717948717942</v>
      </c>
      <c r="AJ33" s="14">
        <f>AI33*VLOOKUP('Données projet'!$B$10,Paramètres!$A$1:$I$89,3,0)*VLOOKUP('Données projet'!$B$10,Paramètres!$A$1:$I$89,5,0)</f>
        <v>99.429999999999936</v>
      </c>
      <c r="AK33" s="14">
        <f t="shared" si="35"/>
        <v>26.826157764100614</v>
      </c>
      <c r="AL33" s="22">
        <f t="shared" si="4"/>
        <v>219.89614143914181</v>
      </c>
      <c r="AM33" s="62">
        <f t="shared" si="5"/>
        <v>459.0035663721838</v>
      </c>
      <c r="AN33" s="62">
        <f ca="1">AVERAGE(OFFSET($AM$3,0,0,'Données projet'!$E$10+1,1))-AVERAGE(OFFSET($H$3,0,0,'Données projet'!$E$10+1,1))</f>
        <v>400.48230125343474</v>
      </c>
      <c r="AO33" s="62">
        <f t="shared" si="36"/>
        <v>275.67023303885048</v>
      </c>
      <c r="AP33" s="16">
        <f>IF(ISNA(VLOOKUP(A33,'Données projet'!$A$61:$I$81,3,0)),0,VLOOKUP(A33,'Données projet'!$A$61:$I$81,3,0))</f>
        <v>0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>
        <f>EXP(-LN(2)/35)*AU32+(1-EXP(-LN(2)/35))/(LN(2)/35)*AQ33*AR33*VLOOKUP('Données projet'!$B$10,Paramètres!$A$1:$I$89,3,0)*0.475*44/12</f>
        <v>0</v>
      </c>
      <c r="AV33" s="23">
        <f>EXP(-LN(2)/25)*AV32+(1-EXP(-LN(2)/25))/(LN(2)/25)*Calculateur!AQ33*Calculateur!AS33*VLOOKUP('Données projet'!$B$10,Paramètres!$A$1:$I$89,3,0)*0.475*44/12</f>
        <v>0</v>
      </c>
      <c r="AW33" s="23">
        <f>EXP(-LN(2)/2)*AW32+(1-EXP(-LN(2)/2))/(LN(2)/2)*AQ33*AT33*VLOOKUP('Données projet'!$B$10,Paramètres!$A$1:$I$89,3,0)*0.475*44/12</f>
        <v>0</v>
      </c>
      <c r="AX33" s="23">
        <f t="shared" si="6"/>
        <v>0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>
        <f>VLOOKUP(A33,'Données projet'!$A$87:$I$107,2,0)</f>
        <v>105</v>
      </c>
      <c r="BB33" s="13">
        <f>VLOOKUP(A33,'Données projet'!$A$87:$I$107,9,0)</f>
        <v>7</v>
      </c>
      <c r="BC33" s="13">
        <f t="array" ref="BC33">INDEX(BB:BB,MIN(IF(ISNUMBER(BB33:BB229),ROW(BB33:BB229),"")))</f>
        <v>7</v>
      </c>
      <c r="BD33" s="13">
        <f>IF('Données projet'!$A$88&gt;35,BD32+BC33-BL32,IF(A33&lt;'Données projet'!$A$88,$BA$205^A33,IF(A33='Données projet'!$A$88,'Données projet'!$B$88,BD32+BC33-BL32)))</f>
        <v>105</v>
      </c>
      <c r="BE33" s="14">
        <f>BD33*VLOOKUP('Données projet'!$B$11,Paramètres!$A$1:$I$89,3,0)*VLOOKUP('Données projet'!$B$11,Paramètres!$A$1:$I$89,5,0)</f>
        <v>101.556</v>
      </c>
      <c r="BF33" s="14">
        <f t="shared" si="37"/>
        <v>27.332359320696909</v>
      </c>
      <c r="BG33" s="22">
        <f t="shared" si="7"/>
        <v>224.48055915021379</v>
      </c>
      <c r="BH33" s="62">
        <f t="shared" si="8"/>
        <v>463.58798408325578</v>
      </c>
      <c r="BI33" s="62">
        <f ca="1">AVERAGE(OFFSET($BH$3,0,0,'Données projet'!$E$11+1,1))-AVERAGE(OFFSET($H$3,0,0,'Données projet'!$E$11+1,1))</f>
        <v>496.33873798282525</v>
      </c>
      <c r="BJ33" s="62">
        <f t="shared" si="38"/>
        <v>280.25465074992246</v>
      </c>
      <c r="BK33" s="16">
        <f>IF(ISNA(VLOOKUP(A33,'Données projet'!$A$87:$I$107,3,0)),0,VLOOKUP(A33,'Données projet'!$A$87:$I$107,3,0))</f>
        <v>1</v>
      </c>
      <c r="BL33" s="16">
        <f>IF(ISNA(VLOOKUP(A33,'Données projet'!$A$87:$I$107,4,0)),0,VLOOKUP(A33,'Données projet'!$A$87:$I$107,4,0))</f>
        <v>29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>
        <f>EXP(-LN(2)/35)*BP32+(1-EXP(-LN(2)/35))/(LN(2)/35)*BL33*BM33*VLOOKUP('Données projet'!$B$11,Paramètres!$A$1:$I$89,3,0)*0.475*44/12</f>
        <v>0</v>
      </c>
      <c r="BQ33" s="23">
        <f>EXP(-LN(2)/25)*BQ32+(1-EXP(-LN(2)/25))/(LN(2)/25)*Calculateur!BL33*Calculateur!BN33*VLOOKUP('Données projet'!$B$11,Paramètres!$A$1:$I$89,3,0)*0.475*44/12</f>
        <v>0</v>
      </c>
      <c r="BR33" s="23">
        <f>EXP(-LN(2)/2)*BR32+(1-EXP(-LN(2)/2))/(LN(2)/2)*BL33*BO33*VLOOKUP('Données projet'!$B$11,Paramètres!$A$1:$I$89,3,0)*0.475*44/12</f>
        <v>0</v>
      </c>
      <c r="BS33" s="24">
        <f t="shared" si="9"/>
        <v>0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>
        <f>VLOOKUP(A33,'Données projet'!$A$113:$I$133,2,0)</f>
        <v>114</v>
      </c>
      <c r="BW33" s="13">
        <f>VLOOKUP(A33,'Données projet'!$A$113:$I$133,9,0)</f>
        <v>9.8000000000000007</v>
      </c>
      <c r="BX33" s="13">
        <f t="array" ref="BX33">INDEX(BW:BW,MIN(IF(ISNUMBER(BW33:BW229),ROW(BW33:BW229),"")))</f>
        <v>9.8000000000000007</v>
      </c>
      <c r="BY33" s="13">
        <f>IF('Données projet'!$A$114&gt;35,BY32+BX33-CG32,IF(A33&lt;'Données projet'!$A$114,$BV$205^A33,IF(A33='Données projet'!$A$114,'Données projet'!$B$114,BY32+BX33-CG32)))</f>
        <v>113.99999999999999</v>
      </c>
      <c r="BZ33" s="14">
        <f>BY33*VLOOKUP('Données projet'!$B$12,Paramètres!$A$1:$I$89,3,0)*VLOOKUP('Données projet'!$B$12,Paramètres!$A$1:$I$89,5,0)</f>
        <v>99.590400000000002</v>
      </c>
      <c r="CA33" s="14">
        <f t="shared" si="39"/>
        <v>26.864392698869324</v>
      </c>
      <c r="CB33" s="22">
        <f t="shared" si="10"/>
        <v>220.24209728386407</v>
      </c>
      <c r="CC33" s="62">
        <f t="shared" si="11"/>
        <v>459.34952221690605</v>
      </c>
      <c r="CD33" s="62">
        <f ca="1">AVERAGE(OFFSET($CC$3,0,0,'Données projet'!$E$12+1,1))-AVERAGE(OFFSET($H$3,0,0,'Données projet'!$E$12+1,1))</f>
        <v>298.56812743477741</v>
      </c>
      <c r="CE33" s="62">
        <f t="shared" si="40"/>
        <v>276.01618888357268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>
        <f>EXP(-LN(2)/35)*CK32+(1-EXP(-LN(2)/35))/(LN(2)/35)*CG33*CH33*VLOOKUP('Données projet'!$B$12,Paramètres!$A$1:$I$89,3,0)*0.475*44/12</f>
        <v>0</v>
      </c>
      <c r="CL33" s="23">
        <f>EXP(-LN(2)/25)*CL32+(1-EXP(-LN(2)/25))/(LN(2)/25)*Calculateur!CG33*Calculateur!CI33*VLOOKUP('Données projet'!$B$12,Paramètres!$A$1:$I$89,3,0)*0.475*44/12</f>
        <v>0</v>
      </c>
      <c r="CM33" s="23">
        <f>EXP(-LN(2)/2)*CM32+(1-EXP(-LN(2)/2))/(LN(2)/2)*CG33*CJ33*VLOOKUP('Données projet'!$B$12,Paramètres!$A$1:$I$89,3,0)*0.475*44/12</f>
        <v>0</v>
      </c>
      <c r="CN33" s="24">
        <f t="shared" si="12"/>
        <v>0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>
        <f>VLOOKUP(A33,'Données projet'!$A$139:$I$159,2,0)</f>
        <v>133.33333333333334</v>
      </c>
      <c r="CR33" s="13">
        <f>VLOOKUP(A33,'Données projet'!$A$139:$I$159,9,0)</f>
        <v>8.0769230769230766</v>
      </c>
      <c r="CS33" s="13">
        <f t="array" ref="CS33">INDEX(CR:CR,MIN(IF(ISNUMBER(CR33:CR229),ROW(CR33:CR229),"")))</f>
        <v>8.0769230769230766</v>
      </c>
      <c r="CT33" s="13">
        <f>IF('Données projet'!$A$140&gt;35,CT32+CS33-DB32,IF(A33&lt;'Données projet'!$A$140,$CQ$205^A33,IF(A33='Données projet'!$A$140,'Données projet'!$B$140,CT32+CS33-DB32)))</f>
        <v>133.33333333333334</v>
      </c>
      <c r="CU33" s="18">
        <f>CT33*VLOOKUP('Données projet'!$B$13,Paramètres!$A$1:$I$89,3,0)*VLOOKUP('Données projet'!$B$13,Paramètres!$A$1:$I$89,5,0)</f>
        <v>89.440000000000012</v>
      </c>
      <c r="CV33" s="14">
        <f t="shared" si="41"/>
        <v>24.430117455867048</v>
      </c>
      <c r="CW33" s="22">
        <f t="shared" si="13"/>
        <v>198.3237879023018</v>
      </c>
      <c r="CX33" s="62">
        <f t="shared" si="14"/>
        <v>437.43121283534379</v>
      </c>
      <c r="CY33" s="62">
        <f ca="1">AVERAGE(OFFSET($CX$3,0,0,'Données projet'!$E$13+1,1))-AVERAGE(OFFSET($H$3,0,0,'Données projet'!$E$13+1,1))</f>
        <v>346.82725381974132</v>
      </c>
      <c r="CZ33" s="62">
        <f t="shared" si="42"/>
        <v>254.09787950201044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>
        <f>EXP(-LN(2)/35)*DF32+(1-EXP(-LN(2)/35))/(LN(2)/35)*DB33*DC33*VLOOKUP('Données projet'!$B$13,Paramètres!$A$1:$I$89,3,0)*0.475*44/12</f>
        <v>0</v>
      </c>
      <c r="DG33" s="23">
        <f>EXP(-LN(2)/25)*DG32+(1-EXP(-LN(2)/25))/(LN(2)/25)*Calculateur!DB33*Calculateur!DD33*VLOOKUP('Données projet'!$B$13,Paramètres!$A$1:$I$89,3,0)*0.475*44/12</f>
        <v>0</v>
      </c>
      <c r="DH33" s="23">
        <f>EXP(-LN(2)/2)*DH32+(1-EXP(-LN(2)/2))/(LN(2)/2)*DB33*DE33*VLOOKUP('Données projet'!$B$13,Paramètres!$A$1:$I$89,3,0)*0.475*44/12</f>
        <v>0</v>
      </c>
      <c r="DI33" s="24">
        <f t="shared" si="15"/>
        <v>0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5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2">
        <f t="shared" si="32"/>
        <v>0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18.333333333333332</v>
      </c>
      <c r="H34" s="70">
        <f t="shared" si="1"/>
        <v>183.33333333333334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8</v>
      </c>
      <c r="N34" s="14">
        <f>IF('Données projet'!$A$36&gt;35,N33+M34-V33,IF(A34&lt;'Données projet'!$A$36,$K$205^A34,IF(A34='Données projet'!$A$36,'Données projet'!$B$36,N33+M34-V33)))</f>
        <v>84</v>
      </c>
      <c r="O34" s="14">
        <f>N34*VLOOKUP('Données projet'!$B$9,Paramètres!$A$1:$I$89,3,0)*VLOOKUP('Données projet'!$B$9,Paramètres!$A$1:$I$89,5,0)</f>
        <v>76.003200000000007</v>
      </c>
      <c r="P34" s="14">
        <f t="shared" si="33"/>
        <v>21.157049992000456</v>
      </c>
      <c r="Q34" s="22">
        <f t="shared" si="2"/>
        <v>169.22076873606747</v>
      </c>
      <c r="R34" s="62">
        <f t="shared" si="0"/>
        <v>409.26889194888503</v>
      </c>
      <c r="S34" s="62">
        <f ca="1">AVERAGE(OFFSET($R$3,0,0,'Données projet'!$E$9+1,1))-AVERAGE(OFFSET($H$3,0,0,'Données projet'!$E$9+1,1))</f>
        <v>469.67944008675863</v>
      </c>
      <c r="T34" s="62">
        <f t="shared" si="34"/>
        <v>266.11908070867173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0</v>
      </c>
      <c r="AA34" s="23">
        <f>EXP(-LN(2)/25)*AA33+(1-EXP(-LN(2)/25))/(LN(2)/25)*Calculateur!V34*Calculateur!X34*VLOOKUP('Données projet'!$B$9,Paramètres!$A$1:$I$89,3,0)*0.475*44/12</f>
        <v>0</v>
      </c>
      <c r="AB34" s="23">
        <f>EXP(-LN(2)/2)*AB33+(1-EXP(-LN(2)/2))/(LN(2)/2)*V34*Y34*VLOOKUP('Données projet'!$B$9,Paramètres!$A$1:$I$89,3,0)*0.475*44/12</f>
        <v>0</v>
      </c>
      <c r="AC34" s="24">
        <f t="shared" si="3"/>
        <v>0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6.4102564102564115</v>
      </c>
      <c r="AI34" s="14">
        <f>IF('Données projet'!$A$62&gt;35,AI33+AH34-AQ33,IF(A34&lt;'Données projet'!$A$62,$AF$205^A34,IF(A34='Données projet'!$A$62,'Données projet'!$B$62,AI33+AH34-AQ33)))</f>
        <v>110.89743589743583</v>
      </c>
      <c r="AJ34" s="14">
        <f>AI34*VLOOKUP('Données projet'!$B$10,Paramètres!$A$1:$I$89,3,0)*VLOOKUP('Données projet'!$B$10,Paramètres!$A$1:$I$89,5,0)</f>
        <v>105.52999999999994</v>
      </c>
      <c r="AK34" s="14">
        <f t="shared" si="35"/>
        <v>28.275288433064141</v>
      </c>
      <c r="AL34" s="22">
        <f t="shared" si="4"/>
        <v>233.04421068758657</v>
      </c>
      <c r="AM34" s="62">
        <f t="shared" si="5"/>
        <v>473.09233390040413</v>
      </c>
      <c r="AN34" s="62">
        <f ca="1">AVERAGE(OFFSET($AM$3,0,0,'Données projet'!$E$10+1,1))-AVERAGE(OFFSET($H$3,0,0,'Données projet'!$E$10+1,1))</f>
        <v>400.48230125343474</v>
      </c>
      <c r="AO34" s="62">
        <f t="shared" si="36"/>
        <v>275.67023303885048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0</v>
      </c>
      <c r="AV34" s="23">
        <f>EXP(-LN(2)/25)*AV33+(1-EXP(-LN(2)/25))/(LN(2)/25)*Calculateur!AQ34*Calculateur!AS34*VLOOKUP('Données projet'!$B$10,Paramètres!$A$1:$I$89,3,0)*0.475*44/12</f>
        <v>0</v>
      </c>
      <c r="AW34" s="23">
        <f>EXP(-LN(2)/2)*AW33+(1-EXP(-LN(2)/2))/(LN(2)/2)*AQ34*AT34*VLOOKUP('Données projet'!$B$10,Paramètres!$A$1:$I$89,3,0)*0.475*44/12</f>
        <v>0</v>
      </c>
      <c r="AX34" s="23">
        <f t="shared" si="6"/>
        <v>0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8</v>
      </c>
      <c r="BD34" s="13">
        <f>IF('Données projet'!$A$88&gt;35,BD33+BC34-BL33,IF(A34&lt;'Données projet'!$A$88,$BA$205^A34,IF(A34='Données projet'!$A$88,'Données projet'!$B$88,BD33+BC34-BL33)))</f>
        <v>84</v>
      </c>
      <c r="BE34" s="14">
        <f>BD34*VLOOKUP('Données projet'!$B$11,Paramètres!$A$1:$I$89,3,0)*VLOOKUP('Données projet'!$B$11,Paramètres!$A$1:$I$89,5,0)</f>
        <v>81.244799999999998</v>
      </c>
      <c r="BF34" s="14">
        <f t="shared" si="37"/>
        <v>22.441270156928962</v>
      </c>
      <c r="BG34" s="22">
        <f t="shared" si="7"/>
        <v>180.58657218998462</v>
      </c>
      <c r="BH34" s="62">
        <f t="shared" si="8"/>
        <v>420.63469540280221</v>
      </c>
      <c r="BI34" s="62">
        <f ca="1">AVERAGE(OFFSET($BH$3,0,0,'Données projet'!$E$11+1,1))-AVERAGE(OFFSET($H$3,0,0,'Données projet'!$E$11+1,1))</f>
        <v>496.33873798282525</v>
      </c>
      <c r="BJ34" s="62">
        <f t="shared" si="38"/>
        <v>280.25465074992246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>
        <f>EXP(-LN(2)/35)*BP33+(1-EXP(-LN(2)/35))/(LN(2)/35)*BL34*BM34*VLOOKUP('Données projet'!$B$11,Paramètres!$A$1:$I$89,3,0)*0.475*44/12</f>
        <v>0</v>
      </c>
      <c r="BQ34" s="23">
        <f>EXP(-LN(2)/25)*BQ33+(1-EXP(-LN(2)/25))/(LN(2)/25)*Calculateur!BL34*Calculateur!BN34*VLOOKUP('Données projet'!$B$11,Paramètres!$A$1:$I$89,3,0)*0.475*44/12</f>
        <v>0</v>
      </c>
      <c r="BR34" s="23">
        <f>EXP(-LN(2)/2)*BR33+(1-EXP(-LN(2)/2))/(LN(2)/2)*BL34*BO34*VLOOKUP('Données projet'!$B$11,Paramètres!$A$1:$I$89,3,0)*0.475*44/12</f>
        <v>0</v>
      </c>
      <c r="BS34" s="24">
        <f t="shared" si="9"/>
        <v>0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8.6</v>
      </c>
      <c r="BY34" s="13">
        <f>IF('Données projet'!$A$114&gt;35,BY33+BX34-CG33,IF(A34&lt;'Données projet'!$A$114,$BV$205^A34,IF(A34='Données projet'!$A$114,'Données projet'!$B$114,BY33+BX34-CG33)))</f>
        <v>122.59999999999998</v>
      </c>
      <c r="BZ34" s="14">
        <f>BY34*VLOOKUP('Données projet'!$B$12,Paramètres!$A$1:$I$89,3,0)*VLOOKUP('Données projet'!$B$12,Paramètres!$A$1:$I$89,5,0)</f>
        <v>107.10336</v>
      </c>
      <c r="CA34" s="14">
        <f t="shared" si="39"/>
        <v>28.647457255358184</v>
      </c>
      <c r="CB34" s="22">
        <f t="shared" si="10"/>
        <v>236.43267338641553</v>
      </c>
      <c r="CC34" s="62">
        <f t="shared" si="11"/>
        <v>476.48079659923309</v>
      </c>
      <c r="CD34" s="62">
        <f ca="1">AVERAGE(OFFSET($CC$3,0,0,'Données projet'!$E$12+1,1))-AVERAGE(OFFSET($H$3,0,0,'Données projet'!$E$12+1,1))</f>
        <v>298.56812743477741</v>
      </c>
      <c r="CE34" s="62">
        <f t="shared" si="40"/>
        <v>276.01618888357268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>
        <f>EXP(-LN(2)/35)*CK33+(1-EXP(-LN(2)/35))/(LN(2)/35)*CG34*CH34*VLOOKUP('Données projet'!$B$12,Paramètres!$A$1:$I$89,3,0)*0.475*44/12</f>
        <v>0</v>
      </c>
      <c r="CL34" s="23">
        <f>EXP(-LN(2)/25)*CL33+(1-EXP(-LN(2)/25))/(LN(2)/25)*Calculateur!CG34*Calculateur!CI34*VLOOKUP('Données projet'!$B$12,Paramètres!$A$1:$I$89,3,0)*0.475*44/12</f>
        <v>0</v>
      </c>
      <c r="CM34" s="23">
        <f>EXP(-LN(2)/2)*CM33+(1-EXP(-LN(2)/2))/(LN(2)/2)*CG34*CJ34*VLOOKUP('Données projet'!$B$12,Paramètres!$A$1:$I$89,3,0)*0.475*44/12</f>
        <v>0</v>
      </c>
      <c r="CN34" s="24">
        <f t="shared" si="12"/>
        <v>0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7.6923076923076907</v>
      </c>
      <c r="CT34" s="13">
        <f>IF('Données projet'!$A$140&gt;35,CT33+CS34-DB33,IF(A34&lt;'Données projet'!$A$140,$CQ$205^A34,IF(A34='Données projet'!$A$140,'Données projet'!$B$140,CT33+CS34-DB33)))</f>
        <v>141.02564102564102</v>
      </c>
      <c r="CU34" s="18">
        <f>CT34*VLOOKUP('Données projet'!$B$13,Paramètres!$A$1:$I$89,3,0)*VLOOKUP('Données projet'!$B$13,Paramètres!$A$1:$I$89,5,0)</f>
        <v>94.6</v>
      </c>
      <c r="CV34" s="14">
        <f t="shared" si="41"/>
        <v>25.671395227101225</v>
      </c>
      <c r="CW34" s="22">
        <f t="shared" si="13"/>
        <v>209.47268002053463</v>
      </c>
      <c r="CX34" s="62">
        <f t="shared" si="14"/>
        <v>449.52080323335218</v>
      </c>
      <c r="CY34" s="62">
        <f ca="1">AVERAGE(OFFSET($CX$3,0,0,'Données projet'!$E$13+1,1))-AVERAGE(OFFSET($H$3,0,0,'Données projet'!$E$13+1,1))</f>
        <v>346.82725381974132</v>
      </c>
      <c r="CZ34" s="62">
        <f t="shared" si="42"/>
        <v>254.09787950201044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>
        <f>EXP(-LN(2)/35)*DF33+(1-EXP(-LN(2)/35))/(LN(2)/35)*DB34*DC34*VLOOKUP('Données projet'!$B$13,Paramètres!$A$1:$I$89,3,0)*0.475*44/12</f>
        <v>0</v>
      </c>
      <c r="DG34" s="23">
        <f>EXP(-LN(2)/25)*DG33+(1-EXP(-LN(2)/25))/(LN(2)/25)*Calculateur!DB34*Calculateur!DD34*VLOOKUP('Données projet'!$B$13,Paramètres!$A$1:$I$89,3,0)*0.475*44/12</f>
        <v>0</v>
      </c>
      <c r="DH34" s="23">
        <f>EXP(-LN(2)/2)*DH33+(1-EXP(-LN(2)/2))/(LN(2)/2)*DB34*DE34*VLOOKUP('Données projet'!$B$13,Paramètres!$A$1:$I$89,3,0)*0.475*44/12</f>
        <v>0</v>
      </c>
      <c r="DI34" s="24">
        <f t="shared" si="15"/>
        <v>0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5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2">
        <f t="shared" si="32"/>
        <v>0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18.333333333333332</v>
      </c>
      <c r="H35" s="70">
        <f t="shared" si="1"/>
        <v>183.33333333333334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8</v>
      </c>
      <c r="N35" s="14">
        <f>IF('Données projet'!$A$36&gt;35,N34+M35-V34,IF(A35&lt;'Données projet'!$A$36,$K$205^A35,IF(A35='Données projet'!$A$36,'Données projet'!$B$36,N34+M35-V34)))</f>
        <v>92</v>
      </c>
      <c r="O35" s="14">
        <f>N35*VLOOKUP('Données projet'!$B$9,Paramètres!$A$1:$I$89,3,0)*VLOOKUP('Données projet'!$B$9,Paramètres!$A$1:$I$89,5,0)</f>
        <v>83.241600000000005</v>
      </c>
      <c r="P35" s="14">
        <f t="shared" si="33"/>
        <v>22.927930643846508</v>
      </c>
      <c r="Q35" s="22">
        <f t="shared" ref="Q35:Q66" si="53">(O35+P35)*0.475*44/12</f>
        <v>184.91193253803269</v>
      </c>
      <c r="R35" s="62">
        <f t="shared" si="0"/>
        <v>425.88443501855801</v>
      </c>
      <c r="S35" s="62">
        <f ca="1">AVERAGE(OFFSET($R$3,0,0,'Données projet'!$E$9+1,1))-AVERAGE(OFFSET($H$3,0,0,'Données projet'!$E$9+1,1))</f>
        <v>469.67944008675863</v>
      </c>
      <c r="T35" s="62">
        <f t="shared" si="34"/>
        <v>266.11908070867173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0</v>
      </c>
      <c r="AA35" s="23">
        <f>EXP(-LN(2)/25)*AA34+(1-EXP(-LN(2)/25))/(LN(2)/25)*Calculateur!V35*Calculateur!X35*VLOOKUP('Données projet'!$B$9,Paramètres!$A$1:$I$89,3,0)*0.475*44/12</f>
        <v>0</v>
      </c>
      <c r="AB35" s="23">
        <f>EXP(-LN(2)/2)*AB34+(1-EXP(-LN(2)/2))/(LN(2)/2)*V35*Y35*VLOOKUP('Données projet'!$B$9,Paramètres!$A$1:$I$89,3,0)*0.475*44/12</f>
        <v>0</v>
      </c>
      <c r="AC35" s="24">
        <f t="shared" si="3"/>
        <v>0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6.4102564102564115</v>
      </c>
      <c r="AI35" s="14">
        <f>IF('Données projet'!$A$62&gt;35,AI34+AH35-AQ34,IF(A35&lt;'Données projet'!$A$62,$AF$205^A35,IF(A35='Données projet'!$A$62,'Données projet'!$B$62,AI34+AH35-AQ34)))</f>
        <v>117.30769230769224</v>
      </c>
      <c r="AJ35" s="14">
        <f>AI35*VLOOKUP('Données projet'!$B$10,Paramètres!$A$1:$I$89,3,0)*VLOOKUP('Données projet'!$B$10,Paramètres!$A$1:$I$89,5,0)</f>
        <v>111.62999999999994</v>
      </c>
      <c r="AK35" s="14">
        <f t="shared" si="35"/>
        <v>29.714695894576781</v>
      </c>
      <c r="AL35" s="22">
        <f t="shared" si="4"/>
        <v>246.17534534972108</v>
      </c>
      <c r="AM35" s="62">
        <f t="shared" si="5"/>
        <v>487.14784783024641</v>
      </c>
      <c r="AN35" s="62">
        <f ca="1">AVERAGE(OFFSET($AM$3,0,0,'Données projet'!$E$10+1,1))-AVERAGE(OFFSET($H$3,0,0,'Données projet'!$E$10+1,1))</f>
        <v>400.48230125343474</v>
      </c>
      <c r="AO35" s="62">
        <f t="shared" si="36"/>
        <v>275.67023303885048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0</v>
      </c>
      <c r="AV35" s="23">
        <f>EXP(-LN(2)/25)*AV34+(1-EXP(-LN(2)/25))/(LN(2)/25)*Calculateur!AQ35*Calculateur!AS35*VLOOKUP('Données projet'!$B$10,Paramètres!$A$1:$I$89,3,0)*0.475*44/12</f>
        <v>0</v>
      </c>
      <c r="AW35" s="23">
        <f>EXP(-LN(2)/2)*AW34+(1-EXP(-LN(2)/2))/(LN(2)/2)*AQ35*AT35*VLOOKUP('Données projet'!$B$10,Paramètres!$A$1:$I$89,3,0)*0.475*44/12</f>
        <v>0</v>
      </c>
      <c r="AX35" s="23">
        <f t="shared" si="6"/>
        <v>0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8</v>
      </c>
      <c r="BD35" s="13">
        <f>IF('Données projet'!$A$88&gt;35,BD34+BC35-BL34,IF(A35&lt;'Données projet'!$A$88,$BA$205^A35,IF(A35='Données projet'!$A$88,'Données projet'!$B$88,BD34+BC35-BL34)))</f>
        <v>92</v>
      </c>
      <c r="BE35" s="14">
        <f>BD35*VLOOKUP('Données projet'!$B$11,Paramètres!$A$1:$I$89,3,0)*VLOOKUP('Données projet'!$B$11,Paramètres!$A$1:$I$89,5,0)</f>
        <v>88.982399999999998</v>
      </c>
      <c r="BF35" s="14">
        <f t="shared" si="37"/>
        <v>24.31964219550628</v>
      </c>
      <c r="BG35" s="22">
        <f t="shared" si="7"/>
        <v>197.3343901571734</v>
      </c>
      <c r="BH35" s="62">
        <f t="shared" si="8"/>
        <v>438.30689263769875</v>
      </c>
      <c r="BI35" s="62">
        <f ca="1">AVERAGE(OFFSET($BH$3,0,0,'Données projet'!$E$11+1,1))-AVERAGE(OFFSET($H$3,0,0,'Données projet'!$E$11+1,1))</f>
        <v>496.33873798282525</v>
      </c>
      <c r="BJ35" s="62">
        <f t="shared" si="38"/>
        <v>280.25465074992246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>
        <f>EXP(-LN(2)/35)*BP34+(1-EXP(-LN(2)/35))/(LN(2)/35)*BL35*BM35*VLOOKUP('Données projet'!$B$11,Paramètres!$A$1:$I$89,3,0)*0.475*44/12</f>
        <v>0</v>
      </c>
      <c r="BQ35" s="23">
        <f>EXP(-LN(2)/25)*BQ34+(1-EXP(-LN(2)/25))/(LN(2)/25)*Calculateur!BL35*Calculateur!BN35*VLOOKUP('Données projet'!$B$11,Paramètres!$A$1:$I$89,3,0)*0.475*44/12</f>
        <v>0</v>
      </c>
      <c r="BR35" s="23">
        <f>EXP(-LN(2)/2)*BR34+(1-EXP(-LN(2)/2))/(LN(2)/2)*BL35*BO35*VLOOKUP('Données projet'!$B$11,Paramètres!$A$1:$I$89,3,0)*0.475*44/12</f>
        <v>0</v>
      </c>
      <c r="BS35" s="24">
        <f t="shared" si="9"/>
        <v>0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8.6</v>
      </c>
      <c r="BY35" s="13">
        <f>IF('Données projet'!$A$114&gt;35,BY34+BX35-CG34,IF(A35&lt;'Données projet'!$A$114,$BV$205^A35,IF(A35='Données projet'!$A$114,'Données projet'!$B$114,BY34+BX35-CG34)))</f>
        <v>131.19999999999999</v>
      </c>
      <c r="BZ35" s="14">
        <f>BY35*VLOOKUP('Données projet'!$B$12,Paramètres!$A$1:$I$89,3,0)*VLOOKUP('Données projet'!$B$12,Paramètres!$A$1:$I$89,5,0)</f>
        <v>114.61632</v>
      </c>
      <c r="CA35" s="14">
        <f t="shared" si="39"/>
        <v>30.416009647934409</v>
      </c>
      <c r="CB35" s="22">
        <f t="shared" si="10"/>
        <v>252.59797413681909</v>
      </c>
      <c r="CC35" s="62">
        <f t="shared" si="11"/>
        <v>493.57047661734441</v>
      </c>
      <c r="CD35" s="62">
        <f ca="1">AVERAGE(OFFSET($CC$3,0,0,'Données projet'!$E$12+1,1))-AVERAGE(OFFSET($H$3,0,0,'Données projet'!$E$12+1,1))</f>
        <v>298.56812743477741</v>
      </c>
      <c r="CE35" s="62">
        <f t="shared" si="40"/>
        <v>276.01618888357268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>
        <f>EXP(-LN(2)/35)*CK34+(1-EXP(-LN(2)/35))/(LN(2)/35)*CG35*CH35*VLOOKUP('Données projet'!$B$12,Paramètres!$A$1:$I$89,3,0)*0.475*44/12</f>
        <v>0</v>
      </c>
      <c r="CL35" s="23">
        <f>EXP(-LN(2)/25)*CL34+(1-EXP(-LN(2)/25))/(LN(2)/25)*Calculateur!CG35*Calculateur!CI35*VLOOKUP('Données projet'!$B$12,Paramètres!$A$1:$I$89,3,0)*0.475*44/12</f>
        <v>0</v>
      </c>
      <c r="CM35" s="23">
        <f>EXP(-LN(2)/2)*CM34+(1-EXP(-LN(2)/2))/(LN(2)/2)*CG35*CJ35*VLOOKUP('Données projet'!$B$12,Paramètres!$A$1:$I$89,3,0)*0.475*44/12</f>
        <v>0</v>
      </c>
      <c r="CN35" s="24">
        <f t="shared" si="12"/>
        <v>0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7.6923076923076907</v>
      </c>
      <c r="CT35" s="13">
        <f>IF('Données projet'!$A$140&gt;35,CT34+CS35-DB34,IF(A35&lt;'Données projet'!$A$140,$CQ$205^A35,IF(A35='Données projet'!$A$140,'Données projet'!$B$140,CT34+CS35-DB34)))</f>
        <v>148.7179487179487</v>
      </c>
      <c r="CU35" s="18">
        <f>CT35*VLOOKUP('Données projet'!$B$13,Paramètres!$A$1:$I$89,3,0)*VLOOKUP('Données projet'!$B$13,Paramètres!$A$1:$I$89,5,0)</f>
        <v>99.759999999999991</v>
      </c>
      <c r="CV35" s="14">
        <f t="shared" si="41"/>
        <v>26.904812864288012</v>
      </c>
      <c r="CW35" s="22">
        <f t="shared" si="13"/>
        <v>220.60788240530158</v>
      </c>
      <c r="CX35" s="62">
        <f t="shared" si="14"/>
        <v>461.5803848858269</v>
      </c>
      <c r="CY35" s="62">
        <f ca="1">AVERAGE(OFFSET($CX$3,0,0,'Données projet'!$E$13+1,1))-AVERAGE(OFFSET($H$3,0,0,'Données projet'!$E$13+1,1))</f>
        <v>346.82725381974132</v>
      </c>
      <c r="CZ35" s="62">
        <f t="shared" si="42"/>
        <v>254.09787950201044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>
        <f>EXP(-LN(2)/35)*DF34+(1-EXP(-LN(2)/35))/(LN(2)/35)*DB35*DC35*VLOOKUP('Données projet'!$B$13,Paramètres!$A$1:$I$89,3,0)*0.475*44/12</f>
        <v>0</v>
      </c>
      <c r="DG35" s="23">
        <f>EXP(-LN(2)/25)*DG34+(1-EXP(-LN(2)/25))/(LN(2)/25)*Calculateur!DB35*Calculateur!DD35*VLOOKUP('Données projet'!$B$13,Paramètres!$A$1:$I$89,3,0)*0.475*44/12</f>
        <v>0</v>
      </c>
      <c r="DH35" s="23">
        <f>EXP(-LN(2)/2)*DH34+(1-EXP(-LN(2)/2))/(LN(2)/2)*DB35*DE35*VLOOKUP('Données projet'!$B$13,Paramètres!$A$1:$I$89,3,0)*0.475*44/12</f>
        <v>0</v>
      </c>
      <c r="DI35" s="24">
        <f t="shared" si="15"/>
        <v>0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5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2">
        <f t="shared" si="32"/>
        <v>0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18.333333333333332</v>
      </c>
      <c r="H36" s="70">
        <f t="shared" si="1"/>
        <v>183.33333333333334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8</v>
      </c>
      <c r="N36" s="14">
        <f>IF('Données projet'!$A$36&gt;35,N35+M36-V35,IF(A36&lt;'Données projet'!$A$36,$K$205^A36,IF(A36='Données projet'!$A$36,'Données projet'!$B$36,N35+M36-V35)))</f>
        <v>100</v>
      </c>
      <c r="O36" s="14">
        <f>N36*VLOOKUP('Données projet'!$B$9,Paramètres!$A$1:$I$89,3,0)*VLOOKUP('Données projet'!$B$9,Paramètres!$A$1:$I$89,5,0)</f>
        <v>90.47999999999999</v>
      </c>
      <c r="P36" s="14">
        <f t="shared" si="33"/>
        <v>24.680953573367994</v>
      </c>
      <c r="Q36" s="22">
        <f t="shared" si="53"/>
        <v>200.57199414028256</v>
      </c>
      <c r="R36" s="62">
        <f t="shared" si="0"/>
        <v>442.45283997482329</v>
      </c>
      <c r="S36" s="62">
        <f ca="1">AVERAGE(OFFSET($R$3,0,0,'Données projet'!$E$9+1,1))-AVERAGE(OFFSET($H$3,0,0,'Données projet'!$E$9+1,1))</f>
        <v>469.67944008675863</v>
      </c>
      <c r="T36" s="62">
        <f t="shared" si="34"/>
        <v>266.11908070867173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0</v>
      </c>
      <c r="AA36" s="23">
        <f>EXP(-LN(2)/25)*AA35+(1-EXP(-LN(2)/25))/(LN(2)/25)*Calculateur!V36*Calculateur!X36*VLOOKUP('Données projet'!$B$9,Paramètres!$A$1:$I$89,3,0)*0.475*44/12</f>
        <v>0</v>
      </c>
      <c r="AB36" s="23">
        <f>EXP(-LN(2)/2)*AB35+(1-EXP(-LN(2)/2))/(LN(2)/2)*V36*Y36*VLOOKUP('Données projet'!$B$9,Paramètres!$A$1:$I$89,3,0)*0.475*44/12</f>
        <v>0</v>
      </c>
      <c r="AC36" s="24">
        <f t="shared" si="3"/>
        <v>0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6.4102564102564115</v>
      </c>
      <c r="AI36" s="14">
        <f>IF('Données projet'!$A$62&gt;35,AI35+AH36-AQ35,IF(A36&lt;'Données projet'!$A$62,$AF$205^A36,IF(A36='Données projet'!$A$62,'Données projet'!$B$62,AI35+AH36-AQ35)))</f>
        <v>123.71794871794864</v>
      </c>
      <c r="AJ36" s="14">
        <f>AI36*VLOOKUP('Données projet'!$B$10,Paramètres!$A$1:$I$89,3,0)*VLOOKUP('Données projet'!$B$10,Paramètres!$A$1:$I$89,5,0)</f>
        <v>117.72999999999993</v>
      </c>
      <c r="AK36" s="14">
        <f t="shared" si="35"/>
        <v>31.144972039735432</v>
      </c>
      <c r="AL36" s="22">
        <f t="shared" si="4"/>
        <v>259.29057630253902</v>
      </c>
      <c r="AM36" s="62">
        <f t="shared" si="5"/>
        <v>501.17142213707973</v>
      </c>
      <c r="AN36" s="62">
        <f ca="1">AVERAGE(OFFSET($AM$3,0,0,'Données projet'!$E$10+1,1))-AVERAGE(OFFSET($H$3,0,0,'Données projet'!$E$10+1,1))</f>
        <v>400.48230125343474</v>
      </c>
      <c r="AO36" s="62">
        <f t="shared" si="36"/>
        <v>275.67023303885048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0</v>
      </c>
      <c r="AV36" s="23">
        <f>EXP(-LN(2)/25)*AV35+(1-EXP(-LN(2)/25))/(LN(2)/25)*Calculateur!AQ36*Calculateur!AS36*VLOOKUP('Données projet'!$B$10,Paramètres!$A$1:$I$89,3,0)*0.475*44/12</f>
        <v>0</v>
      </c>
      <c r="AW36" s="23">
        <f>EXP(-LN(2)/2)*AW35+(1-EXP(-LN(2)/2))/(LN(2)/2)*AQ36*AT36*VLOOKUP('Données projet'!$B$10,Paramètres!$A$1:$I$89,3,0)*0.475*44/12</f>
        <v>0</v>
      </c>
      <c r="AX36" s="23">
        <f t="shared" si="6"/>
        <v>0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8</v>
      </c>
      <c r="BD36" s="13">
        <f>IF('Données projet'!$A$88&gt;35,BD35+BC36-BL35,IF(A36&lt;'Données projet'!$A$88,$BA$205^A36,IF(A36='Données projet'!$A$88,'Données projet'!$B$88,BD35+BC36-BL35)))</f>
        <v>100</v>
      </c>
      <c r="BE36" s="14">
        <f>BD36*VLOOKUP('Données projet'!$B$11,Paramètres!$A$1:$I$89,3,0)*VLOOKUP('Données projet'!$B$11,Paramètres!$A$1:$I$89,5,0)</f>
        <v>96.72</v>
      </c>
      <c r="BF36" s="14">
        <f t="shared" si="37"/>
        <v>26.179072558792139</v>
      </c>
      <c r="BG36" s="22">
        <f t="shared" si="7"/>
        <v>214.04921803989632</v>
      </c>
      <c r="BH36" s="62">
        <f t="shared" si="8"/>
        <v>455.93006387443705</v>
      </c>
      <c r="BI36" s="62">
        <f ca="1">AVERAGE(OFFSET($BH$3,0,0,'Données projet'!$E$11+1,1))-AVERAGE(OFFSET($H$3,0,0,'Données projet'!$E$11+1,1))</f>
        <v>496.33873798282525</v>
      </c>
      <c r="BJ36" s="62">
        <f t="shared" si="38"/>
        <v>280.25465074992246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>
        <f>EXP(-LN(2)/35)*BP35+(1-EXP(-LN(2)/35))/(LN(2)/35)*BL36*BM36*VLOOKUP('Données projet'!$B$11,Paramètres!$A$1:$I$89,3,0)*0.475*44/12</f>
        <v>0</v>
      </c>
      <c r="BQ36" s="23">
        <f>EXP(-LN(2)/25)*BQ35+(1-EXP(-LN(2)/25))/(LN(2)/25)*Calculateur!BL36*Calculateur!BN36*VLOOKUP('Données projet'!$B$11,Paramètres!$A$1:$I$89,3,0)*0.475*44/12</f>
        <v>0</v>
      </c>
      <c r="BR36" s="23">
        <f>EXP(-LN(2)/2)*BR35+(1-EXP(-LN(2)/2))/(LN(2)/2)*BL36*BO36*VLOOKUP('Données projet'!$B$11,Paramètres!$A$1:$I$89,3,0)*0.475*44/12</f>
        <v>0</v>
      </c>
      <c r="BS36" s="24">
        <f t="shared" si="9"/>
        <v>0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8.6</v>
      </c>
      <c r="BY36" s="13">
        <f>IF('Données projet'!$A$114&gt;35,BY35+BX36-CG35,IF(A36&lt;'Données projet'!$A$114,$BV$205^A36,IF(A36='Données projet'!$A$114,'Données projet'!$B$114,BY35+BX36-CG35)))</f>
        <v>139.79999999999998</v>
      </c>
      <c r="BZ36" s="14">
        <f>BY36*VLOOKUP('Données projet'!$B$12,Paramètres!$A$1:$I$89,3,0)*VLOOKUP('Données projet'!$B$12,Paramètres!$A$1:$I$89,5,0)</f>
        <v>122.12927999999999</v>
      </c>
      <c r="CA36" s="14">
        <f t="shared" si="39"/>
        <v>32.171109382958193</v>
      </c>
      <c r="CB36" s="22">
        <f t="shared" si="10"/>
        <v>268.73984484198553</v>
      </c>
      <c r="CC36" s="62">
        <f t="shared" si="11"/>
        <v>510.62069067652624</v>
      </c>
      <c r="CD36" s="62">
        <f ca="1">AVERAGE(OFFSET($CC$3,0,0,'Données projet'!$E$12+1,1))-AVERAGE(OFFSET($H$3,0,0,'Données projet'!$E$12+1,1))</f>
        <v>298.56812743477741</v>
      </c>
      <c r="CE36" s="62">
        <f t="shared" si="40"/>
        <v>276.01618888357268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>
        <f>EXP(-LN(2)/35)*CK35+(1-EXP(-LN(2)/35))/(LN(2)/35)*CG36*CH36*VLOOKUP('Données projet'!$B$12,Paramètres!$A$1:$I$89,3,0)*0.475*44/12</f>
        <v>0</v>
      </c>
      <c r="CL36" s="23">
        <f>EXP(-LN(2)/25)*CL35+(1-EXP(-LN(2)/25))/(LN(2)/25)*Calculateur!CG36*Calculateur!CI36*VLOOKUP('Données projet'!$B$12,Paramètres!$A$1:$I$89,3,0)*0.475*44/12</f>
        <v>0</v>
      </c>
      <c r="CM36" s="23">
        <f>EXP(-LN(2)/2)*CM35+(1-EXP(-LN(2)/2))/(LN(2)/2)*CG36*CJ36*VLOOKUP('Données projet'!$B$12,Paramètres!$A$1:$I$89,3,0)*0.475*44/12</f>
        <v>0</v>
      </c>
      <c r="CN36" s="24">
        <f t="shared" si="12"/>
        <v>0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7.6923076923076907</v>
      </c>
      <c r="CT36" s="13">
        <f>IF('Données projet'!$A$140&gt;35,CT35+CS36-DB35,IF(A36&lt;'Données projet'!$A$140,$CQ$205^A36,IF(A36='Données projet'!$A$140,'Données projet'!$B$140,CT35+CS36-DB35)))</f>
        <v>156.41025641025638</v>
      </c>
      <c r="CU36" s="18">
        <f>CT36*VLOOKUP('Données projet'!$B$13,Paramètres!$A$1:$I$89,3,0)*VLOOKUP('Données projet'!$B$13,Paramètres!$A$1:$I$89,5,0)</f>
        <v>104.91999999999999</v>
      </c>
      <c r="CV36" s="14">
        <f t="shared" si="41"/>
        <v>28.130823299932707</v>
      </c>
      <c r="CW36" s="22">
        <f t="shared" si="13"/>
        <v>231.73018391404943</v>
      </c>
      <c r="CX36" s="62">
        <f t="shared" si="14"/>
        <v>473.61102974859017</v>
      </c>
      <c r="CY36" s="62">
        <f ca="1">AVERAGE(OFFSET($CX$3,0,0,'Données projet'!$E$13+1,1))-AVERAGE(OFFSET($H$3,0,0,'Données projet'!$E$13+1,1))</f>
        <v>346.82725381974132</v>
      </c>
      <c r="CZ36" s="62">
        <f t="shared" si="42"/>
        <v>254.09787950201044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>
        <f>EXP(-LN(2)/35)*DF35+(1-EXP(-LN(2)/35))/(LN(2)/35)*DB36*DC36*VLOOKUP('Données projet'!$B$13,Paramètres!$A$1:$I$89,3,0)*0.475*44/12</f>
        <v>0</v>
      </c>
      <c r="DG36" s="23">
        <f>EXP(-LN(2)/25)*DG35+(1-EXP(-LN(2)/25))/(LN(2)/25)*Calculateur!DB36*Calculateur!DD36*VLOOKUP('Données projet'!$B$13,Paramètres!$A$1:$I$89,3,0)*0.475*44/12</f>
        <v>0</v>
      </c>
      <c r="DH36" s="23">
        <f>EXP(-LN(2)/2)*DH35+(1-EXP(-LN(2)/2))/(LN(2)/2)*DB36*DE36*VLOOKUP('Données projet'!$B$13,Paramètres!$A$1:$I$89,3,0)*0.475*44/12</f>
        <v>0</v>
      </c>
      <c r="DI36" s="24">
        <f t="shared" si="15"/>
        <v>0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5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2">
        <f t="shared" si="32"/>
        <v>0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18.333333333333332</v>
      </c>
      <c r="H37" s="70">
        <f t="shared" si="1"/>
        <v>183.33333333333334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8</v>
      </c>
      <c r="N37" s="14">
        <f>IF('Données projet'!$A$36&gt;35,N36+M37-V36,IF(A37&lt;'Données projet'!$A$36,$K$205^A37,IF(A37='Données projet'!$A$36,'Données projet'!$B$36,N36+M37-V36)))</f>
        <v>108</v>
      </c>
      <c r="O37" s="14">
        <f>N37*VLOOKUP('Données projet'!$B$9,Paramètres!$A$1:$I$89,3,0)*VLOOKUP('Données projet'!$B$9,Paramètres!$A$1:$I$89,5,0)</f>
        <v>97.718399999999988</v>
      </c>
      <c r="P37" s="14">
        <f t="shared" si="33"/>
        <v>26.417709819192194</v>
      </c>
      <c r="Q37" s="22">
        <f t="shared" si="53"/>
        <v>216.20372460175972</v>
      </c>
      <c r="R37" s="62">
        <f t="shared" si="0"/>
        <v>458.97715606387533</v>
      </c>
      <c r="S37" s="62">
        <f ca="1">AVERAGE(OFFSET($R$3,0,0,'Données projet'!$E$9+1,1))-AVERAGE(OFFSET($H$3,0,0,'Données projet'!$E$9+1,1))</f>
        <v>469.67944008675863</v>
      </c>
      <c r="T37" s="62">
        <f t="shared" si="34"/>
        <v>266.11908070867173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0</v>
      </c>
      <c r="AA37" s="23">
        <f>EXP(-LN(2)/25)*AA36+(1-EXP(-LN(2)/25))/(LN(2)/25)*Calculateur!V37*Calculateur!X37*VLOOKUP('Données projet'!$B$9,Paramètres!$A$1:$I$89,3,0)*0.475*44/12</f>
        <v>0</v>
      </c>
      <c r="AB37" s="23">
        <f>EXP(-LN(2)/2)*AB36+(1-EXP(-LN(2)/2))/(LN(2)/2)*V37*Y37*VLOOKUP('Données projet'!$B$9,Paramètres!$A$1:$I$89,3,0)*0.475*44/12</f>
        <v>0</v>
      </c>
      <c r="AC37" s="24">
        <f t="shared" si="3"/>
        <v>0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6.4102564102564115</v>
      </c>
      <c r="AI37" s="14">
        <f>IF('Données projet'!$A$62&gt;35,AI36+AH37-AQ36,IF(A37&lt;'Données projet'!$A$62,$AF$205^A37,IF(A37='Données projet'!$A$62,'Données projet'!$B$62,AI36+AH37-AQ36)))</f>
        <v>130.12820512820505</v>
      </c>
      <c r="AJ37" s="14">
        <f>AI37*VLOOKUP('Données projet'!$B$10,Paramètres!$A$1:$I$89,3,0)*VLOOKUP('Données projet'!$B$10,Paramètres!$A$1:$I$89,5,0)</f>
        <v>123.82999999999993</v>
      </c>
      <c r="AK37" s="14">
        <f t="shared" si="35"/>
        <v>32.566643959408495</v>
      </c>
      <c r="AL37" s="22">
        <f t="shared" si="4"/>
        <v>272.39082156263629</v>
      </c>
      <c r="AM37" s="62">
        <f t="shared" si="5"/>
        <v>515.16425302475182</v>
      </c>
      <c r="AN37" s="62">
        <f ca="1">AVERAGE(OFFSET($AM$3,0,0,'Données projet'!$E$10+1,1))-AVERAGE(OFFSET($H$3,0,0,'Données projet'!$E$10+1,1))</f>
        <v>400.48230125343474</v>
      </c>
      <c r="AO37" s="62">
        <f t="shared" si="36"/>
        <v>275.67023303885048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0</v>
      </c>
      <c r="AV37" s="23">
        <f>EXP(-LN(2)/25)*AV36+(1-EXP(-LN(2)/25))/(LN(2)/25)*Calculateur!AQ37*Calculateur!AS37*VLOOKUP('Données projet'!$B$10,Paramètres!$A$1:$I$89,3,0)*0.475*44/12</f>
        <v>0</v>
      </c>
      <c r="AW37" s="23">
        <f>EXP(-LN(2)/2)*AW36+(1-EXP(-LN(2)/2))/(LN(2)/2)*AQ37*AT37*VLOOKUP('Données projet'!$B$10,Paramètres!$A$1:$I$89,3,0)*0.475*44/12</f>
        <v>0</v>
      </c>
      <c r="AX37" s="23">
        <f t="shared" si="6"/>
        <v>0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8</v>
      </c>
      <c r="BD37" s="13">
        <f>IF('Données projet'!$A$88&gt;35,BD36+BC37-BL36,IF(A37&lt;'Données projet'!$A$88,$BA$205^A37,IF(A37='Données projet'!$A$88,'Données projet'!$B$88,BD36+BC37-BL36)))</f>
        <v>108</v>
      </c>
      <c r="BE37" s="14">
        <f>BD37*VLOOKUP('Données projet'!$B$11,Paramètres!$A$1:$I$89,3,0)*VLOOKUP('Données projet'!$B$11,Paramètres!$A$1:$I$89,5,0)</f>
        <v>104.4576</v>
      </c>
      <c r="BF37" s="14">
        <f t="shared" si="37"/>
        <v>28.021248860498272</v>
      </c>
      <c r="BG37" s="22">
        <f t="shared" si="7"/>
        <v>230.73399509870114</v>
      </c>
      <c r="BH37" s="62">
        <f t="shared" si="8"/>
        <v>473.50742656081673</v>
      </c>
      <c r="BI37" s="62">
        <f ca="1">AVERAGE(OFFSET($BH$3,0,0,'Données projet'!$E$11+1,1))-AVERAGE(OFFSET($H$3,0,0,'Données projet'!$E$11+1,1))</f>
        <v>496.33873798282525</v>
      </c>
      <c r="BJ37" s="62">
        <f t="shared" si="38"/>
        <v>280.25465074992246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>
        <f>EXP(-LN(2)/35)*BP36+(1-EXP(-LN(2)/35))/(LN(2)/35)*BL37*BM37*VLOOKUP('Données projet'!$B$11,Paramètres!$A$1:$I$89,3,0)*0.475*44/12</f>
        <v>0</v>
      </c>
      <c r="BQ37" s="23">
        <f>EXP(-LN(2)/25)*BQ36+(1-EXP(-LN(2)/25))/(LN(2)/25)*Calculateur!BL37*Calculateur!BN37*VLOOKUP('Données projet'!$B$11,Paramètres!$A$1:$I$89,3,0)*0.475*44/12</f>
        <v>0</v>
      </c>
      <c r="BR37" s="23">
        <f>EXP(-LN(2)/2)*BR36+(1-EXP(-LN(2)/2))/(LN(2)/2)*BL37*BO37*VLOOKUP('Données projet'!$B$11,Paramètres!$A$1:$I$89,3,0)*0.475*44/12</f>
        <v>0</v>
      </c>
      <c r="BS37" s="24">
        <f t="shared" si="9"/>
        <v>0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8.6</v>
      </c>
      <c r="BY37" s="13">
        <f>IF('Données projet'!$A$114&gt;35,BY36+BX37-CG36,IF(A37&lt;'Données projet'!$A$114,$BV$205^A37,IF(A37='Données projet'!$A$114,'Données projet'!$B$114,BY36+BX37-CG36)))</f>
        <v>148.39999999999998</v>
      </c>
      <c r="BZ37" s="14">
        <f>BY37*VLOOKUP('Données projet'!$B$12,Paramètres!$A$1:$I$89,3,0)*VLOOKUP('Données projet'!$B$12,Paramètres!$A$1:$I$89,5,0)</f>
        <v>129.64224000000002</v>
      </c>
      <c r="CA37" s="14">
        <f t="shared" si="39"/>
        <v>33.91367824625322</v>
      </c>
      <c r="CB37" s="22">
        <f t="shared" si="10"/>
        <v>284.85989094555777</v>
      </c>
      <c r="CC37" s="62">
        <f t="shared" si="11"/>
        <v>527.6333224076734</v>
      </c>
      <c r="CD37" s="62">
        <f ca="1">AVERAGE(OFFSET($CC$3,0,0,'Données projet'!$E$12+1,1))-AVERAGE(OFFSET($H$3,0,0,'Données projet'!$E$12+1,1))</f>
        <v>298.56812743477741</v>
      </c>
      <c r="CE37" s="62">
        <f t="shared" si="40"/>
        <v>276.01618888357268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>
        <f>EXP(-LN(2)/35)*CK36+(1-EXP(-LN(2)/35))/(LN(2)/35)*CG37*CH37*VLOOKUP('Données projet'!$B$12,Paramètres!$A$1:$I$89,3,0)*0.475*44/12</f>
        <v>0</v>
      </c>
      <c r="CL37" s="23">
        <f>EXP(-LN(2)/25)*CL36+(1-EXP(-LN(2)/25))/(LN(2)/25)*Calculateur!CG37*Calculateur!CI37*VLOOKUP('Données projet'!$B$12,Paramètres!$A$1:$I$89,3,0)*0.475*44/12</f>
        <v>0</v>
      </c>
      <c r="CM37" s="23">
        <f>EXP(-LN(2)/2)*CM36+(1-EXP(-LN(2)/2))/(LN(2)/2)*CG37*CJ37*VLOOKUP('Données projet'!$B$12,Paramètres!$A$1:$I$89,3,0)*0.475*44/12</f>
        <v>0</v>
      </c>
      <c r="CN37" s="24">
        <f t="shared" si="12"/>
        <v>0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7.6923076923076907</v>
      </c>
      <c r="CT37" s="13">
        <f>IF('Données projet'!$A$140&gt;35,CT36+CS37-DB36,IF(A37&lt;'Données projet'!$A$140,$CQ$205^A37,IF(A37='Données projet'!$A$140,'Données projet'!$B$140,CT36+CS37-DB36)))</f>
        <v>164.10256410256406</v>
      </c>
      <c r="CU37" s="18">
        <f>CT37*VLOOKUP('Données projet'!$B$13,Paramètres!$A$1:$I$89,3,0)*VLOOKUP('Données projet'!$B$13,Paramètres!$A$1:$I$89,5,0)</f>
        <v>110.07999999999997</v>
      </c>
      <c r="CV37" s="14">
        <f t="shared" si="41"/>
        <v>29.349832398940979</v>
      </c>
      <c r="CW37" s="22">
        <f t="shared" si="13"/>
        <v>242.84029142815552</v>
      </c>
      <c r="CX37" s="62">
        <f t="shared" si="14"/>
        <v>485.61372289027111</v>
      </c>
      <c r="CY37" s="62">
        <f ca="1">AVERAGE(OFFSET($CX$3,0,0,'Données projet'!$E$13+1,1))-AVERAGE(OFFSET($H$3,0,0,'Données projet'!$E$13+1,1))</f>
        <v>346.82725381974132</v>
      </c>
      <c r="CZ37" s="62">
        <f t="shared" si="42"/>
        <v>254.09787950201044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>
        <f>EXP(-LN(2)/35)*DF36+(1-EXP(-LN(2)/35))/(LN(2)/35)*DB37*DC37*VLOOKUP('Données projet'!$B$13,Paramètres!$A$1:$I$89,3,0)*0.475*44/12</f>
        <v>0</v>
      </c>
      <c r="DG37" s="23">
        <f>EXP(-LN(2)/25)*DG36+(1-EXP(-LN(2)/25))/(LN(2)/25)*Calculateur!DB37*Calculateur!DD37*VLOOKUP('Données projet'!$B$13,Paramètres!$A$1:$I$89,3,0)*0.475*44/12</f>
        <v>0</v>
      </c>
      <c r="DH37" s="23">
        <f>EXP(-LN(2)/2)*DH36+(1-EXP(-LN(2)/2))/(LN(2)/2)*DB37*DE37*VLOOKUP('Données projet'!$B$13,Paramètres!$A$1:$I$89,3,0)*0.475*44/12</f>
        <v>0</v>
      </c>
      <c r="DI37" s="24">
        <f t="shared" si="15"/>
        <v>0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5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2">
        <f t="shared" si="32"/>
        <v>0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18.333333333333332</v>
      </c>
      <c r="H38" s="70">
        <f t="shared" si="1"/>
        <v>183.33333333333334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>
        <f>VLOOKUP(A38,'Données projet'!$A$35:$I$55,2,0)</f>
        <v>116</v>
      </c>
      <c r="L38" s="13">
        <f>VLOOKUP(A38,'Données projet'!$A$35:$I$55,9,0)</f>
        <v>8</v>
      </c>
      <c r="M38" s="13">
        <f t="array" ref="M38">INDEX(L:L,MIN(IF(ISNUMBER(L38:L234),ROW(L38:L234),"")))</f>
        <v>8</v>
      </c>
      <c r="N38" s="14">
        <f>IF('Données projet'!$A$36&gt;35,N37+M38-V37,IF(A38&lt;'Données projet'!$A$36,$K$205^A38,IF(A38='Données projet'!$A$36,'Données projet'!$B$36,N37+M38-V37)))</f>
        <v>116</v>
      </c>
      <c r="O38" s="14">
        <f>N38*VLOOKUP('Données projet'!$B$9,Paramètres!$A$1:$I$89,3,0)*VLOOKUP('Données projet'!$B$9,Paramètres!$A$1:$I$89,5,0)</f>
        <v>104.9568</v>
      </c>
      <c r="P38" s="14">
        <f t="shared" si="33"/>
        <v>28.139541339232373</v>
      </c>
      <c r="Q38" s="22">
        <f t="shared" si="53"/>
        <v>231.8094611658297</v>
      </c>
      <c r="R38" s="62">
        <f t="shared" si="0"/>
        <v>475.45999389040423</v>
      </c>
      <c r="S38" s="62">
        <f ca="1">AVERAGE(OFFSET($R$3,0,0,'Données projet'!$E$9+1,1))-AVERAGE(OFFSET($H$3,0,0,'Données projet'!$E$9+1,1))</f>
        <v>469.67944008675863</v>
      </c>
      <c r="T38" s="62">
        <f t="shared" si="34"/>
        <v>266.11908070867173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0</v>
      </c>
      <c r="AA38" s="23">
        <f>EXP(-LN(2)/25)*AA37+(1-EXP(-LN(2)/25))/(LN(2)/25)*Calculateur!V38*Calculateur!X38*VLOOKUP('Données projet'!$B$9,Paramètres!$A$1:$I$89,3,0)*0.475*44/12</f>
        <v>0</v>
      </c>
      <c r="AB38" s="23">
        <f>EXP(-LN(2)/2)*AB37+(1-EXP(-LN(2)/2))/(LN(2)/2)*V38*Y38*VLOOKUP('Données projet'!$B$9,Paramètres!$A$1:$I$89,3,0)*0.475*44/12</f>
        <v>0</v>
      </c>
      <c r="AC38" s="24">
        <f t="shared" si="3"/>
        <v>0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>
        <f>VLOOKUP(A38,'Données projet'!$A$61:$I$81,2,0)</f>
        <v>136.53846153846155</v>
      </c>
      <c r="AG38" s="13">
        <f>VLOOKUP(A38,'Données projet'!$A$61:$I$81,9,0)</f>
        <v>6.4102564102564115</v>
      </c>
      <c r="AH38" s="13">
        <f t="array" ref="AH38">INDEX(AG:AG,MIN(IF(ISNUMBER(AG38:AG234),ROW(AG38:AG234),"")))</f>
        <v>6.4102564102564115</v>
      </c>
      <c r="AI38" s="14">
        <f>IF('Données projet'!$A$62&gt;35,AI37+AH38-AQ37,IF(A38&lt;'Données projet'!$A$62,$AF$205^A38,IF(A38='Données projet'!$A$62,'Données projet'!$B$62,AI37+AH38-AQ37)))</f>
        <v>136.53846153846146</v>
      </c>
      <c r="AJ38" s="14">
        <f>AI38*VLOOKUP('Données projet'!$B$10,Paramètres!$A$1:$I$89,3,0)*VLOOKUP('Données projet'!$B$10,Paramètres!$A$1:$I$89,5,0)</f>
        <v>129.92999999999992</v>
      </c>
      <c r="AK38" s="14">
        <f t="shared" si="35"/>
        <v>33.980183880600833</v>
      </c>
      <c r="AL38" s="22">
        <f t="shared" si="4"/>
        <v>285.47690359204631</v>
      </c>
      <c r="AM38" s="62">
        <f t="shared" si="5"/>
        <v>529.12743631662079</v>
      </c>
      <c r="AN38" s="62">
        <f ca="1">AVERAGE(OFFSET($AM$3,0,0,'Données projet'!$E$10+1,1))-AVERAGE(OFFSET($H$3,0,0,'Données projet'!$E$10+1,1))</f>
        <v>400.48230125343474</v>
      </c>
      <c r="AO38" s="62">
        <f t="shared" si="36"/>
        <v>275.67023303885048</v>
      </c>
      <c r="AP38" s="16">
        <f>IF(ISNA(VLOOKUP(A38,'Données projet'!$A$61:$I$81,3,0)),0,VLOOKUP(A38,'Données projet'!$A$61:$I$81,3,0))</f>
        <v>2</v>
      </c>
      <c r="AQ38" s="16">
        <f>IF(ISNA(VLOOKUP(A38,'Données projet'!$A$61:$I$81,4,0)),0,VLOOKUP(A38,'Données projet'!$A$61:$I$81,4,0))</f>
        <v>27.564102564102562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0</v>
      </c>
      <c r="AV38" s="23">
        <f>EXP(-LN(2)/25)*AV37+(1-EXP(-LN(2)/25))/(LN(2)/25)*Calculateur!AQ38*Calculateur!AS38*VLOOKUP('Données projet'!$B$10,Paramètres!$A$1:$I$89,3,0)*0.475*44/12</f>
        <v>0</v>
      </c>
      <c r="AW38" s="23">
        <f>EXP(-LN(2)/2)*AW37+(1-EXP(-LN(2)/2))/(LN(2)/2)*AQ38*AT38*VLOOKUP('Données projet'!$B$10,Paramètres!$A$1:$I$89,3,0)*0.475*44/12</f>
        <v>0</v>
      </c>
      <c r="AX38" s="23">
        <f t="shared" si="6"/>
        <v>0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>
        <f>VLOOKUP(A38,'Données projet'!$A$87:$I$107,2,0)</f>
        <v>116</v>
      </c>
      <c r="BB38" s="13">
        <f>VLOOKUP(A38,'Données projet'!$A$87:$I$107,9,0)</f>
        <v>8</v>
      </c>
      <c r="BC38" s="13">
        <f t="array" ref="BC38">INDEX(BB:BB,MIN(IF(ISNUMBER(BB38:BB234),ROW(BB38:BB234),"")))</f>
        <v>8</v>
      </c>
      <c r="BD38" s="13">
        <f>IF('Données projet'!$A$88&gt;35,BD37+BC38-BL37,IF(A38&lt;'Données projet'!$A$88,$BA$205^A38,IF(A38='Données projet'!$A$88,'Données projet'!$B$88,BD37+BC38-BL37)))</f>
        <v>116</v>
      </c>
      <c r="BE38" s="14">
        <f>BD38*VLOOKUP('Données projet'!$B$11,Paramètres!$A$1:$I$89,3,0)*VLOOKUP('Données projet'!$B$11,Paramètres!$A$1:$I$89,5,0)</f>
        <v>112.1952</v>
      </c>
      <c r="BF38" s="14">
        <f t="shared" si="37"/>
        <v>29.847594514573263</v>
      </c>
      <c r="BG38" s="22">
        <f t="shared" si="7"/>
        <v>247.39120044621509</v>
      </c>
      <c r="BH38" s="62">
        <f t="shared" si="8"/>
        <v>491.0417331707896</v>
      </c>
      <c r="BI38" s="62">
        <f ca="1">AVERAGE(OFFSET($BH$3,0,0,'Données projet'!$E$11+1,1))-AVERAGE(OFFSET($H$3,0,0,'Données projet'!$E$11+1,1))</f>
        <v>496.33873798282525</v>
      </c>
      <c r="BJ38" s="62">
        <f t="shared" si="38"/>
        <v>280.25465074992246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>
        <f>EXP(-LN(2)/35)*BP37+(1-EXP(-LN(2)/35))/(LN(2)/35)*BL38*BM38*VLOOKUP('Données projet'!$B$11,Paramètres!$A$1:$I$89,3,0)*0.475*44/12</f>
        <v>0</v>
      </c>
      <c r="BQ38" s="23">
        <f>EXP(-LN(2)/25)*BQ37+(1-EXP(-LN(2)/25))/(LN(2)/25)*Calculateur!BL38*Calculateur!BN38*VLOOKUP('Données projet'!$B$11,Paramètres!$A$1:$I$89,3,0)*0.475*44/12</f>
        <v>0</v>
      </c>
      <c r="BR38" s="23">
        <f>EXP(-LN(2)/2)*BR37+(1-EXP(-LN(2)/2))/(LN(2)/2)*BL38*BO38*VLOOKUP('Données projet'!$B$11,Paramètres!$A$1:$I$89,3,0)*0.475*44/12</f>
        <v>0</v>
      </c>
      <c r="BS38" s="24">
        <f t="shared" si="9"/>
        <v>0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>
        <f>VLOOKUP(A38,'Données projet'!$A$113:$I$133,2,0)</f>
        <v>157</v>
      </c>
      <c r="BW38" s="13">
        <f>VLOOKUP(A38,'Données projet'!$A$113:$I$133,9,0)</f>
        <v>8.6</v>
      </c>
      <c r="BX38" s="13">
        <f t="array" ref="BX38">INDEX(BW:BW,MIN(IF(ISNUMBER(BW38:BW234),ROW(BW38:BW234),"")))</f>
        <v>8.6</v>
      </c>
      <c r="BY38" s="13">
        <f>IF('Données projet'!$A$114&gt;35,BY37+BX38-CG37,IF(A38&lt;'Données projet'!$A$114,$BV$205^A38,IF(A38='Données projet'!$A$114,'Données projet'!$B$114,BY37+BX38-CG37)))</f>
        <v>156.99999999999997</v>
      </c>
      <c r="BZ38" s="14">
        <f>BY38*VLOOKUP('Données projet'!$B$12,Paramètres!$A$1:$I$89,3,0)*VLOOKUP('Données projet'!$B$12,Paramètres!$A$1:$I$89,5,0)</f>
        <v>137.15519999999998</v>
      </c>
      <c r="CA38" s="14">
        <f t="shared" si="39"/>
        <v>35.644525151069693</v>
      </c>
      <c r="CB38" s="22">
        <f t="shared" si="10"/>
        <v>300.95952130477968</v>
      </c>
      <c r="CC38" s="62">
        <f t="shared" si="11"/>
        <v>544.61005402935416</v>
      </c>
      <c r="CD38" s="62">
        <f ca="1">AVERAGE(OFFSET($CC$3,0,0,'Données projet'!$E$12+1,1))-AVERAGE(OFFSET($H$3,0,0,'Données projet'!$E$12+1,1))</f>
        <v>298.56812743477741</v>
      </c>
      <c r="CE38" s="62">
        <f t="shared" si="40"/>
        <v>276.01618888357268</v>
      </c>
      <c r="CF38" s="16">
        <f>IF(ISNA(VLOOKUP(A38,'Données projet'!$A$113:$I$133,3,0)),0,VLOOKUP(A38,'Données projet'!$A$113:$I$133,3,0))</f>
        <v>2</v>
      </c>
      <c r="CG38" s="16">
        <f>IF(ISNA(VLOOKUP(A38,'Données projet'!$A$113:$I$133,4,0)),0,VLOOKUP(A38,'Données projet'!$A$113:$I$133,4,0))</f>
        <v>42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>
        <f>EXP(-LN(2)/35)*CK37+(1-EXP(-LN(2)/35))/(LN(2)/35)*CG38*CH38*VLOOKUP('Données projet'!$B$12,Paramètres!$A$1:$I$89,3,0)*0.475*44/12</f>
        <v>0</v>
      </c>
      <c r="CL38" s="23">
        <f>EXP(-LN(2)/25)*CL37+(1-EXP(-LN(2)/25))/(LN(2)/25)*Calculateur!CG38*Calculateur!CI38*VLOOKUP('Données projet'!$B$12,Paramètres!$A$1:$I$89,3,0)*0.475*44/12</f>
        <v>0</v>
      </c>
      <c r="CM38" s="23">
        <f>EXP(-LN(2)/2)*CM37+(1-EXP(-LN(2)/2))/(LN(2)/2)*CG38*CJ38*VLOOKUP('Données projet'!$B$12,Paramètres!$A$1:$I$89,3,0)*0.475*44/12</f>
        <v>0</v>
      </c>
      <c r="CN38" s="24">
        <f t="shared" si="12"/>
        <v>0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>
        <f>VLOOKUP(A38,'Données projet'!$A$139:$I$159,2,0)</f>
        <v>171.7948717948718</v>
      </c>
      <c r="CR38" s="13">
        <f>VLOOKUP(A38,'Données projet'!$A$139:$I$159,9,0)</f>
        <v>7.6923076923076907</v>
      </c>
      <c r="CS38" s="13">
        <f t="array" ref="CS38">INDEX(CR:CR,MIN(IF(ISNUMBER(CR38:CR234),ROW(CR38:CR234),"")))</f>
        <v>7.6923076923076907</v>
      </c>
      <c r="CT38" s="13">
        <f>IF('Données projet'!$A$140&gt;35,CT37+CS38-DB37,IF(A38&lt;'Données projet'!$A$140,$CQ$205^A38,IF(A38='Données projet'!$A$140,'Données projet'!$B$140,CT37+CS38-DB37)))</f>
        <v>171.79487179487174</v>
      </c>
      <c r="CU38" s="18">
        <f>CT38*VLOOKUP('Données projet'!$B$13,Paramètres!$A$1:$I$89,3,0)*VLOOKUP('Données projet'!$B$13,Paramètres!$A$1:$I$89,5,0)</f>
        <v>115.23999999999997</v>
      </c>
      <c r="CV38" s="14">
        <f t="shared" si="41"/>
        <v>30.562205826107991</v>
      </c>
      <c r="CW38" s="22">
        <f t="shared" si="13"/>
        <v>253.93884181380466</v>
      </c>
      <c r="CX38" s="62">
        <f t="shared" si="14"/>
        <v>497.58937453837916</v>
      </c>
      <c r="CY38" s="62">
        <f ca="1">AVERAGE(OFFSET($CX$3,0,0,'Données projet'!$E$13+1,1))-AVERAGE(OFFSET($H$3,0,0,'Données projet'!$E$13+1,1))</f>
        <v>346.82725381974132</v>
      </c>
      <c r="CZ38" s="62">
        <f t="shared" si="42"/>
        <v>254.09787950201044</v>
      </c>
      <c r="DA38" s="16">
        <f>IF(ISNA(VLOOKUP(A38,'Données projet'!$A$139:$I$159,3,0)),0,VLOOKUP(A38,'Données projet'!$A$139:$I$159,3,0))</f>
        <v>2</v>
      </c>
      <c r="DB38" s="16">
        <f>IF(ISNA(VLOOKUP(A38,'Données projet'!$A$139:$I$159,4,0)),0,VLOOKUP(A38,'Données projet'!$A$139:$I$159,4,0))</f>
        <v>33.974358974358971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>
        <f>EXP(-LN(2)/35)*DF37+(1-EXP(-LN(2)/35))/(LN(2)/35)*DB38*DC38*VLOOKUP('Données projet'!$B$13,Paramètres!$A$1:$I$89,3,0)*0.475*44/12</f>
        <v>0</v>
      </c>
      <c r="DG38" s="23">
        <f>EXP(-LN(2)/25)*DG37+(1-EXP(-LN(2)/25))/(LN(2)/25)*Calculateur!DB38*Calculateur!DD38*VLOOKUP('Données projet'!$B$13,Paramètres!$A$1:$I$89,3,0)*0.475*44/12</f>
        <v>0</v>
      </c>
      <c r="DH38" s="23">
        <f>EXP(-LN(2)/2)*DH37+(1-EXP(-LN(2)/2))/(LN(2)/2)*DB38*DE38*VLOOKUP('Données projet'!$B$13,Paramètres!$A$1:$I$89,3,0)*0.475*44/12</f>
        <v>0</v>
      </c>
      <c r="DI38" s="24">
        <f t="shared" si="15"/>
        <v>0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5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2">
        <f t="shared" si="32"/>
        <v>0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18.333333333333332</v>
      </c>
      <c r="H39" s="70">
        <f t="shared" si="1"/>
        <v>183.33333333333334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8.4</v>
      </c>
      <c r="N39" s="14">
        <f>IF('Données projet'!$A$36&gt;35,N38+M39-V38,IF(A39&lt;'Données projet'!$A$36,$K$205^A39,IF(A39='Données projet'!$A$36,'Données projet'!$B$36,N38+M39-V38)))</f>
        <v>124.4</v>
      </c>
      <c r="O39" s="14">
        <f>N39*VLOOKUP('Données projet'!$B$9,Paramètres!$A$1:$I$89,3,0)*VLOOKUP('Données projet'!$B$9,Paramètres!$A$1:$I$89,5,0)</f>
        <v>112.55712000000001</v>
      </c>
      <c r="P39" s="14">
        <f t="shared" si="33"/>
        <v>29.932653834140599</v>
      </c>
      <c r="Q39" s="22">
        <f t="shared" si="53"/>
        <v>248.16968942779488</v>
      </c>
      <c r="R39" s="62">
        <f t="shared" si="0"/>
        <v>492.6821076688293</v>
      </c>
      <c r="S39" s="62">
        <f ca="1">AVERAGE(OFFSET($R$3,0,0,'Données projet'!$E$9+1,1))-AVERAGE(OFFSET($H$3,0,0,'Données projet'!$E$9+1,1))</f>
        <v>469.67944008675863</v>
      </c>
      <c r="T39" s="62">
        <f t="shared" si="34"/>
        <v>266.11908070867173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0</v>
      </c>
      <c r="AA39" s="23">
        <f>EXP(-LN(2)/25)*AA38+(1-EXP(-LN(2)/25))/(LN(2)/25)*Calculateur!V39*Calculateur!X39*VLOOKUP('Données projet'!$B$9,Paramètres!$A$1:$I$89,3,0)*0.475*44/12</f>
        <v>0</v>
      </c>
      <c r="AB39" s="23">
        <f>EXP(-LN(2)/2)*AB38+(1-EXP(-LN(2)/2))/(LN(2)/2)*V39*Y39*VLOOKUP('Données projet'!$B$9,Paramètres!$A$1:$I$89,3,0)*0.475*44/12</f>
        <v>0</v>
      </c>
      <c r="AC39" s="24">
        <f t="shared" si="3"/>
        <v>0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5.8974358974358951</v>
      </c>
      <c r="AI39" s="14">
        <f>IF('Données projet'!$A$62&gt;35,AI38+AH39-AQ38,IF(A39&lt;'Données projet'!$A$62,$AF$205^A39,IF(A39='Données projet'!$A$62,'Données projet'!$B$62,AI38+AH39-AQ38)))</f>
        <v>114.87179487179478</v>
      </c>
      <c r="AJ39" s="14">
        <f>AI39*VLOOKUP('Données projet'!$B$10,Paramètres!$A$1:$I$89,3,0)*VLOOKUP('Données projet'!$B$10,Paramètres!$A$1:$I$89,5,0)</f>
        <v>109.3119999999999</v>
      </c>
      <c r="AK39" s="14">
        <f t="shared" si="35"/>
        <v>29.168827262472519</v>
      </c>
      <c r="AL39" s="22">
        <f t="shared" si="4"/>
        <v>241.1874408154728</v>
      </c>
      <c r="AM39" s="62">
        <f t="shared" si="5"/>
        <v>485.69985905650719</v>
      </c>
      <c r="AN39" s="62">
        <f ca="1">AVERAGE(OFFSET($AM$3,0,0,'Données projet'!$E$10+1,1))-AVERAGE(OFFSET($H$3,0,0,'Données projet'!$E$10+1,1))</f>
        <v>400.48230125343474</v>
      </c>
      <c r="AO39" s="62">
        <f t="shared" si="36"/>
        <v>275.67023303885048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0</v>
      </c>
      <c r="AV39" s="23">
        <f>EXP(-LN(2)/25)*AV38+(1-EXP(-LN(2)/25))/(LN(2)/25)*Calculateur!AQ39*Calculateur!AS39*VLOOKUP('Données projet'!$B$10,Paramètres!$A$1:$I$89,3,0)*0.475*44/12</f>
        <v>0</v>
      </c>
      <c r="AW39" s="23">
        <f>EXP(-LN(2)/2)*AW38+(1-EXP(-LN(2)/2))/(LN(2)/2)*AQ39*AT39*VLOOKUP('Données projet'!$B$10,Paramètres!$A$1:$I$89,3,0)*0.475*44/12</f>
        <v>0</v>
      </c>
      <c r="AX39" s="23">
        <f t="shared" si="6"/>
        <v>0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8.4</v>
      </c>
      <c r="BD39" s="13">
        <f>IF('Données projet'!$A$88&gt;35,BD38+BC39-BL38,IF(A39&lt;'Données projet'!$A$88,$BA$205^A39,IF(A39='Données projet'!$A$88,'Données projet'!$B$88,BD38+BC39-BL38)))</f>
        <v>124.4</v>
      </c>
      <c r="BE39" s="14">
        <f>BD39*VLOOKUP('Données projet'!$B$11,Paramètres!$A$1:$I$89,3,0)*VLOOKUP('Données projet'!$B$11,Paramètres!$A$1:$I$89,5,0)</f>
        <v>120.31968000000001</v>
      </c>
      <c r="BF39" s="14">
        <f t="shared" si="37"/>
        <v>31.74954785566829</v>
      </c>
      <c r="BG39" s="22">
        <f t="shared" si="7"/>
        <v>264.85390518195555</v>
      </c>
      <c r="BH39" s="62">
        <f t="shared" si="8"/>
        <v>509.36632342298998</v>
      </c>
      <c r="BI39" s="62">
        <f ca="1">AVERAGE(OFFSET($BH$3,0,0,'Données projet'!$E$11+1,1))-AVERAGE(OFFSET($H$3,0,0,'Données projet'!$E$11+1,1))</f>
        <v>496.33873798282525</v>
      </c>
      <c r="BJ39" s="62">
        <f t="shared" si="38"/>
        <v>280.25465074992246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>
        <f>EXP(-LN(2)/35)*BP38+(1-EXP(-LN(2)/35))/(LN(2)/35)*BL39*BM39*VLOOKUP('Données projet'!$B$11,Paramètres!$A$1:$I$89,3,0)*0.475*44/12</f>
        <v>0</v>
      </c>
      <c r="BQ39" s="23">
        <f>EXP(-LN(2)/25)*BQ38+(1-EXP(-LN(2)/25))/(LN(2)/25)*Calculateur!BL39*Calculateur!BN39*VLOOKUP('Données projet'!$B$11,Paramètres!$A$1:$I$89,3,0)*0.475*44/12</f>
        <v>0</v>
      </c>
      <c r="BR39" s="23">
        <f>EXP(-LN(2)/2)*BR38+(1-EXP(-LN(2)/2))/(LN(2)/2)*BL39*BO39*VLOOKUP('Données projet'!$B$11,Paramètres!$A$1:$I$89,3,0)*0.475*44/12</f>
        <v>0</v>
      </c>
      <c r="BS39" s="24">
        <f t="shared" si="9"/>
        <v>0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7.6</v>
      </c>
      <c r="BY39" s="13">
        <f>IF('Données projet'!$A$114&gt;35,BY38+BX39-CG38,IF(A39&lt;'Données projet'!$A$114,$BV$205^A39,IF(A39='Données projet'!$A$114,'Données projet'!$B$114,BY38+BX39-CG38)))</f>
        <v>122.59999999999997</v>
      </c>
      <c r="BZ39" s="14">
        <f>BY39*VLOOKUP('Données projet'!$B$12,Paramètres!$A$1:$I$89,3,0)*VLOOKUP('Données projet'!$B$12,Paramètres!$A$1:$I$89,5,0)</f>
        <v>107.10336</v>
      </c>
      <c r="CA39" s="14">
        <f t="shared" si="39"/>
        <v>28.647457255358184</v>
      </c>
      <c r="CB39" s="22">
        <f t="shared" si="10"/>
        <v>236.43267338641553</v>
      </c>
      <c r="CC39" s="62">
        <f t="shared" si="11"/>
        <v>480.94509162744998</v>
      </c>
      <c r="CD39" s="62">
        <f ca="1">AVERAGE(OFFSET($CC$3,0,0,'Données projet'!$E$12+1,1))-AVERAGE(OFFSET($H$3,0,0,'Données projet'!$E$12+1,1))</f>
        <v>298.56812743477741</v>
      </c>
      <c r="CE39" s="62">
        <f t="shared" si="40"/>
        <v>276.01618888357268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>
        <f>EXP(-LN(2)/35)*CK38+(1-EXP(-LN(2)/35))/(LN(2)/35)*CG39*CH39*VLOOKUP('Données projet'!$B$12,Paramètres!$A$1:$I$89,3,0)*0.475*44/12</f>
        <v>0</v>
      </c>
      <c r="CL39" s="23">
        <f>EXP(-LN(2)/25)*CL38+(1-EXP(-LN(2)/25))/(LN(2)/25)*Calculateur!CG39*Calculateur!CI39*VLOOKUP('Données projet'!$B$12,Paramètres!$A$1:$I$89,3,0)*0.475*44/12</f>
        <v>0</v>
      </c>
      <c r="CM39" s="23">
        <f>EXP(-LN(2)/2)*CM38+(1-EXP(-LN(2)/2))/(LN(2)/2)*CG39*CJ39*VLOOKUP('Données projet'!$B$12,Paramètres!$A$1:$I$89,3,0)*0.475*44/12</f>
        <v>0</v>
      </c>
      <c r="CN39" s="24">
        <f t="shared" si="12"/>
        <v>0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7.1794871794871771</v>
      </c>
      <c r="CT39" s="13">
        <f>IF('Données projet'!$A$140&gt;35,CT38+CS39-DB38,IF(A39&lt;'Données projet'!$A$140,$CQ$205^A39,IF(A39='Données projet'!$A$140,'Données projet'!$B$140,CT38+CS39-DB38)))</f>
        <v>144.99999999999994</v>
      </c>
      <c r="CU39" s="18">
        <f>CT39*VLOOKUP('Données projet'!$B$13,Paramètres!$A$1:$I$89,3,0)*VLOOKUP('Données projet'!$B$13,Paramètres!$A$1:$I$89,5,0)</f>
        <v>97.265999999999963</v>
      </c>
      <c r="CV39" s="14">
        <f t="shared" si="41"/>
        <v>26.309612648745606</v>
      </c>
      <c r="CW39" s="22">
        <f t="shared" si="13"/>
        <v>215.22752536323185</v>
      </c>
      <c r="CX39" s="62">
        <f t="shared" si="14"/>
        <v>459.73994360426627</v>
      </c>
      <c r="CY39" s="62">
        <f ca="1">AVERAGE(OFFSET($CX$3,0,0,'Données projet'!$E$13+1,1))-AVERAGE(OFFSET($H$3,0,0,'Données projet'!$E$13+1,1))</f>
        <v>346.82725381974132</v>
      </c>
      <c r="CZ39" s="62">
        <f t="shared" si="42"/>
        <v>254.09787950201044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>
        <f>EXP(-LN(2)/35)*DF38+(1-EXP(-LN(2)/35))/(LN(2)/35)*DB39*DC39*VLOOKUP('Données projet'!$B$13,Paramètres!$A$1:$I$89,3,0)*0.475*44/12</f>
        <v>0</v>
      </c>
      <c r="DG39" s="23">
        <f>EXP(-LN(2)/25)*DG38+(1-EXP(-LN(2)/25))/(LN(2)/25)*Calculateur!DB39*Calculateur!DD39*VLOOKUP('Données projet'!$B$13,Paramètres!$A$1:$I$89,3,0)*0.475*44/12</f>
        <v>0</v>
      </c>
      <c r="DH39" s="23">
        <f>EXP(-LN(2)/2)*DH38+(1-EXP(-LN(2)/2))/(LN(2)/2)*DB39*DE39*VLOOKUP('Données projet'!$B$13,Paramètres!$A$1:$I$89,3,0)*0.475*44/12</f>
        <v>0</v>
      </c>
      <c r="DI39" s="24">
        <f t="shared" si="15"/>
        <v>0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5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2">
        <f t="shared" si="32"/>
        <v>0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18.333333333333332</v>
      </c>
      <c r="H40" s="70">
        <f t="shared" si="1"/>
        <v>183.33333333333334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8.4</v>
      </c>
      <c r="N40" s="14">
        <f>IF('Données projet'!$A$36&gt;35,N39+M40-V39,IF(A40&lt;'Données projet'!$A$36,$K$205^A40,IF(A40='Données projet'!$A$36,'Données projet'!$B$36,N39+M40-V39)))</f>
        <v>132.80000000000001</v>
      </c>
      <c r="O40" s="14">
        <f>N40*VLOOKUP('Données projet'!$B$9,Paramètres!$A$1:$I$89,3,0)*VLOOKUP('Données projet'!$B$9,Paramètres!$A$1:$I$89,5,0)</f>
        <v>120.15744000000001</v>
      </c>
      <c r="P40" s="14">
        <f t="shared" si="33"/>
        <v>31.711716786129845</v>
      </c>
      <c r="Q40" s="22">
        <f t="shared" si="53"/>
        <v>264.50544806917611</v>
      </c>
      <c r="R40" s="62">
        <f t="shared" si="0"/>
        <v>509.86480003984718</v>
      </c>
      <c r="S40" s="62">
        <f ca="1">AVERAGE(OFFSET($R$3,0,0,'Données projet'!$E$9+1,1))-AVERAGE(OFFSET($H$3,0,0,'Données projet'!$E$9+1,1))</f>
        <v>469.67944008675863</v>
      </c>
      <c r="T40" s="62">
        <f t="shared" si="34"/>
        <v>266.11908070867173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0</v>
      </c>
      <c r="AA40" s="23">
        <f>EXP(-LN(2)/25)*AA39+(1-EXP(-LN(2)/25))/(LN(2)/25)*Calculateur!V40*Calculateur!X40*VLOOKUP('Données projet'!$B$9,Paramètres!$A$1:$I$89,3,0)*0.475*44/12</f>
        <v>0</v>
      </c>
      <c r="AB40" s="23">
        <f>EXP(-LN(2)/2)*AB39+(1-EXP(-LN(2)/2))/(LN(2)/2)*V40*Y40*VLOOKUP('Données projet'!$B$9,Paramètres!$A$1:$I$89,3,0)*0.475*44/12</f>
        <v>0</v>
      </c>
      <c r="AC40" s="24">
        <f t="shared" si="3"/>
        <v>0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5.8974358974358951</v>
      </c>
      <c r="AI40" s="14">
        <f>IF('Données projet'!$A$62&gt;35,AI39+AH40-AQ39,IF(A40&lt;'Données projet'!$A$62,$AF$205^A40,IF(A40='Données projet'!$A$62,'Données projet'!$B$62,AI39+AH40-AQ39)))</f>
        <v>120.76923076923067</v>
      </c>
      <c r="AJ40" s="14">
        <f>AI40*VLOOKUP('Données projet'!$B$10,Paramètres!$A$1:$I$89,3,0)*VLOOKUP('Données projet'!$B$10,Paramètres!$A$1:$I$89,5,0)</f>
        <v>114.92399999999991</v>
      </c>
      <c r="AK40" s="14">
        <f t="shared" si="35"/>
        <v>30.488144137293805</v>
      </c>
      <c r="AL40" s="22">
        <f t="shared" si="4"/>
        <v>253.25948437245322</v>
      </c>
      <c r="AM40" s="62">
        <f t="shared" si="5"/>
        <v>498.61883634312431</v>
      </c>
      <c r="AN40" s="62">
        <f ca="1">AVERAGE(OFFSET($AM$3,0,0,'Données projet'!$E$10+1,1))-AVERAGE(OFFSET($H$3,0,0,'Données projet'!$E$10+1,1))</f>
        <v>400.48230125343474</v>
      </c>
      <c r="AO40" s="62">
        <f t="shared" si="36"/>
        <v>275.67023303885048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0</v>
      </c>
      <c r="AV40" s="23">
        <f>EXP(-LN(2)/25)*AV39+(1-EXP(-LN(2)/25))/(LN(2)/25)*Calculateur!AQ40*Calculateur!AS40*VLOOKUP('Données projet'!$B$10,Paramètres!$A$1:$I$89,3,0)*0.475*44/12</f>
        <v>0</v>
      </c>
      <c r="AW40" s="23">
        <f>EXP(-LN(2)/2)*AW39+(1-EXP(-LN(2)/2))/(LN(2)/2)*AQ40*AT40*VLOOKUP('Données projet'!$B$10,Paramètres!$A$1:$I$89,3,0)*0.475*44/12</f>
        <v>0</v>
      </c>
      <c r="AX40" s="23">
        <f t="shared" si="6"/>
        <v>0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8.4</v>
      </c>
      <c r="BD40" s="13">
        <f>IF('Données projet'!$A$88&gt;35,BD39+BC40-BL39,IF(A40&lt;'Données projet'!$A$88,$BA$205^A40,IF(A40='Données projet'!$A$88,'Données projet'!$B$88,BD39+BC40-BL39)))</f>
        <v>132.80000000000001</v>
      </c>
      <c r="BE40" s="14">
        <f>BD40*VLOOKUP('Données projet'!$B$11,Paramètres!$A$1:$I$89,3,0)*VLOOKUP('Données projet'!$B$11,Paramètres!$A$1:$I$89,5,0)</f>
        <v>128.44416000000001</v>
      </c>
      <c r="BF40" s="14">
        <f t="shared" si="37"/>
        <v>33.636598855068925</v>
      </c>
      <c r="BG40" s="22">
        <f t="shared" si="7"/>
        <v>282.29065500591173</v>
      </c>
      <c r="BH40" s="62">
        <f t="shared" si="8"/>
        <v>527.65000697658286</v>
      </c>
      <c r="BI40" s="62">
        <f ca="1">AVERAGE(OFFSET($BH$3,0,0,'Données projet'!$E$11+1,1))-AVERAGE(OFFSET($H$3,0,0,'Données projet'!$E$11+1,1))</f>
        <v>496.33873798282525</v>
      </c>
      <c r="BJ40" s="62">
        <f t="shared" si="38"/>
        <v>280.25465074992246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>
        <f>EXP(-LN(2)/35)*BP39+(1-EXP(-LN(2)/35))/(LN(2)/35)*BL40*BM40*VLOOKUP('Données projet'!$B$11,Paramètres!$A$1:$I$89,3,0)*0.475*44/12</f>
        <v>0</v>
      </c>
      <c r="BQ40" s="23">
        <f>EXP(-LN(2)/25)*BQ39+(1-EXP(-LN(2)/25))/(LN(2)/25)*Calculateur!BL40*Calculateur!BN40*VLOOKUP('Données projet'!$B$11,Paramètres!$A$1:$I$89,3,0)*0.475*44/12</f>
        <v>0</v>
      </c>
      <c r="BR40" s="23">
        <f>EXP(-LN(2)/2)*BR39+(1-EXP(-LN(2)/2))/(LN(2)/2)*BL40*BO40*VLOOKUP('Données projet'!$B$11,Paramètres!$A$1:$I$89,3,0)*0.475*44/12</f>
        <v>0</v>
      </c>
      <c r="BS40" s="24">
        <f t="shared" si="9"/>
        <v>0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7.6</v>
      </c>
      <c r="BY40" s="13">
        <f>IF('Données projet'!$A$114&gt;35,BY39+BX40-CG39,IF(A40&lt;'Données projet'!$A$114,$BV$205^A40,IF(A40='Données projet'!$A$114,'Données projet'!$B$114,BY39+BX40-CG39)))</f>
        <v>130.19999999999996</v>
      </c>
      <c r="BZ40" s="14">
        <f>BY40*VLOOKUP('Données projet'!$B$12,Paramètres!$A$1:$I$89,3,0)*VLOOKUP('Données projet'!$B$12,Paramètres!$A$1:$I$89,5,0)</f>
        <v>113.74271999999996</v>
      </c>
      <c r="CA40" s="14">
        <f t="shared" si="39"/>
        <v>30.211074114233345</v>
      </c>
      <c r="CB40" s="22">
        <f t="shared" si="10"/>
        <v>250.71952474895636</v>
      </c>
      <c r="CC40" s="62">
        <f t="shared" si="11"/>
        <v>496.07887671962749</v>
      </c>
      <c r="CD40" s="62">
        <f ca="1">AVERAGE(OFFSET($CC$3,0,0,'Données projet'!$E$12+1,1))-AVERAGE(OFFSET($H$3,0,0,'Données projet'!$E$12+1,1))</f>
        <v>298.56812743477741</v>
      </c>
      <c r="CE40" s="62">
        <f t="shared" si="40"/>
        <v>276.01618888357268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>
        <f>EXP(-LN(2)/35)*CK39+(1-EXP(-LN(2)/35))/(LN(2)/35)*CG40*CH40*VLOOKUP('Données projet'!$B$12,Paramètres!$A$1:$I$89,3,0)*0.475*44/12</f>
        <v>0</v>
      </c>
      <c r="CL40" s="23">
        <f>EXP(-LN(2)/25)*CL39+(1-EXP(-LN(2)/25))/(LN(2)/25)*Calculateur!CG40*Calculateur!CI40*VLOOKUP('Données projet'!$B$12,Paramètres!$A$1:$I$89,3,0)*0.475*44/12</f>
        <v>0</v>
      </c>
      <c r="CM40" s="23">
        <f>EXP(-LN(2)/2)*CM39+(1-EXP(-LN(2)/2))/(LN(2)/2)*CG40*CJ40*VLOOKUP('Données projet'!$B$12,Paramètres!$A$1:$I$89,3,0)*0.475*44/12</f>
        <v>0</v>
      </c>
      <c r="CN40" s="24">
        <f t="shared" si="12"/>
        <v>0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7.1794871794871771</v>
      </c>
      <c r="CT40" s="13">
        <f>IF('Données projet'!$A$140&gt;35,CT39+CS40-DB39,IF(A40&lt;'Données projet'!$A$140,$CQ$205^A40,IF(A40='Données projet'!$A$140,'Données projet'!$B$140,CT39+CS40-DB39)))</f>
        <v>152.17948717948713</v>
      </c>
      <c r="CU40" s="18">
        <f>CT40*VLOOKUP('Données projet'!$B$13,Paramètres!$A$1:$I$89,3,0)*VLOOKUP('Données projet'!$B$13,Paramètres!$A$1:$I$89,5,0)</f>
        <v>102.08199999999997</v>
      </c>
      <c r="CV40" s="14">
        <f t="shared" si="41"/>
        <v>27.457408919716965</v>
      </c>
      <c r="CW40" s="22">
        <f t="shared" si="13"/>
        <v>225.61447053517361</v>
      </c>
      <c r="CX40" s="62">
        <f t="shared" si="14"/>
        <v>470.97382250584474</v>
      </c>
      <c r="CY40" s="62">
        <f ca="1">AVERAGE(OFFSET($CX$3,0,0,'Données projet'!$E$13+1,1))-AVERAGE(OFFSET($H$3,0,0,'Données projet'!$E$13+1,1))</f>
        <v>346.82725381974132</v>
      </c>
      <c r="CZ40" s="62">
        <f t="shared" si="42"/>
        <v>254.09787950201044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>
        <f>EXP(-LN(2)/35)*DF39+(1-EXP(-LN(2)/35))/(LN(2)/35)*DB40*DC40*VLOOKUP('Données projet'!$B$13,Paramètres!$A$1:$I$89,3,0)*0.475*44/12</f>
        <v>0</v>
      </c>
      <c r="DG40" s="23">
        <f>EXP(-LN(2)/25)*DG39+(1-EXP(-LN(2)/25))/(LN(2)/25)*Calculateur!DB40*Calculateur!DD40*VLOOKUP('Données projet'!$B$13,Paramètres!$A$1:$I$89,3,0)*0.475*44/12</f>
        <v>0</v>
      </c>
      <c r="DH40" s="23">
        <f>EXP(-LN(2)/2)*DH39+(1-EXP(-LN(2)/2))/(LN(2)/2)*DB40*DE40*VLOOKUP('Données projet'!$B$13,Paramètres!$A$1:$I$89,3,0)*0.475*44/12</f>
        <v>0</v>
      </c>
      <c r="DI40" s="24">
        <f t="shared" si="15"/>
        <v>0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5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2">
        <f t="shared" si="32"/>
        <v>0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18.333333333333332</v>
      </c>
      <c r="H41" s="70">
        <f t="shared" si="1"/>
        <v>183.33333333333334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8.4</v>
      </c>
      <c r="N41" s="14">
        <f>IF('Données projet'!$A$36&gt;35,N40+M41-V40,IF(A41&lt;'Données projet'!$A$36,$K$205^A41,IF(A41='Données projet'!$A$36,'Données projet'!$B$36,N40+M41-V40)))</f>
        <v>141.20000000000002</v>
      </c>
      <c r="O41" s="14">
        <f>N41*VLOOKUP('Données projet'!$B$9,Paramètres!$A$1:$I$89,3,0)*VLOOKUP('Données projet'!$B$9,Paramètres!$A$1:$I$89,5,0)</f>
        <v>127.75776</v>
      </c>
      <c r="P41" s="14">
        <f t="shared" si="33"/>
        <v>33.477720030956604</v>
      </c>
      <c r="Q41" s="22">
        <f t="shared" si="53"/>
        <v>280.81846105391611</v>
      </c>
      <c r="R41" s="62">
        <f t="shared" si="0"/>
        <v>527.01005434747481</v>
      </c>
      <c r="S41" s="62">
        <f ca="1">AVERAGE(OFFSET($R$3,0,0,'Données projet'!$E$9+1,1))-AVERAGE(OFFSET($H$3,0,0,'Données projet'!$E$9+1,1))</f>
        <v>469.67944008675863</v>
      </c>
      <c r="T41" s="62">
        <f t="shared" si="34"/>
        <v>266.11908070867173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0</v>
      </c>
      <c r="AA41" s="23">
        <f>EXP(-LN(2)/25)*AA40+(1-EXP(-LN(2)/25))/(LN(2)/25)*Calculateur!V41*Calculateur!X41*VLOOKUP('Données projet'!$B$9,Paramètres!$A$1:$I$89,3,0)*0.475*44/12</f>
        <v>0</v>
      </c>
      <c r="AB41" s="23">
        <f>EXP(-LN(2)/2)*AB40+(1-EXP(-LN(2)/2))/(LN(2)/2)*V41*Y41*VLOOKUP('Données projet'!$B$9,Paramètres!$A$1:$I$89,3,0)*0.475*44/12</f>
        <v>0</v>
      </c>
      <c r="AC41" s="24">
        <f t="shared" si="3"/>
        <v>0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5.8974358974358951</v>
      </c>
      <c r="AI41" s="14">
        <f>IF('Données projet'!$A$62&gt;35,AI40+AH41-AQ40,IF(A41&lt;'Données projet'!$A$62,$AF$205^A41,IF(A41='Données projet'!$A$62,'Données projet'!$B$62,AI40+AH41-AQ40)))</f>
        <v>126.66666666666657</v>
      </c>
      <c r="AJ41" s="14">
        <f>AI41*VLOOKUP('Données projet'!$B$10,Paramètres!$A$1:$I$89,3,0)*VLOOKUP('Données projet'!$B$10,Paramètres!$A$1:$I$89,5,0)</f>
        <v>120.53599999999992</v>
      </c>
      <c r="AK41" s="14">
        <f t="shared" si="35"/>
        <v>31.799980047464292</v>
      </c>
      <c r="AL41" s="22">
        <f t="shared" si="4"/>
        <v>265.31849858266679</v>
      </c>
      <c r="AM41" s="62">
        <f t="shared" si="5"/>
        <v>511.51009187622549</v>
      </c>
      <c r="AN41" s="62">
        <f ca="1">AVERAGE(OFFSET($AM$3,0,0,'Données projet'!$E$10+1,1))-AVERAGE(OFFSET($H$3,0,0,'Données projet'!$E$10+1,1))</f>
        <v>400.48230125343474</v>
      </c>
      <c r="AO41" s="62">
        <f t="shared" si="36"/>
        <v>275.67023303885048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0</v>
      </c>
      <c r="AV41" s="23">
        <f>EXP(-LN(2)/25)*AV40+(1-EXP(-LN(2)/25))/(LN(2)/25)*Calculateur!AQ41*Calculateur!AS41*VLOOKUP('Données projet'!$B$10,Paramètres!$A$1:$I$89,3,0)*0.475*44/12</f>
        <v>0</v>
      </c>
      <c r="AW41" s="23">
        <f>EXP(-LN(2)/2)*AW40+(1-EXP(-LN(2)/2))/(LN(2)/2)*AQ41*AT41*VLOOKUP('Données projet'!$B$10,Paramètres!$A$1:$I$89,3,0)*0.475*44/12</f>
        <v>0</v>
      </c>
      <c r="AX41" s="23">
        <f t="shared" si="6"/>
        <v>0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8.4</v>
      </c>
      <c r="BD41" s="13">
        <f>IF('Données projet'!$A$88&gt;35,BD40+BC41-BL40,IF(A41&lt;'Données projet'!$A$88,$BA$205^A41,IF(A41='Données projet'!$A$88,'Données projet'!$B$88,BD40+BC41-BL40)))</f>
        <v>141.20000000000002</v>
      </c>
      <c r="BE41" s="14">
        <f>BD41*VLOOKUP('Données projet'!$B$11,Paramètres!$A$1:$I$89,3,0)*VLOOKUP('Données projet'!$B$11,Paramètres!$A$1:$I$89,5,0)</f>
        <v>136.56864000000002</v>
      </c>
      <c r="BF41" s="14">
        <f t="shared" si="37"/>
        <v>35.509797430964703</v>
      </c>
      <c r="BG41" s="22">
        <f t="shared" si="7"/>
        <v>299.70327852559689</v>
      </c>
      <c r="BH41" s="62">
        <f t="shared" si="8"/>
        <v>545.89487181915558</v>
      </c>
      <c r="BI41" s="62">
        <f ca="1">AVERAGE(OFFSET($BH$3,0,0,'Données projet'!$E$11+1,1))-AVERAGE(OFFSET($H$3,0,0,'Données projet'!$E$11+1,1))</f>
        <v>496.33873798282525</v>
      </c>
      <c r="BJ41" s="62">
        <f t="shared" si="38"/>
        <v>280.25465074992246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>
        <f>EXP(-LN(2)/35)*BP40+(1-EXP(-LN(2)/35))/(LN(2)/35)*BL41*BM41*VLOOKUP('Données projet'!$B$11,Paramètres!$A$1:$I$89,3,0)*0.475*44/12</f>
        <v>0</v>
      </c>
      <c r="BQ41" s="23">
        <f>EXP(-LN(2)/25)*BQ40+(1-EXP(-LN(2)/25))/(LN(2)/25)*Calculateur!BL41*Calculateur!BN41*VLOOKUP('Données projet'!$B$11,Paramètres!$A$1:$I$89,3,0)*0.475*44/12</f>
        <v>0</v>
      </c>
      <c r="BR41" s="23">
        <f>EXP(-LN(2)/2)*BR40+(1-EXP(-LN(2)/2))/(LN(2)/2)*BL41*BO41*VLOOKUP('Données projet'!$B$11,Paramètres!$A$1:$I$89,3,0)*0.475*44/12</f>
        <v>0</v>
      </c>
      <c r="BS41" s="24">
        <f t="shared" si="9"/>
        <v>0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7.6</v>
      </c>
      <c r="BY41" s="13">
        <f>IF('Données projet'!$A$114&gt;35,BY40+BX41-CG40,IF(A41&lt;'Données projet'!$A$114,$BV$205^A41,IF(A41='Données projet'!$A$114,'Données projet'!$B$114,BY40+BX41-CG40)))</f>
        <v>137.79999999999995</v>
      </c>
      <c r="BZ41" s="14">
        <f>BY41*VLOOKUP('Données projet'!$B$12,Paramètres!$A$1:$I$89,3,0)*VLOOKUP('Données projet'!$B$12,Paramètres!$A$1:$I$89,5,0)</f>
        <v>120.38207999999997</v>
      </c>
      <c r="CA41" s="14">
        <f t="shared" si="39"/>
        <v>31.764096685603551</v>
      </c>
      <c r="CB41" s="22">
        <f t="shared" si="10"/>
        <v>264.98792439409277</v>
      </c>
      <c r="CC41" s="62">
        <f t="shared" si="11"/>
        <v>511.17951768765147</v>
      </c>
      <c r="CD41" s="62">
        <f ca="1">AVERAGE(OFFSET($CC$3,0,0,'Données projet'!$E$12+1,1))-AVERAGE(OFFSET($H$3,0,0,'Données projet'!$E$12+1,1))</f>
        <v>298.56812743477741</v>
      </c>
      <c r="CE41" s="62">
        <f t="shared" si="40"/>
        <v>276.01618888357268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>
        <f>EXP(-LN(2)/35)*CK40+(1-EXP(-LN(2)/35))/(LN(2)/35)*CG41*CH41*VLOOKUP('Données projet'!$B$12,Paramètres!$A$1:$I$89,3,0)*0.475*44/12</f>
        <v>0</v>
      </c>
      <c r="CL41" s="23">
        <f>EXP(-LN(2)/25)*CL40+(1-EXP(-LN(2)/25))/(LN(2)/25)*Calculateur!CG41*Calculateur!CI41*VLOOKUP('Données projet'!$B$12,Paramètres!$A$1:$I$89,3,0)*0.475*44/12</f>
        <v>0</v>
      </c>
      <c r="CM41" s="23">
        <f>EXP(-LN(2)/2)*CM40+(1-EXP(-LN(2)/2))/(LN(2)/2)*CG41*CJ41*VLOOKUP('Données projet'!$B$12,Paramètres!$A$1:$I$89,3,0)*0.475*44/12</f>
        <v>0</v>
      </c>
      <c r="CN41" s="24">
        <f t="shared" si="12"/>
        <v>0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7.1794871794871771</v>
      </c>
      <c r="CT41" s="13">
        <f>IF('Données projet'!$A$140&gt;35,CT40+CS41-DB40,IF(A41&lt;'Données projet'!$A$140,$CQ$205^A41,IF(A41='Données projet'!$A$140,'Données projet'!$B$140,CT40+CS41-DB40)))</f>
        <v>159.35897435897431</v>
      </c>
      <c r="CU41" s="18">
        <f>CT41*VLOOKUP('Données projet'!$B$13,Paramètres!$A$1:$I$89,3,0)*VLOOKUP('Données projet'!$B$13,Paramètres!$A$1:$I$89,5,0)</f>
        <v>106.89799999999995</v>
      </c>
      <c r="CV41" s="14">
        <f t="shared" si="41"/>
        <v>28.598916889719288</v>
      </c>
      <c r="CW41" s="22">
        <f t="shared" si="13"/>
        <v>235.99046358292765</v>
      </c>
      <c r="CX41" s="62">
        <f t="shared" si="14"/>
        <v>482.1820568764864</v>
      </c>
      <c r="CY41" s="62">
        <f ca="1">AVERAGE(OFFSET($CX$3,0,0,'Données projet'!$E$13+1,1))-AVERAGE(OFFSET($H$3,0,0,'Données projet'!$E$13+1,1))</f>
        <v>346.82725381974132</v>
      </c>
      <c r="CZ41" s="62">
        <f t="shared" si="42"/>
        <v>254.09787950201044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>
        <f>EXP(-LN(2)/35)*DF40+(1-EXP(-LN(2)/35))/(LN(2)/35)*DB41*DC41*VLOOKUP('Données projet'!$B$13,Paramètres!$A$1:$I$89,3,0)*0.475*44/12</f>
        <v>0</v>
      </c>
      <c r="DG41" s="23">
        <f>EXP(-LN(2)/25)*DG40+(1-EXP(-LN(2)/25))/(LN(2)/25)*Calculateur!DB41*Calculateur!DD41*VLOOKUP('Données projet'!$B$13,Paramètres!$A$1:$I$89,3,0)*0.475*44/12</f>
        <v>0</v>
      </c>
      <c r="DH41" s="23">
        <f>EXP(-LN(2)/2)*DH40+(1-EXP(-LN(2)/2))/(LN(2)/2)*DB41*DE41*VLOOKUP('Données projet'!$B$13,Paramètres!$A$1:$I$89,3,0)*0.475*44/12</f>
        <v>0</v>
      </c>
      <c r="DI41" s="24">
        <f t="shared" si="15"/>
        <v>0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5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2">
        <f t="shared" si="32"/>
        <v>0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18.333333333333332</v>
      </c>
      <c r="H42" s="70">
        <f t="shared" si="1"/>
        <v>183.33333333333334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8.4</v>
      </c>
      <c r="N42" s="14">
        <f>IF('Données projet'!$A$36&gt;35,N41+M42-V41,IF(A42&lt;'Données projet'!$A$36,$K$205^A42,IF(A42='Données projet'!$A$36,'Données projet'!$B$36,N41+M42-V41)))</f>
        <v>149.60000000000002</v>
      </c>
      <c r="O42" s="14">
        <f>N42*VLOOKUP('Données projet'!$B$9,Paramètres!$A$1:$I$89,3,0)*VLOOKUP('Données projet'!$B$9,Paramètres!$A$1:$I$89,5,0)</f>
        <v>135.35808</v>
      </c>
      <c r="P42" s="14">
        <f t="shared" si="33"/>
        <v>35.231528980112834</v>
      </c>
      <c r="Q42" s="22">
        <f t="shared" si="53"/>
        <v>297.11023564036316</v>
      </c>
      <c r="R42" s="62">
        <f t="shared" si="0"/>
        <v>544.11963273047024</v>
      </c>
      <c r="S42" s="62">
        <f ca="1">AVERAGE(OFFSET($R$3,0,0,'Données projet'!$E$9+1,1))-AVERAGE(OFFSET($H$3,0,0,'Données projet'!$E$9+1,1))</f>
        <v>469.67944008675863</v>
      </c>
      <c r="T42" s="62">
        <f t="shared" si="34"/>
        <v>266.11908070867173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0</v>
      </c>
      <c r="AA42" s="23">
        <f>EXP(-LN(2)/25)*AA41+(1-EXP(-LN(2)/25))/(LN(2)/25)*Calculateur!V42*Calculateur!X42*VLOOKUP('Données projet'!$B$9,Paramètres!$A$1:$I$89,3,0)*0.475*44/12</f>
        <v>0</v>
      </c>
      <c r="AB42" s="23">
        <f>EXP(-LN(2)/2)*AB41+(1-EXP(-LN(2)/2))/(LN(2)/2)*V42*Y42*VLOOKUP('Données projet'!$B$9,Paramètres!$A$1:$I$89,3,0)*0.475*44/12</f>
        <v>0</v>
      </c>
      <c r="AC42" s="24">
        <f t="shared" si="3"/>
        <v>0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5.8974358974358951</v>
      </c>
      <c r="AI42" s="14">
        <f>IF('Données projet'!$A$62&gt;35,AI41+AH42-AQ41,IF(A42&lt;'Données projet'!$A$62,$AF$205^A42,IF(A42='Données projet'!$A$62,'Données projet'!$B$62,AI41+AH42-AQ41)))</f>
        <v>132.56410256410246</v>
      </c>
      <c r="AJ42" s="14">
        <f>AI42*VLOOKUP('Données projet'!$B$10,Paramètres!$A$1:$I$89,3,0)*VLOOKUP('Données projet'!$B$10,Paramètres!$A$1:$I$89,5,0)</f>
        <v>126.1479999999999</v>
      </c>
      <c r="AK42" s="14">
        <f t="shared" si="35"/>
        <v>33.104723074499439</v>
      </c>
      <c r="AL42" s="22">
        <f t="shared" si="4"/>
        <v>277.36515935475296</v>
      </c>
      <c r="AM42" s="62">
        <f t="shared" si="5"/>
        <v>524.3745564448601</v>
      </c>
      <c r="AN42" s="62">
        <f ca="1">AVERAGE(OFFSET($AM$3,0,0,'Données projet'!$E$10+1,1))-AVERAGE(OFFSET($H$3,0,0,'Données projet'!$E$10+1,1))</f>
        <v>400.48230125343474</v>
      </c>
      <c r="AO42" s="62">
        <f t="shared" si="36"/>
        <v>275.67023303885048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0</v>
      </c>
      <c r="AV42" s="23">
        <f>EXP(-LN(2)/25)*AV41+(1-EXP(-LN(2)/25))/(LN(2)/25)*Calculateur!AQ42*Calculateur!AS42*VLOOKUP('Données projet'!$B$10,Paramètres!$A$1:$I$89,3,0)*0.475*44/12</f>
        <v>0</v>
      </c>
      <c r="AW42" s="23">
        <f>EXP(-LN(2)/2)*AW41+(1-EXP(-LN(2)/2))/(LN(2)/2)*AQ42*AT42*VLOOKUP('Données projet'!$B$10,Paramètres!$A$1:$I$89,3,0)*0.475*44/12</f>
        <v>0</v>
      </c>
      <c r="AX42" s="23">
        <f t="shared" si="6"/>
        <v>0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8.4</v>
      </c>
      <c r="BD42" s="13">
        <f>IF('Données projet'!$A$88&gt;35,BD41+BC42-BL41,IF(A42&lt;'Données projet'!$A$88,$BA$205^A42,IF(A42='Données projet'!$A$88,'Données projet'!$B$88,BD41+BC42-BL41)))</f>
        <v>149.60000000000002</v>
      </c>
      <c r="BE42" s="14">
        <f>BD42*VLOOKUP('Données projet'!$B$11,Paramètres!$A$1:$I$89,3,0)*VLOOKUP('Données projet'!$B$11,Paramètres!$A$1:$I$89,5,0)</f>
        <v>144.69312000000002</v>
      </c>
      <c r="BF42" s="14">
        <f t="shared" si="37"/>
        <v>37.370061524802772</v>
      </c>
      <c r="BG42" s="22">
        <f t="shared" si="7"/>
        <v>317.09337448903148</v>
      </c>
      <c r="BH42" s="62">
        <f t="shared" si="8"/>
        <v>564.10277157913856</v>
      </c>
      <c r="BI42" s="62">
        <f ca="1">AVERAGE(OFFSET($BH$3,0,0,'Données projet'!$E$11+1,1))-AVERAGE(OFFSET($H$3,0,0,'Données projet'!$E$11+1,1))</f>
        <v>496.33873798282525</v>
      </c>
      <c r="BJ42" s="62">
        <f t="shared" si="38"/>
        <v>280.25465074992246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>
        <f>EXP(-LN(2)/35)*BP41+(1-EXP(-LN(2)/35))/(LN(2)/35)*BL42*BM42*VLOOKUP('Données projet'!$B$11,Paramètres!$A$1:$I$89,3,0)*0.475*44/12</f>
        <v>0</v>
      </c>
      <c r="BQ42" s="23">
        <f>EXP(-LN(2)/25)*BQ41+(1-EXP(-LN(2)/25))/(LN(2)/25)*Calculateur!BL42*Calculateur!BN42*VLOOKUP('Données projet'!$B$11,Paramètres!$A$1:$I$89,3,0)*0.475*44/12</f>
        <v>0</v>
      </c>
      <c r="BR42" s="23">
        <f>EXP(-LN(2)/2)*BR41+(1-EXP(-LN(2)/2))/(LN(2)/2)*BL42*BO42*VLOOKUP('Données projet'!$B$11,Paramètres!$A$1:$I$89,3,0)*0.475*44/12</f>
        <v>0</v>
      </c>
      <c r="BS42" s="24">
        <f t="shared" si="9"/>
        <v>0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7.6</v>
      </c>
      <c r="BY42" s="13">
        <f>IF('Données projet'!$A$114&gt;35,BY41+BX42-CG41,IF(A42&lt;'Données projet'!$A$114,$BV$205^A42,IF(A42='Données projet'!$A$114,'Données projet'!$B$114,BY41+BX42-CG41)))</f>
        <v>145.39999999999995</v>
      </c>
      <c r="BZ42" s="14">
        <f>BY42*VLOOKUP('Données projet'!$B$12,Paramètres!$A$1:$I$89,3,0)*VLOOKUP('Données projet'!$B$12,Paramètres!$A$1:$I$89,5,0)</f>
        <v>127.02143999999997</v>
      </c>
      <c r="CA42" s="14">
        <f t="shared" si="39"/>
        <v>33.307175870664402</v>
      </c>
      <c r="CB42" s="22">
        <f t="shared" si="10"/>
        <v>279.23900597474045</v>
      </c>
      <c r="CC42" s="62">
        <f t="shared" si="11"/>
        <v>526.24840306484759</v>
      </c>
      <c r="CD42" s="62">
        <f ca="1">AVERAGE(OFFSET($CC$3,0,0,'Données projet'!$E$12+1,1))-AVERAGE(OFFSET($H$3,0,0,'Données projet'!$E$12+1,1))</f>
        <v>298.56812743477741</v>
      </c>
      <c r="CE42" s="62">
        <f t="shared" si="40"/>
        <v>276.01618888357268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>
        <f>EXP(-LN(2)/35)*CK41+(1-EXP(-LN(2)/35))/(LN(2)/35)*CG42*CH42*VLOOKUP('Données projet'!$B$12,Paramètres!$A$1:$I$89,3,0)*0.475*44/12</f>
        <v>0</v>
      </c>
      <c r="CL42" s="23">
        <f>EXP(-LN(2)/25)*CL41+(1-EXP(-LN(2)/25))/(LN(2)/25)*Calculateur!CG42*Calculateur!CI42*VLOOKUP('Données projet'!$B$12,Paramètres!$A$1:$I$89,3,0)*0.475*44/12</f>
        <v>0</v>
      </c>
      <c r="CM42" s="23">
        <f>EXP(-LN(2)/2)*CM41+(1-EXP(-LN(2)/2))/(LN(2)/2)*CG42*CJ42*VLOOKUP('Données projet'!$B$12,Paramètres!$A$1:$I$89,3,0)*0.475*44/12</f>
        <v>0</v>
      </c>
      <c r="CN42" s="24">
        <f t="shared" si="12"/>
        <v>0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7.1794871794871771</v>
      </c>
      <c r="CT42" s="13">
        <f>IF('Données projet'!$A$140&gt;35,CT41+CS42-DB41,IF(A42&lt;'Données projet'!$A$140,$CQ$205^A42,IF(A42='Données projet'!$A$140,'Données projet'!$B$140,CT41+CS42-DB41)))</f>
        <v>166.53846153846149</v>
      </c>
      <c r="CU42" s="18">
        <f>CT42*VLOOKUP('Données projet'!$B$13,Paramètres!$A$1:$I$89,3,0)*VLOOKUP('Données projet'!$B$13,Paramètres!$A$1:$I$89,5,0)</f>
        <v>111.71399999999997</v>
      </c>
      <c r="CV42" s="14">
        <f t="shared" si="41"/>
        <v>29.734452227843956</v>
      </c>
      <c r="CW42" s="22">
        <f t="shared" si="13"/>
        <v>246.35605429682815</v>
      </c>
      <c r="CX42" s="62">
        <f t="shared" si="14"/>
        <v>493.36545138693526</v>
      </c>
      <c r="CY42" s="62">
        <f ca="1">AVERAGE(OFFSET($CX$3,0,0,'Données projet'!$E$13+1,1))-AVERAGE(OFFSET($H$3,0,0,'Données projet'!$E$13+1,1))</f>
        <v>346.82725381974132</v>
      </c>
      <c r="CZ42" s="62">
        <f t="shared" si="42"/>
        <v>254.09787950201044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>
        <f>EXP(-LN(2)/35)*DF41+(1-EXP(-LN(2)/35))/(LN(2)/35)*DB42*DC42*VLOOKUP('Données projet'!$B$13,Paramètres!$A$1:$I$89,3,0)*0.475*44/12</f>
        <v>0</v>
      </c>
      <c r="DG42" s="23">
        <f>EXP(-LN(2)/25)*DG41+(1-EXP(-LN(2)/25))/(LN(2)/25)*Calculateur!DB42*Calculateur!DD42*VLOOKUP('Données projet'!$B$13,Paramètres!$A$1:$I$89,3,0)*0.475*44/12</f>
        <v>0</v>
      </c>
      <c r="DH42" s="23">
        <f>EXP(-LN(2)/2)*DH41+(1-EXP(-LN(2)/2))/(LN(2)/2)*DB42*DE42*VLOOKUP('Données projet'!$B$13,Paramètres!$A$1:$I$89,3,0)*0.475*44/12</f>
        <v>0</v>
      </c>
      <c r="DI42" s="24">
        <f t="shared" si="15"/>
        <v>0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5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2">
        <f t="shared" si="32"/>
        <v>0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18.333333333333332</v>
      </c>
      <c r="H43" s="70">
        <f t="shared" si="1"/>
        <v>183.33333333333334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>
        <f>VLOOKUP(A43,'Données projet'!$A$35:$I$55,2,0)</f>
        <v>158</v>
      </c>
      <c r="L43" s="13">
        <f>VLOOKUP(A43,'Données projet'!$A$35:$I$55,9,0)</f>
        <v>8.4</v>
      </c>
      <c r="M43" s="13">
        <f t="array" ref="M43">INDEX(L:L,MIN(IF(ISNUMBER(L43:L239),ROW(L43:L239),"")))</f>
        <v>8.4</v>
      </c>
      <c r="N43" s="14">
        <f>IF('Données projet'!$A$36&gt;35,N42+M43-V42,IF(A43&lt;'Données projet'!$A$36,$K$205^A43,IF(A43='Données projet'!$A$36,'Données projet'!$B$36,N42+M43-V42)))</f>
        <v>158.00000000000003</v>
      </c>
      <c r="O43" s="14">
        <f>N43*VLOOKUP('Données projet'!$B$9,Paramètres!$A$1:$I$89,3,0)*VLOOKUP('Données projet'!$B$9,Paramètres!$A$1:$I$89,5,0)</f>
        <v>142.95840000000004</v>
      </c>
      <c r="P43" s="14">
        <f t="shared" si="33"/>
        <v>36.973906370811264</v>
      </c>
      <c r="Q43" s="22">
        <f t="shared" si="53"/>
        <v>313.38210026249641</v>
      </c>
      <c r="R43" s="62">
        <f t="shared" si="0"/>
        <v>561.19511408161725</v>
      </c>
      <c r="S43" s="62">
        <f ca="1">AVERAGE(OFFSET($R$3,0,0,'Données projet'!$E$9+1,1))-AVERAGE(OFFSET($H$3,0,0,'Données projet'!$E$9+1,1))</f>
        <v>469.67944008675863</v>
      </c>
      <c r="T43" s="62">
        <f t="shared" si="34"/>
        <v>266.11908070867173</v>
      </c>
      <c r="U43" s="16">
        <f>IF(ISNA(VLOOKUP(A43,'Données projet'!$A$35:$I$55,3,0)),0,VLOOKUP(A43,'Données projet'!$A$35:$I$55,3,0))</f>
        <v>2</v>
      </c>
      <c r="V43" s="16">
        <f>IF(ISNA(VLOOKUP(A43,'Données projet'!$A$35:$I$55,4,0)),0,VLOOKUP(A43,'Données projet'!$A$35:$I$55,4,0))</f>
        <v>42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0</v>
      </c>
      <c r="AA43" s="23">
        <f>EXP(-LN(2)/25)*AA42+(1-EXP(-LN(2)/25))/(LN(2)/25)*Calculateur!V43*Calculateur!X43*VLOOKUP('Données projet'!$B$9,Paramètres!$A$1:$I$89,3,0)*0.475*44/12</f>
        <v>0</v>
      </c>
      <c r="AB43" s="23">
        <f>EXP(-LN(2)/2)*AB42+(1-EXP(-LN(2)/2))/(LN(2)/2)*V43*Y43*VLOOKUP('Données projet'!$B$9,Paramètres!$A$1:$I$89,3,0)*0.475*44/12</f>
        <v>0</v>
      </c>
      <c r="AC43" s="24">
        <f t="shared" si="3"/>
        <v>0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>
        <f>VLOOKUP(A43,'Données projet'!$A$61:$I$81,2,0)</f>
        <v>138.46153846153845</v>
      </c>
      <c r="AG43" s="13">
        <f>VLOOKUP(A43,'Données projet'!$A$61:$I$81,9,0)</f>
        <v>5.8974358974358951</v>
      </c>
      <c r="AH43" s="13">
        <f t="array" ref="AH43">INDEX(AG:AG,MIN(IF(ISNUMBER(AG43:AG239),ROW(AG43:AG239),"")))</f>
        <v>5.8974358974358951</v>
      </c>
      <c r="AI43" s="14">
        <f>IF('Données projet'!$A$62&gt;35,AI42+AH43-AQ42,IF(A43&lt;'Données projet'!$A$62,$AF$205^A43,IF(A43='Données projet'!$A$62,'Données projet'!$B$62,AI42+AH43-AQ42)))</f>
        <v>138.46153846153834</v>
      </c>
      <c r="AJ43" s="14">
        <f>AI43*VLOOKUP('Données projet'!$B$10,Paramètres!$A$1:$I$89,3,0)*VLOOKUP('Données projet'!$B$10,Paramètres!$A$1:$I$89,5,0)</f>
        <v>131.75999999999988</v>
      </c>
      <c r="AK43" s="14">
        <f t="shared" si="35"/>
        <v>34.402724818212839</v>
      </c>
      <c r="AL43" s="22">
        <f t="shared" si="4"/>
        <v>289.40007905838712</v>
      </c>
      <c r="AM43" s="62">
        <f t="shared" si="5"/>
        <v>537.21309287750796</v>
      </c>
      <c r="AN43" s="62">
        <f ca="1">AVERAGE(OFFSET($AM$3,0,0,'Données projet'!$E$10+1,1))-AVERAGE(OFFSET($H$3,0,0,'Données projet'!$E$10+1,1))</f>
        <v>400.48230125343474</v>
      </c>
      <c r="AO43" s="62">
        <f t="shared" si="36"/>
        <v>275.67023303885048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0</v>
      </c>
      <c r="AV43" s="23">
        <f>EXP(-LN(2)/25)*AV42+(1-EXP(-LN(2)/25))/(LN(2)/25)*Calculateur!AQ43*Calculateur!AS43*VLOOKUP('Données projet'!$B$10,Paramètres!$A$1:$I$89,3,0)*0.475*44/12</f>
        <v>0</v>
      </c>
      <c r="AW43" s="23">
        <f>EXP(-LN(2)/2)*AW42+(1-EXP(-LN(2)/2))/(LN(2)/2)*AQ43*AT43*VLOOKUP('Données projet'!$B$10,Paramètres!$A$1:$I$89,3,0)*0.475*44/12</f>
        <v>0</v>
      </c>
      <c r="AX43" s="23">
        <f t="shared" si="6"/>
        <v>0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>
        <f>VLOOKUP(A43,'Données projet'!$A$87:$I$107,2,0)</f>
        <v>158</v>
      </c>
      <c r="BB43" s="13">
        <f>VLOOKUP(A43,'Données projet'!$A$87:$I$107,9,0)</f>
        <v>8.4</v>
      </c>
      <c r="BC43" s="13">
        <f t="array" ref="BC43">INDEX(BB:BB,MIN(IF(ISNUMBER(BB43:BB239),ROW(BB43:BB239),"")))</f>
        <v>8.4</v>
      </c>
      <c r="BD43" s="13">
        <f>IF('Données projet'!$A$88&gt;35,BD42+BC43-BL42,IF(A43&lt;'Données projet'!$A$88,$BA$205^A43,IF(A43='Données projet'!$A$88,'Données projet'!$B$88,BD42+BC43-BL42)))</f>
        <v>158.00000000000003</v>
      </c>
      <c r="BE43" s="14">
        <f>BD43*VLOOKUP('Données projet'!$B$11,Paramètres!$A$1:$I$89,3,0)*VLOOKUP('Données projet'!$B$11,Paramètres!$A$1:$I$89,5,0)</f>
        <v>152.81760000000003</v>
      </c>
      <c r="BF43" s="14">
        <f t="shared" si="37"/>
        <v>39.218200171484227</v>
      </c>
      <c r="BG43" s="22">
        <f t="shared" si="7"/>
        <v>334.46235196533502</v>
      </c>
      <c r="BH43" s="62">
        <f t="shared" si="8"/>
        <v>582.27536578445586</v>
      </c>
      <c r="BI43" s="62">
        <f ca="1">AVERAGE(OFFSET($BH$3,0,0,'Données projet'!$E$11+1,1))-AVERAGE(OFFSET($H$3,0,0,'Données projet'!$E$11+1,1))</f>
        <v>496.33873798282525</v>
      </c>
      <c r="BJ43" s="62">
        <f t="shared" si="38"/>
        <v>280.25465074992246</v>
      </c>
      <c r="BK43" s="16">
        <f>IF(ISNA(VLOOKUP(A43,'Données projet'!$A$87:$I$107,3,0)),0,VLOOKUP(A43,'Données projet'!$A$87:$I$107,3,0))</f>
        <v>2</v>
      </c>
      <c r="BL43" s="16">
        <f>IF(ISNA(VLOOKUP(A43,'Données projet'!$A$87:$I$107,4,0)),0,VLOOKUP(A43,'Données projet'!$A$87:$I$107,4,0))</f>
        <v>42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>
        <f>EXP(-LN(2)/35)*BP42+(1-EXP(-LN(2)/35))/(LN(2)/35)*BL43*BM43*VLOOKUP('Données projet'!$B$11,Paramètres!$A$1:$I$89,3,0)*0.475*44/12</f>
        <v>0</v>
      </c>
      <c r="BQ43" s="23">
        <f>EXP(-LN(2)/25)*BQ42+(1-EXP(-LN(2)/25))/(LN(2)/25)*Calculateur!BL43*Calculateur!BN43*VLOOKUP('Données projet'!$B$11,Paramètres!$A$1:$I$89,3,0)*0.475*44/12</f>
        <v>0</v>
      </c>
      <c r="BR43" s="23">
        <f>EXP(-LN(2)/2)*BR42+(1-EXP(-LN(2)/2))/(LN(2)/2)*BL43*BO43*VLOOKUP('Données projet'!$B$11,Paramètres!$A$1:$I$89,3,0)*0.475*44/12</f>
        <v>0</v>
      </c>
      <c r="BS43" s="24">
        <f t="shared" si="9"/>
        <v>0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>
        <f>VLOOKUP(A43,'Données projet'!$A$113:$I$133,2,0)</f>
        <v>153</v>
      </c>
      <c r="BW43" s="13">
        <f>VLOOKUP(A43,'Données projet'!$A$113:$I$133,9,0)</f>
        <v>7.6</v>
      </c>
      <c r="BX43" s="13">
        <f t="array" ref="BX43">INDEX(BW:BW,MIN(IF(ISNUMBER(BW43:BW239),ROW(BW43:BW239),"")))</f>
        <v>7.6</v>
      </c>
      <c r="BY43" s="13">
        <f>IF('Données projet'!$A$114&gt;35,BY42+BX43-CG42,IF(A43&lt;'Données projet'!$A$114,$BV$205^A43,IF(A43='Données projet'!$A$114,'Données projet'!$B$114,BY42+BX43-CG42)))</f>
        <v>152.99999999999994</v>
      </c>
      <c r="BZ43" s="14">
        <f>BY43*VLOOKUP('Données projet'!$B$12,Paramètres!$A$1:$I$89,3,0)*VLOOKUP('Données projet'!$B$12,Paramètres!$A$1:$I$89,5,0)</f>
        <v>133.66079999999997</v>
      </c>
      <c r="CA43" s="14">
        <f t="shared" si="39"/>
        <v>34.840890682716719</v>
      </c>
      <c r="CB43" s="22">
        <f t="shared" si="10"/>
        <v>293.47377793906486</v>
      </c>
      <c r="CC43" s="62">
        <f t="shared" si="11"/>
        <v>541.2867917581857</v>
      </c>
      <c r="CD43" s="62">
        <f ca="1">AVERAGE(OFFSET($CC$3,0,0,'Données projet'!$E$12+1,1))-AVERAGE(OFFSET($H$3,0,0,'Données projet'!$E$12+1,1))</f>
        <v>298.56812743477741</v>
      </c>
      <c r="CE43" s="62">
        <f t="shared" si="40"/>
        <v>276.01618888357268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>
        <f>EXP(-LN(2)/35)*CK42+(1-EXP(-LN(2)/35))/(LN(2)/35)*CG43*CH43*VLOOKUP('Données projet'!$B$12,Paramètres!$A$1:$I$89,3,0)*0.475*44/12</f>
        <v>0</v>
      </c>
      <c r="CL43" s="23">
        <f>EXP(-LN(2)/25)*CL42+(1-EXP(-LN(2)/25))/(LN(2)/25)*Calculateur!CG43*Calculateur!CI43*VLOOKUP('Données projet'!$B$12,Paramètres!$A$1:$I$89,3,0)*0.475*44/12</f>
        <v>0</v>
      </c>
      <c r="CM43" s="23">
        <f>EXP(-LN(2)/2)*CM42+(1-EXP(-LN(2)/2))/(LN(2)/2)*CG43*CJ43*VLOOKUP('Données projet'!$B$12,Paramètres!$A$1:$I$89,3,0)*0.475*44/12</f>
        <v>0</v>
      </c>
      <c r="CN43" s="24">
        <f t="shared" si="12"/>
        <v>0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>
        <f>VLOOKUP(A43,'Données projet'!$A$139:$I$159,2,0)</f>
        <v>173.7179487179487</v>
      </c>
      <c r="CR43" s="13">
        <f>VLOOKUP(A43,'Données projet'!$A$139:$I$159,9,0)</f>
        <v>7.1794871794871771</v>
      </c>
      <c r="CS43" s="13">
        <f t="array" ref="CS43">INDEX(CR:CR,MIN(IF(ISNUMBER(CR43:CR239),ROW(CR43:CR239),"")))</f>
        <v>7.1794871794871771</v>
      </c>
      <c r="CT43" s="13">
        <f>IF('Données projet'!$A$140&gt;35,CT42+CS43-DB42,IF(A43&lt;'Données projet'!$A$140,$CQ$205^A43,IF(A43='Données projet'!$A$140,'Données projet'!$B$140,CT42+CS43-DB42)))</f>
        <v>173.71794871794867</v>
      </c>
      <c r="CU43" s="18">
        <f>CT43*VLOOKUP('Données projet'!$B$13,Paramètres!$A$1:$I$89,3,0)*VLOOKUP('Données projet'!$B$13,Paramètres!$A$1:$I$89,5,0)</f>
        <v>116.52999999999997</v>
      </c>
      <c r="CV43" s="14">
        <f t="shared" si="41"/>
        <v>30.864301846880135</v>
      </c>
      <c r="CW43" s="22">
        <f t="shared" si="13"/>
        <v>256.71174238331611</v>
      </c>
      <c r="CX43" s="62">
        <f t="shared" si="14"/>
        <v>504.52475620243695</v>
      </c>
      <c r="CY43" s="62">
        <f ca="1">AVERAGE(OFFSET($CX$3,0,0,'Données projet'!$E$13+1,1))-AVERAGE(OFFSET($H$3,0,0,'Données projet'!$E$13+1,1))</f>
        <v>346.82725381974132</v>
      </c>
      <c r="CZ43" s="62">
        <f t="shared" si="42"/>
        <v>254.09787950201044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>
        <f>EXP(-LN(2)/35)*DF42+(1-EXP(-LN(2)/35))/(LN(2)/35)*DB43*DC43*VLOOKUP('Données projet'!$B$13,Paramètres!$A$1:$I$89,3,0)*0.475*44/12</f>
        <v>0</v>
      </c>
      <c r="DG43" s="23">
        <f>EXP(-LN(2)/25)*DG42+(1-EXP(-LN(2)/25))/(LN(2)/25)*Calculateur!DB43*Calculateur!DD43*VLOOKUP('Données projet'!$B$13,Paramètres!$A$1:$I$89,3,0)*0.475*44/12</f>
        <v>0</v>
      </c>
      <c r="DH43" s="23">
        <f>EXP(-LN(2)/2)*DH42+(1-EXP(-LN(2)/2))/(LN(2)/2)*DB43*DE43*VLOOKUP('Données projet'!$B$13,Paramètres!$A$1:$I$89,3,0)*0.475*44/12</f>
        <v>0</v>
      </c>
      <c r="DI43" s="24">
        <f t="shared" si="15"/>
        <v>0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5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2">
        <f t="shared" si="32"/>
        <v>0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18.333333333333332</v>
      </c>
      <c r="H44" s="70">
        <f t="shared" si="1"/>
        <v>183.33333333333334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8.4</v>
      </c>
      <c r="N44" s="14">
        <f>IF('Données projet'!$A$36&gt;35,N43+M44-V43,IF(A44&lt;'Données projet'!$A$36,$K$205^A44,IF(A44='Données projet'!$A$36,'Données projet'!$B$36,N43+M44-V43)))</f>
        <v>124.40000000000003</v>
      </c>
      <c r="O44" s="14">
        <f>N44*VLOOKUP('Données projet'!$B$9,Paramètres!$A$1:$I$89,3,0)*VLOOKUP('Données projet'!$B$9,Paramètres!$A$1:$I$89,5,0)</f>
        <v>112.55712000000003</v>
      </c>
      <c r="P44" s="14">
        <f t="shared" si="33"/>
        <v>29.932653834140599</v>
      </c>
      <c r="Q44" s="22">
        <f t="shared" si="53"/>
        <v>248.16968942779496</v>
      </c>
      <c r="R44" s="62">
        <f t="shared" si="0"/>
        <v>496.77237902229894</v>
      </c>
      <c r="S44" s="62">
        <f ca="1">AVERAGE(OFFSET($R$3,0,0,'Données projet'!$E$9+1,1))-AVERAGE(OFFSET($H$3,0,0,'Données projet'!$E$9+1,1))</f>
        <v>469.67944008675863</v>
      </c>
      <c r="T44" s="62">
        <f t="shared" si="34"/>
        <v>266.11908070867173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0</v>
      </c>
      <c r="AA44" s="23">
        <f>EXP(-LN(2)/25)*AA43+(1-EXP(-LN(2)/25))/(LN(2)/25)*Calculateur!V44*Calculateur!X44*VLOOKUP('Données projet'!$B$9,Paramètres!$A$1:$I$89,3,0)*0.475*44/12</f>
        <v>0</v>
      </c>
      <c r="AB44" s="23">
        <f>EXP(-LN(2)/2)*AB43+(1-EXP(-LN(2)/2))/(LN(2)/2)*V44*Y44*VLOOKUP('Données projet'!$B$9,Paramètres!$A$1:$I$89,3,0)*0.475*44/12</f>
        <v>0</v>
      </c>
      <c r="AC44" s="24">
        <f t="shared" si="3"/>
        <v>0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5.7692307692307683</v>
      </c>
      <c r="AI44" s="14">
        <f>IF('Données projet'!$A$62&gt;35,AI43+AH44-AQ43,IF(A44&lt;'Données projet'!$A$62,$AF$205^A44,IF(A44='Données projet'!$A$62,'Données projet'!$B$62,AI43+AH44-AQ43)))</f>
        <v>144.23076923076911</v>
      </c>
      <c r="AJ44" s="14">
        <f>AI44*VLOOKUP('Données projet'!$B$10,Paramètres!$A$1:$I$89,3,0)*VLOOKUP('Données projet'!$B$10,Paramètres!$A$1:$I$89,5,0)</f>
        <v>137.24999999999989</v>
      </c>
      <c r="AK44" s="14">
        <f t="shared" si="35"/>
        <v>35.666293582390708</v>
      </c>
      <c r="AL44" s="22">
        <f t="shared" si="4"/>
        <v>301.16254465599701</v>
      </c>
      <c r="AM44" s="62">
        <f t="shared" si="5"/>
        <v>549.76523425050095</v>
      </c>
      <c r="AN44" s="62">
        <f ca="1">AVERAGE(OFFSET($AM$3,0,0,'Données projet'!$E$10+1,1))-AVERAGE(OFFSET($H$3,0,0,'Données projet'!$E$10+1,1))</f>
        <v>400.48230125343474</v>
      </c>
      <c r="AO44" s="62">
        <f t="shared" si="36"/>
        <v>275.67023303885048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0</v>
      </c>
      <c r="AV44" s="23">
        <f>EXP(-LN(2)/25)*AV43+(1-EXP(-LN(2)/25))/(LN(2)/25)*Calculateur!AQ44*Calculateur!AS44*VLOOKUP('Données projet'!$B$10,Paramètres!$A$1:$I$89,3,0)*0.475*44/12</f>
        <v>0</v>
      </c>
      <c r="AW44" s="23">
        <f>EXP(-LN(2)/2)*AW43+(1-EXP(-LN(2)/2))/(LN(2)/2)*AQ44*AT44*VLOOKUP('Données projet'!$B$10,Paramètres!$A$1:$I$89,3,0)*0.475*44/12</f>
        <v>0</v>
      </c>
      <c r="AX44" s="23">
        <f t="shared" si="6"/>
        <v>0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8.4</v>
      </c>
      <c r="BD44" s="13">
        <f>IF('Données projet'!$A$88&gt;35,BD43+BC44-BL43,IF(A44&lt;'Données projet'!$A$88,$BA$205^A44,IF(A44='Données projet'!$A$88,'Données projet'!$B$88,BD43+BC44-BL43)))</f>
        <v>124.40000000000003</v>
      </c>
      <c r="BE44" s="14">
        <f>BD44*VLOOKUP('Données projet'!$B$11,Paramètres!$A$1:$I$89,3,0)*VLOOKUP('Données projet'!$B$11,Paramètres!$A$1:$I$89,5,0)</f>
        <v>120.31968000000002</v>
      </c>
      <c r="BF44" s="14">
        <f t="shared" si="37"/>
        <v>31.74954785566829</v>
      </c>
      <c r="BG44" s="22">
        <f t="shared" si="7"/>
        <v>264.85390518195561</v>
      </c>
      <c r="BH44" s="62">
        <f t="shared" si="8"/>
        <v>513.45659477645961</v>
      </c>
      <c r="BI44" s="62">
        <f ca="1">AVERAGE(OFFSET($BH$3,0,0,'Données projet'!$E$11+1,1))-AVERAGE(OFFSET($H$3,0,0,'Données projet'!$E$11+1,1))</f>
        <v>496.33873798282525</v>
      </c>
      <c r="BJ44" s="62">
        <f t="shared" si="38"/>
        <v>280.25465074992246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>
        <f>EXP(-LN(2)/35)*BP43+(1-EXP(-LN(2)/35))/(LN(2)/35)*BL44*BM44*VLOOKUP('Données projet'!$B$11,Paramètres!$A$1:$I$89,3,0)*0.475*44/12</f>
        <v>0</v>
      </c>
      <c r="BQ44" s="23">
        <f>EXP(-LN(2)/25)*BQ43+(1-EXP(-LN(2)/25))/(LN(2)/25)*Calculateur!BL44*Calculateur!BN44*VLOOKUP('Données projet'!$B$11,Paramètres!$A$1:$I$89,3,0)*0.475*44/12</f>
        <v>0</v>
      </c>
      <c r="BR44" s="23">
        <f>EXP(-LN(2)/2)*BR43+(1-EXP(-LN(2)/2))/(LN(2)/2)*BL44*BO44*VLOOKUP('Données projet'!$B$11,Paramètres!$A$1:$I$89,3,0)*0.475*44/12</f>
        <v>0</v>
      </c>
      <c r="BS44" s="24">
        <f t="shared" si="9"/>
        <v>0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6.6</v>
      </c>
      <c r="BY44" s="13">
        <f>IF('Données projet'!$A$114&gt;35,BY43+BX44-CG43,IF(A44&lt;'Données projet'!$A$114,$BV$205^A44,IF(A44='Données projet'!$A$114,'Données projet'!$B$114,BY43+BX44-CG43)))</f>
        <v>159.59999999999994</v>
      </c>
      <c r="BZ44" s="14">
        <f>BY44*VLOOKUP('Données projet'!$B$12,Paramètres!$A$1:$I$89,3,0)*VLOOKUP('Données projet'!$B$12,Paramètres!$A$1:$I$89,5,0)</f>
        <v>139.42655999999997</v>
      </c>
      <c r="CA44" s="14">
        <f t="shared" si="39"/>
        <v>36.165607079455818</v>
      </c>
      <c r="CB44" s="22">
        <f t="shared" si="10"/>
        <v>305.82302433005208</v>
      </c>
      <c r="CC44" s="62">
        <f t="shared" si="11"/>
        <v>554.42571392455602</v>
      </c>
      <c r="CD44" s="62">
        <f ca="1">AVERAGE(OFFSET($CC$3,0,0,'Données projet'!$E$12+1,1))-AVERAGE(OFFSET($H$3,0,0,'Données projet'!$E$12+1,1))</f>
        <v>298.56812743477741</v>
      </c>
      <c r="CE44" s="62">
        <f t="shared" si="40"/>
        <v>276.01618888357268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>
        <f>EXP(-LN(2)/35)*CK43+(1-EXP(-LN(2)/35))/(LN(2)/35)*CG44*CH44*VLOOKUP('Données projet'!$B$12,Paramètres!$A$1:$I$89,3,0)*0.475*44/12</f>
        <v>0</v>
      </c>
      <c r="CL44" s="23">
        <f>EXP(-LN(2)/25)*CL43+(1-EXP(-LN(2)/25))/(LN(2)/25)*Calculateur!CG44*Calculateur!CI44*VLOOKUP('Données projet'!$B$12,Paramètres!$A$1:$I$89,3,0)*0.475*44/12</f>
        <v>0</v>
      </c>
      <c r="CM44" s="23">
        <f>EXP(-LN(2)/2)*CM43+(1-EXP(-LN(2)/2))/(LN(2)/2)*CG44*CJ44*VLOOKUP('Données projet'!$B$12,Paramètres!$A$1:$I$89,3,0)*0.475*44/12</f>
        <v>0</v>
      </c>
      <c r="CN44" s="24">
        <f t="shared" si="12"/>
        <v>0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6.7948717948717956</v>
      </c>
      <c r="CT44" s="13">
        <f>IF('Données projet'!$A$140&gt;35,CT43+CS44-DB43,IF(A44&lt;'Données projet'!$A$140,$CQ$205^A44,IF(A44='Données projet'!$A$140,'Données projet'!$B$140,CT43+CS44-DB43)))</f>
        <v>180.51282051282047</v>
      </c>
      <c r="CU44" s="18">
        <f>CT44*VLOOKUP('Données projet'!$B$13,Paramètres!$A$1:$I$89,3,0)*VLOOKUP('Données projet'!$B$13,Paramètres!$A$1:$I$89,5,0)</f>
        <v>121.08799999999998</v>
      </c>
      <c r="CV44" s="14">
        <f t="shared" si="41"/>
        <v>31.92862397367816</v>
      </c>
      <c r="CW44" s="22">
        <f t="shared" si="13"/>
        <v>266.50395342082282</v>
      </c>
      <c r="CX44" s="62">
        <f t="shared" si="14"/>
        <v>515.10664301532677</v>
      </c>
      <c r="CY44" s="62">
        <f ca="1">AVERAGE(OFFSET($CX$3,0,0,'Données projet'!$E$13+1,1))-AVERAGE(OFFSET($H$3,0,0,'Données projet'!$E$13+1,1))</f>
        <v>346.82725381974132</v>
      </c>
      <c r="CZ44" s="62">
        <f t="shared" si="42"/>
        <v>254.09787950201044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>
        <f>EXP(-LN(2)/35)*DF43+(1-EXP(-LN(2)/35))/(LN(2)/35)*DB44*DC44*VLOOKUP('Données projet'!$B$13,Paramètres!$A$1:$I$89,3,0)*0.475*44/12</f>
        <v>0</v>
      </c>
      <c r="DG44" s="23">
        <f>EXP(-LN(2)/25)*DG43+(1-EXP(-LN(2)/25))/(LN(2)/25)*Calculateur!DB44*Calculateur!DD44*VLOOKUP('Données projet'!$B$13,Paramètres!$A$1:$I$89,3,0)*0.475*44/12</f>
        <v>0</v>
      </c>
      <c r="DH44" s="23">
        <f>EXP(-LN(2)/2)*DH43+(1-EXP(-LN(2)/2))/(LN(2)/2)*DB44*DE44*VLOOKUP('Données projet'!$B$13,Paramètres!$A$1:$I$89,3,0)*0.475*44/12</f>
        <v>0</v>
      </c>
      <c r="DI44" s="24">
        <f t="shared" si="15"/>
        <v>0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5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2">
        <f t="shared" si="32"/>
        <v>0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18.333333333333332</v>
      </c>
      <c r="H45" s="70">
        <f t="shared" si="1"/>
        <v>183.33333333333334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8.4</v>
      </c>
      <c r="N45" s="14">
        <f>IF('Données projet'!$A$36&gt;35,N44+M45-V44,IF(A45&lt;'Données projet'!$A$36,$K$205^A45,IF(A45='Données projet'!$A$36,'Données projet'!$B$36,N44+M45-V44)))</f>
        <v>132.80000000000004</v>
      </c>
      <c r="O45" s="14">
        <f>N45*VLOOKUP('Données projet'!$B$9,Paramètres!$A$1:$I$89,3,0)*VLOOKUP('Données projet'!$B$9,Paramètres!$A$1:$I$89,5,0)</f>
        <v>120.15744000000002</v>
      </c>
      <c r="P45" s="14">
        <f t="shared" si="33"/>
        <v>31.711716786129845</v>
      </c>
      <c r="Q45" s="22">
        <f t="shared" si="53"/>
        <v>264.50544806917623</v>
      </c>
      <c r="R45" s="62">
        <f t="shared" si="0"/>
        <v>513.88411432981093</v>
      </c>
      <c r="S45" s="62">
        <f ca="1">AVERAGE(OFFSET($R$3,0,0,'Données projet'!$E$9+1,1))-AVERAGE(OFFSET($H$3,0,0,'Données projet'!$E$9+1,1))</f>
        <v>469.67944008675863</v>
      </c>
      <c r="T45" s="62">
        <f t="shared" si="34"/>
        <v>266.11908070867173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0</v>
      </c>
      <c r="AA45" s="23">
        <f>EXP(-LN(2)/25)*AA44+(1-EXP(-LN(2)/25))/(LN(2)/25)*Calculateur!V45*Calculateur!X45*VLOOKUP('Données projet'!$B$9,Paramètres!$A$1:$I$89,3,0)*0.475*44/12</f>
        <v>0</v>
      </c>
      <c r="AB45" s="23">
        <f>EXP(-LN(2)/2)*AB44+(1-EXP(-LN(2)/2))/(LN(2)/2)*V45*Y45*VLOOKUP('Données projet'!$B$9,Paramètres!$A$1:$I$89,3,0)*0.475*44/12</f>
        <v>0</v>
      </c>
      <c r="AC45" s="24">
        <f t="shared" si="3"/>
        <v>0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5.7692307692307683</v>
      </c>
      <c r="AI45" s="14">
        <f>IF('Données projet'!$A$62&gt;35,AI44+AH45-AQ44,IF(A45&lt;'Données projet'!$A$62,$AF$205^A45,IF(A45='Données projet'!$A$62,'Données projet'!$B$62,AI44+AH45-AQ44)))</f>
        <v>149.99999999999989</v>
      </c>
      <c r="AJ45" s="14">
        <f>AI45*VLOOKUP('Données projet'!$B$10,Paramètres!$A$1:$I$89,3,0)*VLOOKUP('Données projet'!$B$10,Paramètres!$A$1:$I$89,5,0)</f>
        <v>142.7399999999999</v>
      </c>
      <c r="AK45" s="14">
        <f t="shared" si="35"/>
        <v>36.923991191656036</v>
      </c>
      <c r="AL45" s="22">
        <f t="shared" si="4"/>
        <v>312.91478465880073</v>
      </c>
      <c r="AM45" s="62">
        <f t="shared" si="5"/>
        <v>562.29345091943549</v>
      </c>
      <c r="AN45" s="62">
        <f ca="1">AVERAGE(OFFSET($AM$3,0,0,'Données projet'!$E$10+1,1))-AVERAGE(OFFSET($H$3,0,0,'Données projet'!$E$10+1,1))</f>
        <v>400.48230125343474</v>
      </c>
      <c r="AO45" s="62">
        <f t="shared" si="36"/>
        <v>275.67023303885048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0</v>
      </c>
      <c r="AV45" s="23">
        <f>EXP(-LN(2)/25)*AV44+(1-EXP(-LN(2)/25))/(LN(2)/25)*Calculateur!AQ45*Calculateur!AS45*VLOOKUP('Données projet'!$B$10,Paramètres!$A$1:$I$89,3,0)*0.475*44/12</f>
        <v>0</v>
      </c>
      <c r="AW45" s="23">
        <f>EXP(-LN(2)/2)*AW44+(1-EXP(-LN(2)/2))/(LN(2)/2)*AQ45*AT45*VLOOKUP('Données projet'!$B$10,Paramètres!$A$1:$I$89,3,0)*0.475*44/12</f>
        <v>0</v>
      </c>
      <c r="AX45" s="23">
        <f t="shared" si="6"/>
        <v>0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8.4</v>
      </c>
      <c r="BD45" s="13">
        <f>IF('Données projet'!$A$88&gt;35,BD44+BC45-BL44,IF(A45&lt;'Données projet'!$A$88,$BA$205^A45,IF(A45='Données projet'!$A$88,'Données projet'!$B$88,BD44+BC45-BL44)))</f>
        <v>132.80000000000004</v>
      </c>
      <c r="BE45" s="14">
        <f>BD45*VLOOKUP('Données projet'!$B$11,Paramètres!$A$1:$I$89,3,0)*VLOOKUP('Données projet'!$B$11,Paramètres!$A$1:$I$89,5,0)</f>
        <v>128.44416000000004</v>
      </c>
      <c r="BF45" s="14">
        <f t="shared" si="37"/>
        <v>33.636598855068954</v>
      </c>
      <c r="BG45" s="22">
        <f t="shared" si="7"/>
        <v>282.29065500591184</v>
      </c>
      <c r="BH45" s="62">
        <f t="shared" si="8"/>
        <v>531.6693212665466</v>
      </c>
      <c r="BI45" s="62">
        <f ca="1">AVERAGE(OFFSET($BH$3,0,0,'Données projet'!$E$11+1,1))-AVERAGE(OFFSET($H$3,0,0,'Données projet'!$E$11+1,1))</f>
        <v>496.33873798282525</v>
      </c>
      <c r="BJ45" s="62">
        <f t="shared" si="38"/>
        <v>280.25465074992246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>
        <f>EXP(-LN(2)/35)*BP44+(1-EXP(-LN(2)/35))/(LN(2)/35)*BL45*BM45*VLOOKUP('Données projet'!$B$11,Paramètres!$A$1:$I$89,3,0)*0.475*44/12</f>
        <v>0</v>
      </c>
      <c r="BQ45" s="23">
        <f>EXP(-LN(2)/25)*BQ44+(1-EXP(-LN(2)/25))/(LN(2)/25)*Calculateur!BL45*Calculateur!BN45*VLOOKUP('Données projet'!$B$11,Paramètres!$A$1:$I$89,3,0)*0.475*44/12</f>
        <v>0</v>
      </c>
      <c r="BR45" s="23">
        <f>EXP(-LN(2)/2)*BR44+(1-EXP(-LN(2)/2))/(LN(2)/2)*BL45*BO45*VLOOKUP('Données projet'!$B$11,Paramètres!$A$1:$I$89,3,0)*0.475*44/12</f>
        <v>0</v>
      </c>
      <c r="BS45" s="24">
        <f t="shared" si="9"/>
        <v>0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6.6</v>
      </c>
      <c r="BY45" s="13">
        <f>IF('Données projet'!$A$114&gt;35,BY44+BX45-CG44,IF(A45&lt;'Données projet'!$A$114,$BV$205^A45,IF(A45='Données projet'!$A$114,'Données projet'!$B$114,BY44+BX45-CG44)))</f>
        <v>166.19999999999993</v>
      </c>
      <c r="BZ45" s="14">
        <f>BY45*VLOOKUP('Données projet'!$B$12,Paramètres!$A$1:$I$89,3,0)*VLOOKUP('Données projet'!$B$12,Paramètres!$A$1:$I$89,5,0)</f>
        <v>145.19231999999997</v>
      </c>
      <c r="CA45" s="14">
        <f t="shared" si="39"/>
        <v>37.48396031597408</v>
      </c>
      <c r="CB45" s="22">
        <f t="shared" si="10"/>
        <v>318.16118821698814</v>
      </c>
      <c r="CC45" s="62">
        <f t="shared" si="11"/>
        <v>567.53985447762284</v>
      </c>
      <c r="CD45" s="62">
        <f ca="1">AVERAGE(OFFSET($CC$3,0,0,'Données projet'!$E$12+1,1))-AVERAGE(OFFSET($H$3,0,0,'Données projet'!$E$12+1,1))</f>
        <v>298.56812743477741</v>
      </c>
      <c r="CE45" s="62">
        <f t="shared" si="40"/>
        <v>276.01618888357268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>
        <f>EXP(-LN(2)/35)*CK44+(1-EXP(-LN(2)/35))/(LN(2)/35)*CG45*CH45*VLOOKUP('Données projet'!$B$12,Paramètres!$A$1:$I$89,3,0)*0.475*44/12</f>
        <v>0</v>
      </c>
      <c r="CL45" s="23">
        <f>EXP(-LN(2)/25)*CL44+(1-EXP(-LN(2)/25))/(LN(2)/25)*Calculateur!CG45*Calculateur!CI45*VLOOKUP('Données projet'!$B$12,Paramètres!$A$1:$I$89,3,0)*0.475*44/12</f>
        <v>0</v>
      </c>
      <c r="CM45" s="23">
        <f>EXP(-LN(2)/2)*CM44+(1-EXP(-LN(2)/2))/(LN(2)/2)*CG45*CJ45*VLOOKUP('Données projet'!$B$12,Paramètres!$A$1:$I$89,3,0)*0.475*44/12</f>
        <v>0</v>
      </c>
      <c r="CN45" s="24">
        <f t="shared" si="12"/>
        <v>0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6.7948717948717956</v>
      </c>
      <c r="CT45" s="13">
        <f>IF('Données projet'!$A$140&gt;35,CT44+CS45-DB44,IF(A45&lt;'Données projet'!$A$140,$CQ$205^A45,IF(A45='Données projet'!$A$140,'Données projet'!$B$140,CT44+CS45-DB44)))</f>
        <v>187.30769230769226</v>
      </c>
      <c r="CU45" s="18">
        <f>CT45*VLOOKUP('Données projet'!$B$13,Paramètres!$A$1:$I$89,3,0)*VLOOKUP('Données projet'!$B$13,Paramètres!$A$1:$I$89,5,0)</f>
        <v>125.64599999999997</v>
      </c>
      <c r="CV45" s="14">
        <f t="shared" si="41"/>
        <v>32.988291777273552</v>
      </c>
      <c r="CW45" s="22">
        <f t="shared" si="13"/>
        <v>276.28805817875133</v>
      </c>
      <c r="CX45" s="62">
        <f t="shared" si="14"/>
        <v>525.66672443938603</v>
      </c>
      <c r="CY45" s="62">
        <f ca="1">AVERAGE(OFFSET($CX$3,0,0,'Données projet'!$E$13+1,1))-AVERAGE(OFFSET($H$3,0,0,'Données projet'!$E$13+1,1))</f>
        <v>346.82725381974132</v>
      </c>
      <c r="CZ45" s="62">
        <f t="shared" si="42"/>
        <v>254.09787950201044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>
        <f>EXP(-LN(2)/35)*DF44+(1-EXP(-LN(2)/35))/(LN(2)/35)*DB45*DC45*VLOOKUP('Données projet'!$B$13,Paramètres!$A$1:$I$89,3,0)*0.475*44/12</f>
        <v>0</v>
      </c>
      <c r="DG45" s="23">
        <f>EXP(-LN(2)/25)*DG44+(1-EXP(-LN(2)/25))/(LN(2)/25)*Calculateur!DB45*Calculateur!DD45*VLOOKUP('Données projet'!$B$13,Paramètres!$A$1:$I$89,3,0)*0.475*44/12</f>
        <v>0</v>
      </c>
      <c r="DH45" s="23">
        <f>EXP(-LN(2)/2)*DH44+(1-EXP(-LN(2)/2))/(LN(2)/2)*DB45*DE45*VLOOKUP('Données projet'!$B$13,Paramètres!$A$1:$I$89,3,0)*0.475*44/12</f>
        <v>0</v>
      </c>
      <c r="DI45" s="24">
        <f t="shared" si="15"/>
        <v>0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5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2">
        <f t="shared" si="32"/>
        <v>0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18.333333333333332</v>
      </c>
      <c r="H46" s="70">
        <f t="shared" si="1"/>
        <v>183.33333333333334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8.4</v>
      </c>
      <c r="N46" s="14">
        <f>IF('Données projet'!$A$36&gt;35,N45+M46-V45,IF(A46&lt;'Données projet'!$A$36,$K$205^A46,IF(A46='Données projet'!$A$36,'Données projet'!$B$36,N45+M46-V45)))</f>
        <v>141.20000000000005</v>
      </c>
      <c r="O46" s="14">
        <f>N46*VLOOKUP('Données projet'!$B$9,Paramètres!$A$1:$I$89,3,0)*VLOOKUP('Données projet'!$B$9,Paramètres!$A$1:$I$89,5,0)</f>
        <v>127.75776000000003</v>
      </c>
      <c r="P46" s="14">
        <f t="shared" si="33"/>
        <v>33.477720030956604</v>
      </c>
      <c r="Q46" s="22">
        <f t="shared" si="53"/>
        <v>280.81846105391611</v>
      </c>
      <c r="R46" s="62">
        <f t="shared" si="0"/>
        <v>530.9596425203481</v>
      </c>
      <c r="S46" s="62">
        <f ca="1">AVERAGE(OFFSET($R$3,0,0,'Données projet'!$E$9+1,1))-AVERAGE(OFFSET($H$3,0,0,'Données projet'!$E$9+1,1))</f>
        <v>469.67944008675863</v>
      </c>
      <c r="T46" s="62">
        <f t="shared" si="34"/>
        <v>266.11908070867173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0</v>
      </c>
      <c r="AA46" s="23">
        <f>EXP(-LN(2)/25)*AA45+(1-EXP(-LN(2)/25))/(LN(2)/25)*Calculateur!V46*Calculateur!X46*VLOOKUP('Données projet'!$B$9,Paramètres!$A$1:$I$89,3,0)*0.475*44/12</f>
        <v>0</v>
      </c>
      <c r="AB46" s="23">
        <f>EXP(-LN(2)/2)*AB45+(1-EXP(-LN(2)/2))/(LN(2)/2)*V46*Y46*VLOOKUP('Données projet'!$B$9,Paramètres!$A$1:$I$89,3,0)*0.475*44/12</f>
        <v>0</v>
      </c>
      <c r="AC46" s="24">
        <f t="shared" si="3"/>
        <v>0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5.7692307692307683</v>
      </c>
      <c r="AI46" s="14">
        <f>IF('Données projet'!$A$62&gt;35,AI45+AH46-AQ45,IF(A46&lt;'Données projet'!$A$62,$AF$205^A46,IF(A46='Données projet'!$A$62,'Données projet'!$B$62,AI45+AH46-AQ45)))</f>
        <v>155.76923076923066</v>
      </c>
      <c r="AJ46" s="14">
        <f>AI46*VLOOKUP('Données projet'!$B$10,Paramètres!$A$1:$I$89,3,0)*VLOOKUP('Données projet'!$B$10,Paramètres!$A$1:$I$89,5,0)</f>
        <v>148.2299999999999</v>
      </c>
      <c r="AK46" s="14">
        <f t="shared" si="35"/>
        <v>38.176069307241875</v>
      </c>
      <c r="AL46" s="22">
        <f t="shared" si="4"/>
        <v>324.65723737677945</v>
      </c>
      <c r="AM46" s="62">
        <f t="shared" si="5"/>
        <v>574.79841884321149</v>
      </c>
      <c r="AN46" s="62">
        <f ca="1">AVERAGE(OFFSET($AM$3,0,0,'Données projet'!$E$10+1,1))-AVERAGE(OFFSET($H$3,0,0,'Données projet'!$E$10+1,1))</f>
        <v>400.48230125343474</v>
      </c>
      <c r="AO46" s="62">
        <f t="shared" si="36"/>
        <v>275.67023303885048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0</v>
      </c>
      <c r="AV46" s="23">
        <f>EXP(-LN(2)/25)*AV45+(1-EXP(-LN(2)/25))/(LN(2)/25)*Calculateur!AQ46*Calculateur!AS46*VLOOKUP('Données projet'!$B$10,Paramètres!$A$1:$I$89,3,0)*0.475*44/12</f>
        <v>0</v>
      </c>
      <c r="AW46" s="23">
        <f>EXP(-LN(2)/2)*AW45+(1-EXP(-LN(2)/2))/(LN(2)/2)*AQ46*AT46*VLOOKUP('Données projet'!$B$10,Paramètres!$A$1:$I$89,3,0)*0.475*44/12</f>
        <v>0</v>
      </c>
      <c r="AX46" s="23">
        <f t="shared" si="6"/>
        <v>0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8.4</v>
      </c>
      <c r="BD46" s="13">
        <f>IF('Données projet'!$A$88&gt;35,BD45+BC46-BL45,IF(A46&lt;'Données projet'!$A$88,$BA$205^A46,IF(A46='Données projet'!$A$88,'Données projet'!$B$88,BD45+BC46-BL45)))</f>
        <v>141.20000000000005</v>
      </c>
      <c r="BE46" s="14">
        <f>BD46*VLOOKUP('Données projet'!$B$11,Paramètres!$A$1:$I$89,3,0)*VLOOKUP('Données projet'!$B$11,Paramètres!$A$1:$I$89,5,0)</f>
        <v>136.56864000000004</v>
      </c>
      <c r="BF46" s="14">
        <f t="shared" si="37"/>
        <v>35.509797430964703</v>
      </c>
      <c r="BG46" s="22">
        <f t="shared" si="7"/>
        <v>299.70327852559694</v>
      </c>
      <c r="BH46" s="62">
        <f t="shared" si="8"/>
        <v>549.84445999202899</v>
      </c>
      <c r="BI46" s="62">
        <f ca="1">AVERAGE(OFFSET($BH$3,0,0,'Données projet'!$E$11+1,1))-AVERAGE(OFFSET($H$3,0,0,'Données projet'!$E$11+1,1))</f>
        <v>496.33873798282525</v>
      </c>
      <c r="BJ46" s="62">
        <f t="shared" si="38"/>
        <v>280.25465074992246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>
        <f>EXP(-LN(2)/35)*BP45+(1-EXP(-LN(2)/35))/(LN(2)/35)*BL46*BM46*VLOOKUP('Données projet'!$B$11,Paramètres!$A$1:$I$89,3,0)*0.475*44/12</f>
        <v>0</v>
      </c>
      <c r="BQ46" s="23">
        <f>EXP(-LN(2)/25)*BQ45+(1-EXP(-LN(2)/25))/(LN(2)/25)*Calculateur!BL46*Calculateur!BN46*VLOOKUP('Données projet'!$B$11,Paramètres!$A$1:$I$89,3,0)*0.475*44/12</f>
        <v>0</v>
      </c>
      <c r="BR46" s="23">
        <f>EXP(-LN(2)/2)*BR45+(1-EXP(-LN(2)/2))/(LN(2)/2)*BL46*BO46*VLOOKUP('Données projet'!$B$11,Paramètres!$A$1:$I$89,3,0)*0.475*44/12</f>
        <v>0</v>
      </c>
      <c r="BS46" s="24">
        <f t="shared" si="9"/>
        <v>0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6.6</v>
      </c>
      <c r="BY46" s="13">
        <f>IF('Données projet'!$A$114&gt;35,BY45+BX46-CG45,IF(A46&lt;'Données projet'!$A$114,$BV$205^A46,IF(A46='Données projet'!$A$114,'Données projet'!$B$114,BY45+BX46-CG45)))</f>
        <v>172.79999999999993</v>
      </c>
      <c r="BZ46" s="14">
        <f>BY46*VLOOKUP('Données projet'!$B$12,Paramètres!$A$1:$I$89,3,0)*VLOOKUP('Données projet'!$B$12,Paramètres!$A$1:$I$89,5,0)</f>
        <v>150.95807999999997</v>
      </c>
      <c r="CA46" s="14">
        <f t="shared" si="39"/>
        <v>38.796231993724774</v>
      </c>
      <c r="CB46" s="22">
        <f t="shared" si="10"/>
        <v>330.48876005573726</v>
      </c>
      <c r="CC46" s="62">
        <f t="shared" si="11"/>
        <v>580.62994152216925</v>
      </c>
      <c r="CD46" s="62">
        <f ca="1">AVERAGE(OFFSET($CC$3,0,0,'Données projet'!$E$12+1,1))-AVERAGE(OFFSET($H$3,0,0,'Données projet'!$E$12+1,1))</f>
        <v>298.56812743477741</v>
      </c>
      <c r="CE46" s="62">
        <f t="shared" si="40"/>
        <v>276.01618888357268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>
        <f>EXP(-LN(2)/35)*CK45+(1-EXP(-LN(2)/35))/(LN(2)/35)*CG46*CH46*VLOOKUP('Données projet'!$B$12,Paramètres!$A$1:$I$89,3,0)*0.475*44/12</f>
        <v>0</v>
      </c>
      <c r="CL46" s="23">
        <f>EXP(-LN(2)/25)*CL45+(1-EXP(-LN(2)/25))/(LN(2)/25)*Calculateur!CG46*Calculateur!CI46*VLOOKUP('Données projet'!$B$12,Paramètres!$A$1:$I$89,3,0)*0.475*44/12</f>
        <v>0</v>
      </c>
      <c r="CM46" s="23">
        <f>EXP(-LN(2)/2)*CM45+(1-EXP(-LN(2)/2))/(LN(2)/2)*CG46*CJ46*VLOOKUP('Données projet'!$B$12,Paramètres!$A$1:$I$89,3,0)*0.475*44/12</f>
        <v>0</v>
      </c>
      <c r="CN46" s="24">
        <f t="shared" si="12"/>
        <v>0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6.7948717948717956</v>
      </c>
      <c r="CT46" s="13">
        <f>IF('Données projet'!$A$140&gt;35,CT45+CS46-DB45,IF(A46&lt;'Données projet'!$A$140,$CQ$205^A46,IF(A46='Données projet'!$A$140,'Données projet'!$B$140,CT45+CS46-DB45)))</f>
        <v>194.10256410256406</v>
      </c>
      <c r="CU46" s="18">
        <f>CT46*VLOOKUP('Données projet'!$B$13,Paramètres!$A$1:$I$89,3,0)*VLOOKUP('Données projet'!$B$13,Paramètres!$A$1:$I$89,5,0)</f>
        <v>130.20399999999998</v>
      </c>
      <c r="CV46" s="14">
        <f t="shared" si="41"/>
        <v>34.043493440159544</v>
      </c>
      <c r="CW46" s="22">
        <f t="shared" si="13"/>
        <v>286.06438440827782</v>
      </c>
      <c r="CX46" s="62">
        <f t="shared" si="14"/>
        <v>536.20556587470992</v>
      </c>
      <c r="CY46" s="62">
        <f ca="1">AVERAGE(OFFSET($CX$3,0,0,'Données projet'!$E$13+1,1))-AVERAGE(OFFSET($H$3,0,0,'Données projet'!$E$13+1,1))</f>
        <v>346.82725381974132</v>
      </c>
      <c r="CZ46" s="62">
        <f t="shared" si="42"/>
        <v>254.09787950201044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>
        <f>EXP(-LN(2)/35)*DF45+(1-EXP(-LN(2)/35))/(LN(2)/35)*DB46*DC46*VLOOKUP('Données projet'!$B$13,Paramètres!$A$1:$I$89,3,0)*0.475*44/12</f>
        <v>0</v>
      </c>
      <c r="DG46" s="23">
        <f>EXP(-LN(2)/25)*DG45+(1-EXP(-LN(2)/25))/(LN(2)/25)*Calculateur!DB46*Calculateur!DD46*VLOOKUP('Données projet'!$B$13,Paramètres!$A$1:$I$89,3,0)*0.475*44/12</f>
        <v>0</v>
      </c>
      <c r="DH46" s="23">
        <f>EXP(-LN(2)/2)*DH45+(1-EXP(-LN(2)/2))/(LN(2)/2)*DB46*DE46*VLOOKUP('Données projet'!$B$13,Paramètres!$A$1:$I$89,3,0)*0.475*44/12</f>
        <v>0</v>
      </c>
      <c r="DI46" s="24">
        <f t="shared" si="15"/>
        <v>0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5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2">
        <f t="shared" si="32"/>
        <v>0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18.333333333333332</v>
      </c>
      <c r="H47" s="70">
        <f t="shared" si="1"/>
        <v>183.33333333333334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8.4</v>
      </c>
      <c r="N47" s="14">
        <f>IF('Données projet'!$A$36&gt;35,N46+M47-V46,IF(A47&lt;'Données projet'!$A$36,$K$205^A47,IF(A47='Données projet'!$A$36,'Données projet'!$B$36,N46+M47-V46)))</f>
        <v>149.60000000000005</v>
      </c>
      <c r="O47" s="14">
        <f>N47*VLOOKUP('Données projet'!$B$9,Paramètres!$A$1:$I$89,3,0)*VLOOKUP('Données projet'!$B$9,Paramètres!$A$1:$I$89,5,0)</f>
        <v>135.35808000000006</v>
      </c>
      <c r="P47" s="14">
        <f t="shared" si="33"/>
        <v>35.231528980112834</v>
      </c>
      <c r="Q47" s="22">
        <f t="shared" si="53"/>
        <v>297.11023564036327</v>
      </c>
      <c r="R47" s="62">
        <f t="shared" si="0"/>
        <v>548.0007043785007</v>
      </c>
      <c r="S47" s="62">
        <f ca="1">AVERAGE(OFFSET($R$3,0,0,'Données projet'!$E$9+1,1))-AVERAGE(OFFSET($H$3,0,0,'Données projet'!$E$9+1,1))</f>
        <v>469.67944008675863</v>
      </c>
      <c r="T47" s="62">
        <f t="shared" si="34"/>
        <v>266.11908070867173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0</v>
      </c>
      <c r="AA47" s="23">
        <f>EXP(-LN(2)/25)*AA46+(1-EXP(-LN(2)/25))/(LN(2)/25)*Calculateur!V47*Calculateur!X47*VLOOKUP('Données projet'!$B$9,Paramètres!$A$1:$I$89,3,0)*0.475*44/12</f>
        <v>0</v>
      </c>
      <c r="AB47" s="23">
        <f>EXP(-LN(2)/2)*AB46+(1-EXP(-LN(2)/2))/(LN(2)/2)*V47*Y47*VLOOKUP('Données projet'!$B$9,Paramètres!$A$1:$I$89,3,0)*0.475*44/12</f>
        <v>0</v>
      </c>
      <c r="AC47" s="24">
        <f t="shared" si="3"/>
        <v>0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5.7692307692307683</v>
      </c>
      <c r="AI47" s="14">
        <f>IF('Données projet'!$A$62&gt;35,AI46+AH47-AQ46,IF(A47&lt;'Données projet'!$A$62,$AF$205^A47,IF(A47='Données projet'!$A$62,'Données projet'!$B$62,AI46+AH47-AQ46)))</f>
        <v>161.53846153846143</v>
      </c>
      <c r="AJ47" s="14">
        <f>AI47*VLOOKUP('Données projet'!$B$10,Paramètres!$A$1:$I$89,3,0)*VLOOKUP('Données projet'!$B$10,Paramètres!$A$1:$I$89,5,0)</f>
        <v>153.71999999999991</v>
      </c>
      <c r="AK47" s="14">
        <f t="shared" si="35"/>
        <v>39.422759892582064</v>
      </c>
      <c r="AL47" s="22">
        <f t="shared" si="4"/>
        <v>336.39030681291359</v>
      </c>
      <c r="AM47" s="62">
        <f t="shared" si="5"/>
        <v>587.28077555105097</v>
      </c>
      <c r="AN47" s="62">
        <f ca="1">AVERAGE(OFFSET($AM$3,0,0,'Données projet'!$E$10+1,1))-AVERAGE(OFFSET($H$3,0,0,'Données projet'!$E$10+1,1))</f>
        <v>400.48230125343474</v>
      </c>
      <c r="AO47" s="62">
        <f t="shared" si="36"/>
        <v>275.67023303885048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0</v>
      </c>
      <c r="AV47" s="23">
        <f>EXP(-LN(2)/25)*AV46+(1-EXP(-LN(2)/25))/(LN(2)/25)*Calculateur!AQ47*Calculateur!AS47*VLOOKUP('Données projet'!$B$10,Paramètres!$A$1:$I$89,3,0)*0.475*44/12</f>
        <v>0</v>
      </c>
      <c r="AW47" s="23">
        <f>EXP(-LN(2)/2)*AW46+(1-EXP(-LN(2)/2))/(LN(2)/2)*AQ47*AT47*VLOOKUP('Données projet'!$B$10,Paramètres!$A$1:$I$89,3,0)*0.475*44/12</f>
        <v>0</v>
      </c>
      <c r="AX47" s="23">
        <f t="shared" si="6"/>
        <v>0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8.4</v>
      </c>
      <c r="BD47" s="13">
        <f>IF('Données projet'!$A$88&gt;35,BD46+BC47-BL46,IF(A47&lt;'Données projet'!$A$88,$BA$205^A47,IF(A47='Données projet'!$A$88,'Données projet'!$B$88,BD46+BC47-BL46)))</f>
        <v>149.60000000000005</v>
      </c>
      <c r="BE47" s="14">
        <f>BD47*VLOOKUP('Données projet'!$B$11,Paramètres!$A$1:$I$89,3,0)*VLOOKUP('Données projet'!$B$11,Paramètres!$A$1:$I$89,5,0)</f>
        <v>144.69312000000005</v>
      </c>
      <c r="BF47" s="14">
        <f t="shared" si="37"/>
        <v>37.370061524802772</v>
      </c>
      <c r="BG47" s="22">
        <f t="shared" si="7"/>
        <v>317.09337448903153</v>
      </c>
      <c r="BH47" s="62">
        <f t="shared" si="8"/>
        <v>567.98384322716902</v>
      </c>
      <c r="BI47" s="62">
        <f ca="1">AVERAGE(OFFSET($BH$3,0,0,'Données projet'!$E$11+1,1))-AVERAGE(OFFSET($H$3,0,0,'Données projet'!$E$11+1,1))</f>
        <v>496.33873798282525</v>
      </c>
      <c r="BJ47" s="62">
        <f t="shared" si="38"/>
        <v>280.25465074992246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>
        <f>EXP(-LN(2)/35)*BP46+(1-EXP(-LN(2)/35))/(LN(2)/35)*BL47*BM47*VLOOKUP('Données projet'!$B$11,Paramètres!$A$1:$I$89,3,0)*0.475*44/12</f>
        <v>0</v>
      </c>
      <c r="BQ47" s="23">
        <f>EXP(-LN(2)/25)*BQ46+(1-EXP(-LN(2)/25))/(LN(2)/25)*Calculateur!BL47*Calculateur!BN47*VLOOKUP('Données projet'!$B$11,Paramètres!$A$1:$I$89,3,0)*0.475*44/12</f>
        <v>0</v>
      </c>
      <c r="BR47" s="23">
        <f>EXP(-LN(2)/2)*BR46+(1-EXP(-LN(2)/2))/(LN(2)/2)*BL47*BO47*VLOOKUP('Données projet'!$B$11,Paramètres!$A$1:$I$89,3,0)*0.475*44/12</f>
        <v>0</v>
      </c>
      <c r="BS47" s="24">
        <f t="shared" si="9"/>
        <v>0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6.6</v>
      </c>
      <c r="BY47" s="13">
        <f>IF('Données projet'!$A$114&gt;35,BY46+BX47-CG46,IF(A47&lt;'Données projet'!$A$114,$BV$205^A47,IF(A47='Données projet'!$A$114,'Données projet'!$B$114,BY46+BX47-CG46)))</f>
        <v>179.39999999999992</v>
      </c>
      <c r="BZ47" s="14">
        <f>BY47*VLOOKUP('Données projet'!$B$12,Paramètres!$A$1:$I$89,3,0)*VLOOKUP('Données projet'!$B$12,Paramètres!$A$1:$I$89,5,0)</f>
        <v>156.72383999999997</v>
      </c>
      <c r="CA47" s="14">
        <f t="shared" si="39"/>
        <v>40.102680984620484</v>
      </c>
      <c r="CB47" s="22">
        <f t="shared" si="10"/>
        <v>342.80619071488059</v>
      </c>
      <c r="CC47" s="62">
        <f t="shared" si="11"/>
        <v>593.69665945301801</v>
      </c>
      <c r="CD47" s="62">
        <f ca="1">AVERAGE(OFFSET($CC$3,0,0,'Données projet'!$E$12+1,1))-AVERAGE(OFFSET($H$3,0,0,'Données projet'!$E$12+1,1))</f>
        <v>298.56812743477741</v>
      </c>
      <c r="CE47" s="62">
        <f t="shared" si="40"/>
        <v>276.01618888357268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>
        <f>EXP(-LN(2)/35)*CK46+(1-EXP(-LN(2)/35))/(LN(2)/35)*CG47*CH47*VLOOKUP('Données projet'!$B$12,Paramètres!$A$1:$I$89,3,0)*0.475*44/12</f>
        <v>0</v>
      </c>
      <c r="CL47" s="23">
        <f>EXP(-LN(2)/25)*CL46+(1-EXP(-LN(2)/25))/(LN(2)/25)*Calculateur!CG47*Calculateur!CI47*VLOOKUP('Données projet'!$B$12,Paramètres!$A$1:$I$89,3,0)*0.475*44/12</f>
        <v>0</v>
      </c>
      <c r="CM47" s="23">
        <f>EXP(-LN(2)/2)*CM46+(1-EXP(-LN(2)/2))/(LN(2)/2)*CG47*CJ47*VLOOKUP('Données projet'!$B$12,Paramètres!$A$1:$I$89,3,0)*0.475*44/12</f>
        <v>0</v>
      </c>
      <c r="CN47" s="24">
        <f t="shared" si="12"/>
        <v>0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6.7948717948717956</v>
      </c>
      <c r="CT47" s="13">
        <f>IF('Données projet'!$A$140&gt;35,CT46+CS47-DB46,IF(A47&lt;'Données projet'!$A$140,$CQ$205^A47,IF(A47='Données projet'!$A$140,'Données projet'!$B$140,CT46+CS47-DB46)))</f>
        <v>200.89743589743586</v>
      </c>
      <c r="CU47" s="18">
        <f>CT47*VLOOKUP('Données projet'!$B$13,Paramètres!$A$1:$I$89,3,0)*VLOOKUP('Données projet'!$B$13,Paramètres!$A$1:$I$89,5,0)</f>
        <v>134.76199999999997</v>
      </c>
      <c r="CV47" s="14">
        <f t="shared" si="41"/>
        <v>35.094403222473595</v>
      </c>
      <c r="CW47" s="22">
        <f t="shared" si="13"/>
        <v>295.83323561247477</v>
      </c>
      <c r="CX47" s="62">
        <f t="shared" si="14"/>
        <v>546.72370435061225</v>
      </c>
      <c r="CY47" s="62">
        <f ca="1">AVERAGE(OFFSET($CX$3,0,0,'Données projet'!$E$13+1,1))-AVERAGE(OFFSET($H$3,0,0,'Données projet'!$E$13+1,1))</f>
        <v>346.82725381974132</v>
      </c>
      <c r="CZ47" s="62">
        <f t="shared" si="42"/>
        <v>254.09787950201044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>
        <f>EXP(-LN(2)/35)*DF46+(1-EXP(-LN(2)/35))/(LN(2)/35)*DB47*DC47*VLOOKUP('Données projet'!$B$13,Paramètres!$A$1:$I$89,3,0)*0.475*44/12</f>
        <v>0</v>
      </c>
      <c r="DG47" s="23">
        <f>EXP(-LN(2)/25)*DG46+(1-EXP(-LN(2)/25))/(LN(2)/25)*Calculateur!DB47*Calculateur!DD47*VLOOKUP('Données projet'!$B$13,Paramètres!$A$1:$I$89,3,0)*0.475*44/12</f>
        <v>0</v>
      </c>
      <c r="DH47" s="23">
        <f>EXP(-LN(2)/2)*DH46+(1-EXP(-LN(2)/2))/(LN(2)/2)*DB47*DE47*VLOOKUP('Données projet'!$B$13,Paramètres!$A$1:$I$89,3,0)*0.475*44/12</f>
        <v>0</v>
      </c>
      <c r="DI47" s="24">
        <f t="shared" si="15"/>
        <v>0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5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2">
        <f t="shared" si="32"/>
        <v>0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18.333333333333332</v>
      </c>
      <c r="H48" s="70">
        <f t="shared" si="1"/>
        <v>183.33333333333334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>
        <f>VLOOKUP(A48,'Données projet'!$A$35:$I$55,2,0)</f>
        <v>158</v>
      </c>
      <c r="L48" s="13">
        <f>VLOOKUP(A48,'Données projet'!$A$35:$I$55,9,0)</f>
        <v>8.4</v>
      </c>
      <c r="M48" s="13">
        <f t="array" ref="M48">INDEX(L:L,MIN(IF(ISNUMBER(L48:L244),ROW(L48:L244),"")))</f>
        <v>8.4</v>
      </c>
      <c r="N48" s="14">
        <f>IF('Données projet'!$A$36&gt;35,N47+M48-V47,IF(A48&lt;'Données projet'!$A$36,$K$205^A48,IF(A48='Données projet'!$A$36,'Données projet'!$B$36,N47+M48-V47)))</f>
        <v>158.00000000000006</v>
      </c>
      <c r="O48" s="14">
        <f>N48*VLOOKUP('Données projet'!$B$9,Paramètres!$A$1:$I$89,3,0)*VLOOKUP('Données projet'!$B$9,Paramètres!$A$1:$I$89,5,0)</f>
        <v>142.95840000000004</v>
      </c>
      <c r="P48" s="14">
        <f t="shared" si="33"/>
        <v>36.973906370811264</v>
      </c>
      <c r="Q48" s="22">
        <f t="shared" si="53"/>
        <v>313.38210026249641</v>
      </c>
      <c r="R48" s="62">
        <f t="shared" si="0"/>
        <v>565.00885781333056</v>
      </c>
      <c r="S48" s="62">
        <f ca="1">AVERAGE(OFFSET($R$3,0,0,'Données projet'!$E$9+1,1))-AVERAGE(OFFSET($H$3,0,0,'Données projet'!$E$9+1,1))</f>
        <v>469.67944008675863</v>
      </c>
      <c r="T48" s="62">
        <f t="shared" si="34"/>
        <v>266.11908070867173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0</v>
      </c>
      <c r="AA48" s="23">
        <f>EXP(-LN(2)/25)*AA47+(1-EXP(-LN(2)/25))/(LN(2)/25)*Calculateur!V48*Calculateur!X48*VLOOKUP('Données projet'!$B$9,Paramètres!$A$1:$I$89,3,0)*0.475*44/12</f>
        <v>0</v>
      </c>
      <c r="AB48" s="23">
        <f>EXP(-LN(2)/2)*AB47+(1-EXP(-LN(2)/2))/(LN(2)/2)*V48*Y48*VLOOKUP('Données projet'!$B$9,Paramètres!$A$1:$I$89,3,0)*0.475*44/12</f>
        <v>0</v>
      </c>
      <c r="AC48" s="24">
        <f t="shared" si="3"/>
        <v>0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>
        <f>VLOOKUP(A48,'Données projet'!$A$61:$I$81,2,0)</f>
        <v>167.30769230769229</v>
      </c>
      <c r="AG48" s="13">
        <f>VLOOKUP(A48,'Données projet'!$A$61:$I$81,9,0)</f>
        <v>5.7692307692307683</v>
      </c>
      <c r="AH48" s="13">
        <f t="array" ref="AH48">INDEX(AG:AG,MIN(IF(ISNUMBER(AG48:AG244),ROW(AG48:AG244),"")))</f>
        <v>5.7692307692307683</v>
      </c>
      <c r="AI48" s="14">
        <f>IF('Données projet'!$A$62&gt;35,AI47+AH48-AQ47,IF(A48&lt;'Données projet'!$A$62,$AF$205^A48,IF(A48='Données projet'!$A$62,'Données projet'!$B$62,AI47+AH48-AQ47)))</f>
        <v>167.30769230769221</v>
      </c>
      <c r="AJ48" s="14">
        <f>AI48*VLOOKUP('Données projet'!$B$10,Paramètres!$A$1:$I$89,3,0)*VLOOKUP('Données projet'!$B$10,Paramètres!$A$1:$I$89,5,0)</f>
        <v>159.20999999999992</v>
      </c>
      <c r="AK48" s="14">
        <f t="shared" si="35"/>
        <v>40.664277403035747</v>
      </c>
      <c r="AL48" s="22">
        <f t="shared" si="4"/>
        <v>348.11436647695382</v>
      </c>
      <c r="AM48" s="62">
        <f t="shared" si="5"/>
        <v>599.74112402778792</v>
      </c>
      <c r="AN48" s="62">
        <f ca="1">AVERAGE(OFFSET($AM$3,0,0,'Données projet'!$E$10+1,1))-AVERAGE(OFFSET($H$3,0,0,'Données projet'!$E$10+1,1))</f>
        <v>400.48230125343474</v>
      </c>
      <c r="AO48" s="62">
        <f t="shared" si="36"/>
        <v>275.67023303885048</v>
      </c>
      <c r="AP48" s="16">
        <f>IF(ISNA(VLOOKUP(A48,'Données projet'!$A$61:$I$81,3,0)),0,VLOOKUP(A48,'Données projet'!$A$61:$I$81,3,0))</f>
        <v>3</v>
      </c>
      <c r="AQ48" s="16">
        <f>IF(ISNA(VLOOKUP(A48,'Données projet'!$A$61:$I$81,4,0)),0,VLOOKUP(A48,'Données projet'!$A$61:$I$81,4,0))</f>
        <v>30.128205128205128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0</v>
      </c>
      <c r="AV48" s="23">
        <f>EXP(-LN(2)/25)*AV47+(1-EXP(-LN(2)/25))/(LN(2)/25)*Calculateur!AQ48*Calculateur!AS48*VLOOKUP('Données projet'!$B$10,Paramètres!$A$1:$I$89,3,0)*0.475*44/12</f>
        <v>0</v>
      </c>
      <c r="AW48" s="23">
        <f>EXP(-LN(2)/2)*AW47+(1-EXP(-LN(2)/2))/(LN(2)/2)*AQ48*AT48*VLOOKUP('Données projet'!$B$10,Paramètres!$A$1:$I$89,3,0)*0.475*44/12</f>
        <v>0</v>
      </c>
      <c r="AX48" s="23">
        <f t="shared" si="6"/>
        <v>0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>
        <f>VLOOKUP(A48,'Données projet'!$A$87:$I$107,2,0)</f>
        <v>158</v>
      </c>
      <c r="BB48" s="13">
        <f>VLOOKUP(A48,'Données projet'!$A$87:$I$107,9,0)</f>
        <v>8.4</v>
      </c>
      <c r="BC48" s="13">
        <f t="array" ref="BC48">INDEX(BB:BB,MIN(IF(ISNUMBER(BB48:BB244),ROW(BB48:BB244),"")))</f>
        <v>8.4</v>
      </c>
      <c r="BD48" s="13">
        <f>IF('Données projet'!$A$88&gt;35,BD47+BC48-BL47,IF(A48&lt;'Données projet'!$A$88,$BA$205^A48,IF(A48='Données projet'!$A$88,'Données projet'!$B$88,BD47+BC48-BL47)))</f>
        <v>158.00000000000006</v>
      </c>
      <c r="BE48" s="14">
        <f>BD48*VLOOKUP('Données projet'!$B$11,Paramètres!$A$1:$I$89,3,0)*VLOOKUP('Données projet'!$B$11,Paramètres!$A$1:$I$89,5,0)</f>
        <v>152.81760000000006</v>
      </c>
      <c r="BF48" s="14">
        <f t="shared" si="37"/>
        <v>39.218200171484227</v>
      </c>
      <c r="BG48" s="22">
        <f t="shared" si="7"/>
        <v>334.46235196533513</v>
      </c>
      <c r="BH48" s="62">
        <f t="shared" si="8"/>
        <v>586.08910951616929</v>
      </c>
      <c r="BI48" s="62">
        <f ca="1">AVERAGE(OFFSET($BH$3,0,0,'Données projet'!$E$11+1,1))-AVERAGE(OFFSET($H$3,0,0,'Données projet'!$E$11+1,1))</f>
        <v>496.33873798282525</v>
      </c>
      <c r="BJ48" s="62">
        <f t="shared" si="38"/>
        <v>280.25465074992246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>
        <f>EXP(-LN(2)/35)*BP47+(1-EXP(-LN(2)/35))/(LN(2)/35)*BL48*BM48*VLOOKUP('Données projet'!$B$11,Paramètres!$A$1:$I$89,3,0)*0.475*44/12</f>
        <v>0</v>
      </c>
      <c r="BQ48" s="23">
        <f>EXP(-LN(2)/25)*BQ47+(1-EXP(-LN(2)/25))/(LN(2)/25)*Calculateur!BL48*Calculateur!BN48*VLOOKUP('Données projet'!$B$11,Paramètres!$A$1:$I$89,3,0)*0.475*44/12</f>
        <v>0</v>
      </c>
      <c r="BR48" s="23">
        <f>EXP(-LN(2)/2)*BR47+(1-EXP(-LN(2)/2))/(LN(2)/2)*BL48*BO48*VLOOKUP('Données projet'!$B$11,Paramètres!$A$1:$I$89,3,0)*0.475*44/12</f>
        <v>0</v>
      </c>
      <c r="BS48" s="24">
        <f t="shared" si="9"/>
        <v>0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>
        <f>VLOOKUP(A48,'Données projet'!$A$113:$I$133,2,0)</f>
        <v>186</v>
      </c>
      <c r="BW48" s="13">
        <f>VLOOKUP(A48,'Données projet'!$A$113:$I$133,9,0)</f>
        <v>6.6</v>
      </c>
      <c r="BX48" s="13">
        <f t="array" ref="BX48">INDEX(BW:BW,MIN(IF(ISNUMBER(BW48:BW244),ROW(BW48:BW244),"")))</f>
        <v>6.6</v>
      </c>
      <c r="BY48" s="13">
        <f>IF('Données projet'!$A$114&gt;35,BY47+BX48-CG47,IF(A48&lt;'Données projet'!$A$114,$BV$205^A48,IF(A48='Données projet'!$A$114,'Données projet'!$B$114,BY47+BX48-CG47)))</f>
        <v>185.99999999999991</v>
      </c>
      <c r="BZ48" s="14">
        <f>BY48*VLOOKUP('Données projet'!$B$12,Paramètres!$A$1:$I$89,3,0)*VLOOKUP('Données projet'!$B$12,Paramètres!$A$1:$I$89,5,0)</f>
        <v>162.48959999999997</v>
      </c>
      <c r="CA48" s="14">
        <f t="shared" si="39"/>
        <v>41.403546033820696</v>
      </c>
      <c r="CB48" s="22">
        <f t="shared" si="10"/>
        <v>355.11389600890431</v>
      </c>
      <c r="CC48" s="62">
        <f t="shared" si="11"/>
        <v>606.74065355973846</v>
      </c>
      <c r="CD48" s="62">
        <f ca="1">AVERAGE(OFFSET($CC$3,0,0,'Données projet'!$E$12+1,1))-AVERAGE(OFFSET($H$3,0,0,'Données projet'!$E$12+1,1))</f>
        <v>298.56812743477741</v>
      </c>
      <c r="CE48" s="62">
        <f t="shared" si="40"/>
        <v>276.01618888357268</v>
      </c>
      <c r="CF48" s="16">
        <f>IF(ISNA(VLOOKUP(A48,'Données projet'!$A$113:$I$133,3,0)),0,VLOOKUP(A48,'Données projet'!$A$113:$I$133,3,0))</f>
        <v>3</v>
      </c>
      <c r="CG48" s="16">
        <f>IF(ISNA(VLOOKUP(A48,'Données projet'!$A$113:$I$133,4,0)),0,VLOOKUP(A48,'Données projet'!$A$113:$I$133,4,0))</f>
        <v>39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>
        <f>EXP(-LN(2)/35)*CK47+(1-EXP(-LN(2)/35))/(LN(2)/35)*CG48*CH48*VLOOKUP('Données projet'!$B$12,Paramètres!$A$1:$I$89,3,0)*0.475*44/12</f>
        <v>0</v>
      </c>
      <c r="CL48" s="23">
        <f>EXP(-LN(2)/25)*CL47+(1-EXP(-LN(2)/25))/(LN(2)/25)*Calculateur!CG48*Calculateur!CI48*VLOOKUP('Données projet'!$B$12,Paramètres!$A$1:$I$89,3,0)*0.475*44/12</f>
        <v>0</v>
      </c>
      <c r="CM48" s="23">
        <f>EXP(-LN(2)/2)*CM47+(1-EXP(-LN(2)/2))/(LN(2)/2)*CG48*CJ48*VLOOKUP('Données projet'!$B$12,Paramètres!$A$1:$I$89,3,0)*0.475*44/12</f>
        <v>0</v>
      </c>
      <c r="CN48" s="24">
        <f t="shared" si="12"/>
        <v>0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>
        <f>VLOOKUP(A48,'Données projet'!$A$139:$I$159,2,0)</f>
        <v>207.69230769230768</v>
      </c>
      <c r="CR48" s="13">
        <f>VLOOKUP(A48,'Données projet'!$A$139:$I$159,9,0)</f>
        <v>6.7948717948717956</v>
      </c>
      <c r="CS48" s="13">
        <f t="array" ref="CS48">INDEX(CR:CR,MIN(IF(ISNUMBER(CR48:CR244),ROW(CR48:CR244),"")))</f>
        <v>6.7948717948717956</v>
      </c>
      <c r="CT48" s="13">
        <f>IF('Données projet'!$A$140&gt;35,CT47+CS48-DB47,IF(A48&lt;'Données projet'!$A$140,$CQ$205^A48,IF(A48='Données projet'!$A$140,'Données projet'!$B$140,CT47+CS48-DB47)))</f>
        <v>207.69230769230765</v>
      </c>
      <c r="CU48" s="18">
        <f>CT48*VLOOKUP('Données projet'!$B$13,Paramètres!$A$1:$I$89,3,0)*VLOOKUP('Données projet'!$B$13,Paramètres!$A$1:$I$89,5,0)</f>
        <v>139.32</v>
      </c>
      <c r="CV48" s="14">
        <f t="shared" si="41"/>
        <v>36.141182927738022</v>
      </c>
      <c r="CW48" s="22">
        <f t="shared" si="13"/>
        <v>305.59489359914369</v>
      </c>
      <c r="CX48" s="62">
        <f t="shared" si="14"/>
        <v>557.22165114997779</v>
      </c>
      <c r="CY48" s="62">
        <f ca="1">AVERAGE(OFFSET($CX$3,0,0,'Données projet'!$E$13+1,1))-AVERAGE(OFFSET($H$3,0,0,'Données projet'!$E$13+1,1))</f>
        <v>346.82725381974132</v>
      </c>
      <c r="CZ48" s="62">
        <f t="shared" si="42"/>
        <v>254.09787950201044</v>
      </c>
      <c r="DA48" s="16">
        <f>IF(ISNA(VLOOKUP(A48,'Données projet'!$A$139:$I$159,3,0)),0,VLOOKUP(A48,'Données projet'!$A$139:$I$159,3,0))</f>
        <v>3</v>
      </c>
      <c r="DB48" s="16">
        <f>IF(ISNA(VLOOKUP(A48,'Données projet'!$A$139:$I$159,4,0)),0,VLOOKUP(A48,'Données projet'!$A$139:$I$159,4,0))</f>
        <v>33.974358974358971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>
        <f>EXP(-LN(2)/35)*DF47+(1-EXP(-LN(2)/35))/(LN(2)/35)*DB48*DC48*VLOOKUP('Données projet'!$B$13,Paramètres!$A$1:$I$89,3,0)*0.475*44/12</f>
        <v>0</v>
      </c>
      <c r="DG48" s="23">
        <f>EXP(-LN(2)/25)*DG47+(1-EXP(-LN(2)/25))/(LN(2)/25)*Calculateur!DB48*Calculateur!DD48*VLOOKUP('Données projet'!$B$13,Paramètres!$A$1:$I$89,3,0)*0.475*44/12</f>
        <v>0</v>
      </c>
      <c r="DH48" s="23">
        <f>EXP(-LN(2)/2)*DH47+(1-EXP(-LN(2)/2))/(LN(2)/2)*DB48*DE48*VLOOKUP('Données projet'!$B$13,Paramètres!$A$1:$I$89,3,0)*0.475*44/12</f>
        <v>0</v>
      </c>
      <c r="DI48" s="24">
        <f t="shared" si="15"/>
        <v>0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5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2">
        <f t="shared" si="32"/>
        <v>0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18.333333333333332</v>
      </c>
      <c r="H49" s="70">
        <f t="shared" si="1"/>
        <v>183.33333333333334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8.1999999999999993</v>
      </c>
      <c r="N49" s="14">
        <f>IF('Données projet'!$A$36&gt;35,N48+M49-V48,IF(A49&lt;'Données projet'!$A$36,$K$205^A49,IF(A49='Données projet'!$A$36,'Données projet'!$B$36,N48+M49-V48)))</f>
        <v>166.20000000000005</v>
      </c>
      <c r="O49" s="14">
        <f>N49*VLOOKUP('Données projet'!$B$9,Paramètres!$A$1:$I$89,3,0)*VLOOKUP('Données projet'!$B$9,Paramètres!$A$1:$I$89,5,0)</f>
        <v>150.37776000000002</v>
      </c>
      <c r="P49" s="14">
        <f t="shared" si="33"/>
        <v>38.664420365454049</v>
      </c>
      <c r="Q49" s="22">
        <f t="shared" si="53"/>
        <v>329.24846413649914</v>
      </c>
      <c r="R49" s="62">
        <f t="shared" si="0"/>
        <v>581.59873753522481</v>
      </c>
      <c r="S49" s="62">
        <f ca="1">AVERAGE(OFFSET($R$3,0,0,'Données projet'!$E$9+1,1))-AVERAGE(OFFSET($H$3,0,0,'Données projet'!$E$9+1,1))</f>
        <v>469.67944008675863</v>
      </c>
      <c r="T49" s="62">
        <f t="shared" si="34"/>
        <v>266.11908070867173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0</v>
      </c>
      <c r="AA49" s="23">
        <f>EXP(-LN(2)/25)*AA48+(1-EXP(-LN(2)/25))/(LN(2)/25)*Calculateur!V49*Calculateur!X49*VLOOKUP('Données projet'!$B$9,Paramètres!$A$1:$I$89,3,0)*0.475*44/12</f>
        <v>0</v>
      </c>
      <c r="AB49" s="23">
        <f>EXP(-LN(2)/2)*AB48+(1-EXP(-LN(2)/2))/(LN(2)/2)*V49*Y49*VLOOKUP('Données projet'!$B$9,Paramètres!$A$1:$I$89,3,0)*0.475*44/12</f>
        <v>0</v>
      </c>
      <c r="AC49" s="24">
        <f t="shared" si="3"/>
        <v>0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5.5128205128205199</v>
      </c>
      <c r="AI49" s="14">
        <f>IF('Données projet'!$A$62&gt;35,AI48+AH49-AQ48,IF(A49&lt;'Données projet'!$A$62,$AF$205^A49,IF(A49='Données projet'!$A$62,'Données projet'!$B$62,AI48+AH49-AQ48)))</f>
        <v>142.69230769230759</v>
      </c>
      <c r="AJ49" s="14">
        <f>AI49*VLOOKUP('Données projet'!$B$10,Paramètres!$A$1:$I$89,3,0)*VLOOKUP('Données projet'!$B$10,Paramètres!$A$1:$I$89,5,0)</f>
        <v>135.78599999999992</v>
      </c>
      <c r="AK49" s="14">
        <f t="shared" si="35"/>
        <v>35.329926868166531</v>
      </c>
      <c r="AL49" s="22">
        <f t="shared" si="4"/>
        <v>298.02690596205656</v>
      </c>
      <c r="AM49" s="62">
        <f t="shared" si="5"/>
        <v>550.37717936078218</v>
      </c>
      <c r="AN49" s="62">
        <f ca="1">AVERAGE(OFFSET($AM$3,0,0,'Données projet'!$E$10+1,1))-AVERAGE(OFFSET($H$3,0,0,'Données projet'!$E$10+1,1))</f>
        <v>400.48230125343474</v>
      </c>
      <c r="AO49" s="62">
        <f t="shared" si="36"/>
        <v>275.67023303885048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0</v>
      </c>
      <c r="AV49" s="23">
        <f>EXP(-LN(2)/25)*AV48+(1-EXP(-LN(2)/25))/(LN(2)/25)*Calculateur!AQ49*Calculateur!AS49*VLOOKUP('Données projet'!$B$10,Paramètres!$A$1:$I$89,3,0)*0.475*44/12</f>
        <v>0</v>
      </c>
      <c r="AW49" s="23">
        <f>EXP(-LN(2)/2)*AW48+(1-EXP(-LN(2)/2))/(LN(2)/2)*AQ49*AT49*VLOOKUP('Données projet'!$B$10,Paramètres!$A$1:$I$89,3,0)*0.475*44/12</f>
        <v>0</v>
      </c>
      <c r="AX49" s="23">
        <f t="shared" si="6"/>
        <v>0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8.1999999999999993</v>
      </c>
      <c r="BD49" s="13">
        <f>IF('Données projet'!$A$88&gt;35,BD48+BC49-BL48,IF(A49&lt;'Données projet'!$A$88,$BA$205^A49,IF(A49='Données projet'!$A$88,'Données projet'!$B$88,BD48+BC49-BL48)))</f>
        <v>166.20000000000005</v>
      </c>
      <c r="BE49" s="14">
        <f>BD49*VLOOKUP('Données projet'!$B$11,Paramètres!$A$1:$I$89,3,0)*VLOOKUP('Données projet'!$B$11,Paramètres!$A$1:$I$89,5,0)</f>
        <v>160.74864000000005</v>
      </c>
      <c r="BF49" s="14">
        <f t="shared" si="37"/>
        <v>41.011327345272264</v>
      </c>
      <c r="BG49" s="22">
        <f t="shared" si="7"/>
        <v>351.39860979301596</v>
      </c>
      <c r="BH49" s="62">
        <f t="shared" si="8"/>
        <v>603.74888319174158</v>
      </c>
      <c r="BI49" s="62">
        <f ca="1">AVERAGE(OFFSET($BH$3,0,0,'Données projet'!$E$11+1,1))-AVERAGE(OFFSET($H$3,0,0,'Données projet'!$E$11+1,1))</f>
        <v>496.33873798282525</v>
      </c>
      <c r="BJ49" s="62">
        <f t="shared" si="38"/>
        <v>280.25465074992246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>
        <f>EXP(-LN(2)/35)*BP48+(1-EXP(-LN(2)/35))/(LN(2)/35)*BL49*BM49*VLOOKUP('Données projet'!$B$11,Paramètres!$A$1:$I$89,3,0)*0.475*44/12</f>
        <v>0</v>
      </c>
      <c r="BQ49" s="23">
        <f>EXP(-LN(2)/25)*BQ48+(1-EXP(-LN(2)/25))/(LN(2)/25)*Calculateur!BL49*Calculateur!BN49*VLOOKUP('Données projet'!$B$11,Paramètres!$A$1:$I$89,3,0)*0.475*44/12</f>
        <v>0</v>
      </c>
      <c r="BR49" s="23">
        <f>EXP(-LN(2)/2)*BR48+(1-EXP(-LN(2)/2))/(LN(2)/2)*BL49*BO49*VLOOKUP('Données projet'!$B$11,Paramètres!$A$1:$I$89,3,0)*0.475*44/12</f>
        <v>0</v>
      </c>
      <c r="BS49" s="24">
        <f t="shared" si="9"/>
        <v>0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5.4</v>
      </c>
      <c r="BY49" s="13">
        <f>IF('Données projet'!$A$114&gt;35,BY48+BX49-CG48,IF(A49&lt;'Données projet'!$A$114,$BV$205^A49,IF(A49='Données projet'!$A$114,'Données projet'!$B$114,BY48+BX49-CG48)))</f>
        <v>152.39999999999992</v>
      </c>
      <c r="BZ49" s="14">
        <f>BY49*VLOOKUP('Données projet'!$B$12,Paramètres!$A$1:$I$89,3,0)*VLOOKUP('Données projet'!$B$12,Paramètres!$A$1:$I$89,5,0)</f>
        <v>133.13663999999994</v>
      </c>
      <c r="CA49" s="14">
        <f t="shared" si="39"/>
        <v>34.720135986247143</v>
      </c>
      <c r="CB49" s="22">
        <f t="shared" si="10"/>
        <v>292.35055150938035</v>
      </c>
      <c r="CC49" s="62">
        <f t="shared" si="11"/>
        <v>544.70082490810603</v>
      </c>
      <c r="CD49" s="62">
        <f ca="1">AVERAGE(OFFSET($CC$3,0,0,'Données projet'!$E$12+1,1))-AVERAGE(OFFSET($H$3,0,0,'Données projet'!$E$12+1,1))</f>
        <v>298.56812743477741</v>
      </c>
      <c r="CE49" s="62">
        <f t="shared" si="40"/>
        <v>276.01618888357268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>
        <f>EXP(-LN(2)/35)*CK48+(1-EXP(-LN(2)/35))/(LN(2)/35)*CG49*CH49*VLOOKUP('Données projet'!$B$12,Paramètres!$A$1:$I$89,3,0)*0.475*44/12</f>
        <v>0</v>
      </c>
      <c r="CL49" s="23">
        <f>EXP(-LN(2)/25)*CL48+(1-EXP(-LN(2)/25))/(LN(2)/25)*Calculateur!CG49*Calculateur!CI49*VLOOKUP('Données projet'!$B$12,Paramètres!$A$1:$I$89,3,0)*0.475*44/12</f>
        <v>0</v>
      </c>
      <c r="CM49" s="23">
        <f>EXP(-LN(2)/2)*CM48+(1-EXP(-LN(2)/2))/(LN(2)/2)*CG49*CJ49*VLOOKUP('Données projet'!$B$12,Paramètres!$A$1:$I$89,3,0)*0.475*44/12</f>
        <v>0</v>
      </c>
      <c r="CN49" s="24">
        <f t="shared" si="12"/>
        <v>0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6.2820512820512819</v>
      </c>
      <c r="CT49" s="13">
        <f>IF('Données projet'!$A$140&gt;35,CT48+CS49-DB48,IF(A49&lt;'Données projet'!$A$140,$CQ$205^A49,IF(A49='Données projet'!$A$140,'Données projet'!$B$140,CT48+CS49-DB48)))</f>
        <v>179.99999999999994</v>
      </c>
      <c r="CU49" s="18">
        <f>CT49*VLOOKUP('Données projet'!$B$13,Paramètres!$A$1:$I$89,3,0)*VLOOKUP('Données projet'!$B$13,Paramètres!$A$1:$I$89,5,0)</f>
        <v>120.74399999999997</v>
      </c>
      <c r="CV49" s="14">
        <f t="shared" si="41"/>
        <v>31.848462605207807</v>
      </c>
      <c r="CW49" s="22">
        <f t="shared" si="13"/>
        <v>265.76520570407018</v>
      </c>
      <c r="CX49" s="62">
        <f t="shared" si="14"/>
        <v>518.1154791027958</v>
      </c>
      <c r="CY49" s="62">
        <f ca="1">AVERAGE(OFFSET($CX$3,0,0,'Données projet'!$E$13+1,1))-AVERAGE(OFFSET($H$3,0,0,'Données projet'!$E$13+1,1))</f>
        <v>346.82725381974132</v>
      </c>
      <c r="CZ49" s="62">
        <f t="shared" si="42"/>
        <v>254.09787950201044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>
        <f>EXP(-LN(2)/35)*DF48+(1-EXP(-LN(2)/35))/(LN(2)/35)*DB49*DC49*VLOOKUP('Données projet'!$B$13,Paramètres!$A$1:$I$89,3,0)*0.475*44/12</f>
        <v>0</v>
      </c>
      <c r="DG49" s="23">
        <f>EXP(-LN(2)/25)*DG48+(1-EXP(-LN(2)/25))/(LN(2)/25)*Calculateur!DB49*Calculateur!DD49*VLOOKUP('Données projet'!$B$13,Paramètres!$A$1:$I$89,3,0)*0.475*44/12</f>
        <v>0</v>
      </c>
      <c r="DH49" s="23">
        <f>EXP(-LN(2)/2)*DH48+(1-EXP(-LN(2)/2))/(LN(2)/2)*DB49*DE49*VLOOKUP('Données projet'!$B$13,Paramètres!$A$1:$I$89,3,0)*0.475*44/12</f>
        <v>0</v>
      </c>
      <c r="DI49" s="24">
        <f t="shared" si="15"/>
        <v>0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5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2">
        <f t="shared" si="32"/>
        <v>0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18.333333333333332</v>
      </c>
      <c r="H50" s="70">
        <f t="shared" si="1"/>
        <v>183.33333333333334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8.1999999999999993</v>
      </c>
      <c r="N50" s="14">
        <f>IF('Données projet'!$A$36&gt;35,N49+M50-V49,IF(A50&lt;'Données projet'!$A$36,$K$205^A50,IF(A50='Données projet'!$A$36,'Données projet'!$B$36,N49+M50-V49)))</f>
        <v>174.40000000000003</v>
      </c>
      <c r="O50" s="14">
        <f>N50*VLOOKUP('Données projet'!$B$9,Paramètres!$A$1:$I$89,3,0)*VLOOKUP('Données projet'!$B$9,Paramètres!$A$1:$I$89,5,0)</f>
        <v>157.79712000000004</v>
      </c>
      <c r="P50" s="14">
        <f t="shared" si="33"/>
        <v>40.345249481546155</v>
      </c>
      <c r="Q50" s="22">
        <f t="shared" si="53"/>
        <v>345.09796018035962</v>
      </c>
      <c r="R50" s="62">
        <f t="shared" si="0"/>
        <v>598.15919804455507</v>
      </c>
      <c r="S50" s="62">
        <f ca="1">AVERAGE(OFFSET($R$3,0,0,'Données projet'!$E$9+1,1))-AVERAGE(OFFSET($H$3,0,0,'Données projet'!$E$9+1,1))</f>
        <v>469.67944008675863</v>
      </c>
      <c r="T50" s="62">
        <f t="shared" si="34"/>
        <v>266.11908070867173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0</v>
      </c>
      <c r="AA50" s="23">
        <f>EXP(-LN(2)/25)*AA49+(1-EXP(-LN(2)/25))/(LN(2)/25)*Calculateur!V50*Calculateur!X50*VLOOKUP('Données projet'!$B$9,Paramètres!$A$1:$I$89,3,0)*0.475*44/12</f>
        <v>0</v>
      </c>
      <c r="AB50" s="23">
        <f>EXP(-LN(2)/2)*AB49+(1-EXP(-LN(2)/2))/(LN(2)/2)*V50*Y50*VLOOKUP('Données projet'!$B$9,Paramètres!$A$1:$I$89,3,0)*0.475*44/12</f>
        <v>0</v>
      </c>
      <c r="AC50" s="24">
        <f t="shared" si="3"/>
        <v>0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5.5128205128205199</v>
      </c>
      <c r="AI50" s="14">
        <f>IF('Données projet'!$A$62&gt;35,AI49+AH50-AQ49,IF(A50&lt;'Données projet'!$A$62,$AF$205^A50,IF(A50='Données projet'!$A$62,'Données projet'!$B$62,AI49+AH50-AQ49)))</f>
        <v>148.20512820512812</v>
      </c>
      <c r="AJ50" s="14">
        <f>AI50*VLOOKUP('Données projet'!$B$10,Paramètres!$A$1:$I$89,3,0)*VLOOKUP('Données projet'!$B$10,Paramètres!$A$1:$I$89,5,0)</f>
        <v>141.03199999999993</v>
      </c>
      <c r="AK50" s="14">
        <f t="shared" si="35"/>
        <v>36.533321053516261</v>
      </c>
      <c r="AL50" s="22">
        <f t="shared" si="4"/>
        <v>309.25960083487399</v>
      </c>
      <c r="AM50" s="62">
        <f t="shared" si="5"/>
        <v>562.32083869906933</v>
      </c>
      <c r="AN50" s="62">
        <f ca="1">AVERAGE(OFFSET($AM$3,0,0,'Données projet'!$E$10+1,1))-AVERAGE(OFFSET($H$3,0,0,'Données projet'!$E$10+1,1))</f>
        <v>400.48230125343474</v>
      </c>
      <c r="AO50" s="62">
        <f t="shared" si="36"/>
        <v>275.67023303885048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0</v>
      </c>
      <c r="AV50" s="23">
        <f>EXP(-LN(2)/25)*AV49+(1-EXP(-LN(2)/25))/(LN(2)/25)*Calculateur!AQ50*Calculateur!AS50*VLOOKUP('Données projet'!$B$10,Paramètres!$A$1:$I$89,3,0)*0.475*44/12</f>
        <v>0</v>
      </c>
      <c r="AW50" s="23">
        <f>EXP(-LN(2)/2)*AW49+(1-EXP(-LN(2)/2))/(LN(2)/2)*AQ50*AT50*VLOOKUP('Données projet'!$B$10,Paramètres!$A$1:$I$89,3,0)*0.475*44/12</f>
        <v>0</v>
      </c>
      <c r="AX50" s="23">
        <f t="shared" si="6"/>
        <v>0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8.1999999999999993</v>
      </c>
      <c r="BD50" s="13">
        <f>IF('Données projet'!$A$88&gt;35,BD49+BC50-BL49,IF(A50&lt;'Données projet'!$A$88,$BA$205^A50,IF(A50='Données projet'!$A$88,'Données projet'!$B$88,BD49+BC50-BL49)))</f>
        <v>174.40000000000003</v>
      </c>
      <c r="BE50" s="14">
        <f>BD50*VLOOKUP('Données projet'!$B$11,Paramètres!$A$1:$I$89,3,0)*VLOOKUP('Données projet'!$B$11,Paramètres!$A$1:$I$89,5,0)</f>
        <v>168.67968000000002</v>
      </c>
      <c r="BF50" s="14">
        <f t="shared" si="37"/>
        <v>42.794181774227013</v>
      </c>
      <c r="BG50" s="22">
        <f t="shared" si="7"/>
        <v>368.3169759234454</v>
      </c>
      <c r="BH50" s="62">
        <f t="shared" si="8"/>
        <v>621.37821378764079</v>
      </c>
      <c r="BI50" s="62">
        <f ca="1">AVERAGE(OFFSET($BH$3,0,0,'Données projet'!$E$11+1,1))-AVERAGE(OFFSET($H$3,0,0,'Données projet'!$E$11+1,1))</f>
        <v>496.33873798282525</v>
      </c>
      <c r="BJ50" s="62">
        <f t="shared" si="38"/>
        <v>280.25465074992246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>
        <f>EXP(-LN(2)/35)*BP49+(1-EXP(-LN(2)/35))/(LN(2)/35)*BL50*BM50*VLOOKUP('Données projet'!$B$11,Paramètres!$A$1:$I$89,3,0)*0.475*44/12</f>
        <v>0</v>
      </c>
      <c r="BQ50" s="23">
        <f>EXP(-LN(2)/25)*BQ49+(1-EXP(-LN(2)/25))/(LN(2)/25)*Calculateur!BL50*Calculateur!BN50*VLOOKUP('Données projet'!$B$11,Paramètres!$A$1:$I$89,3,0)*0.475*44/12</f>
        <v>0</v>
      </c>
      <c r="BR50" s="23">
        <f>EXP(-LN(2)/2)*BR49+(1-EXP(-LN(2)/2))/(LN(2)/2)*BL50*BO50*VLOOKUP('Données projet'!$B$11,Paramètres!$A$1:$I$89,3,0)*0.475*44/12</f>
        <v>0</v>
      </c>
      <c r="BS50" s="24">
        <f t="shared" si="9"/>
        <v>0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5.4</v>
      </c>
      <c r="BY50" s="13">
        <f>IF('Données projet'!$A$114&gt;35,BY49+BX50-CG49,IF(A50&lt;'Données projet'!$A$114,$BV$205^A50,IF(A50='Données projet'!$A$114,'Données projet'!$B$114,BY49+BX50-CG49)))</f>
        <v>157.79999999999993</v>
      </c>
      <c r="BZ50" s="14">
        <f>BY50*VLOOKUP('Données projet'!$B$12,Paramètres!$A$1:$I$89,3,0)*VLOOKUP('Données projet'!$B$12,Paramètres!$A$1:$I$89,5,0)</f>
        <v>137.85407999999995</v>
      </c>
      <c r="CA50" s="14">
        <f t="shared" si="39"/>
        <v>35.804964283629964</v>
      </c>
      <c r="CB50" s="22">
        <f t="shared" si="10"/>
        <v>302.45616879398875</v>
      </c>
      <c r="CC50" s="62">
        <f t="shared" si="11"/>
        <v>555.5174066581842</v>
      </c>
      <c r="CD50" s="62">
        <f ca="1">AVERAGE(OFFSET($CC$3,0,0,'Données projet'!$E$12+1,1))-AVERAGE(OFFSET($H$3,0,0,'Données projet'!$E$12+1,1))</f>
        <v>298.56812743477741</v>
      </c>
      <c r="CE50" s="62">
        <f t="shared" si="40"/>
        <v>276.01618888357268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>
        <f>EXP(-LN(2)/35)*CK49+(1-EXP(-LN(2)/35))/(LN(2)/35)*CG50*CH50*VLOOKUP('Données projet'!$B$12,Paramètres!$A$1:$I$89,3,0)*0.475*44/12</f>
        <v>0</v>
      </c>
      <c r="CL50" s="23">
        <f>EXP(-LN(2)/25)*CL49+(1-EXP(-LN(2)/25))/(LN(2)/25)*Calculateur!CG50*Calculateur!CI50*VLOOKUP('Données projet'!$B$12,Paramètres!$A$1:$I$89,3,0)*0.475*44/12</f>
        <v>0</v>
      </c>
      <c r="CM50" s="23">
        <f>EXP(-LN(2)/2)*CM49+(1-EXP(-LN(2)/2))/(LN(2)/2)*CG50*CJ50*VLOOKUP('Données projet'!$B$12,Paramètres!$A$1:$I$89,3,0)*0.475*44/12</f>
        <v>0</v>
      </c>
      <c r="CN50" s="24">
        <f t="shared" si="12"/>
        <v>0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6.2820512820512819</v>
      </c>
      <c r="CT50" s="13">
        <f>IF('Données projet'!$A$140&gt;35,CT49+CS50-DB49,IF(A50&lt;'Données projet'!$A$140,$CQ$205^A50,IF(A50='Données projet'!$A$140,'Données projet'!$B$140,CT49+CS50-DB49)))</f>
        <v>186.28205128205121</v>
      </c>
      <c r="CU50" s="18">
        <f>CT50*VLOOKUP('Données projet'!$B$13,Paramètres!$A$1:$I$89,3,0)*VLOOKUP('Données projet'!$B$13,Paramètres!$A$1:$I$89,5,0)</f>
        <v>124.95799999999997</v>
      </c>
      <c r="CV50" s="14">
        <f t="shared" si="41"/>
        <v>32.82863256962154</v>
      </c>
      <c r="CW50" s="22">
        <f t="shared" si="13"/>
        <v>274.81171839209077</v>
      </c>
      <c r="CX50" s="62">
        <f t="shared" si="14"/>
        <v>527.87295625628622</v>
      </c>
      <c r="CY50" s="62">
        <f ca="1">AVERAGE(OFFSET($CX$3,0,0,'Données projet'!$E$13+1,1))-AVERAGE(OFFSET($H$3,0,0,'Données projet'!$E$13+1,1))</f>
        <v>346.82725381974132</v>
      </c>
      <c r="CZ50" s="62">
        <f t="shared" si="42"/>
        <v>254.09787950201044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>
        <f>EXP(-LN(2)/35)*DF49+(1-EXP(-LN(2)/35))/(LN(2)/35)*DB50*DC50*VLOOKUP('Données projet'!$B$13,Paramètres!$A$1:$I$89,3,0)*0.475*44/12</f>
        <v>0</v>
      </c>
      <c r="DG50" s="23">
        <f>EXP(-LN(2)/25)*DG49+(1-EXP(-LN(2)/25))/(LN(2)/25)*Calculateur!DB50*Calculateur!DD50*VLOOKUP('Données projet'!$B$13,Paramètres!$A$1:$I$89,3,0)*0.475*44/12</f>
        <v>0</v>
      </c>
      <c r="DH50" s="23">
        <f>EXP(-LN(2)/2)*DH49+(1-EXP(-LN(2)/2))/(LN(2)/2)*DB50*DE50*VLOOKUP('Données projet'!$B$13,Paramètres!$A$1:$I$89,3,0)*0.475*44/12</f>
        <v>0</v>
      </c>
      <c r="DI50" s="24">
        <f t="shared" si="15"/>
        <v>0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5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2">
        <f t="shared" si="32"/>
        <v>0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18.333333333333332</v>
      </c>
      <c r="H51" s="70">
        <f t="shared" si="1"/>
        <v>183.33333333333334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8.1999999999999993</v>
      </c>
      <c r="N51" s="14">
        <f>IF('Données projet'!$A$36&gt;35,N50+M51-V50,IF(A51&lt;'Données projet'!$A$36,$K$205^A51,IF(A51='Données projet'!$A$36,'Données projet'!$B$36,N50+M51-V50)))</f>
        <v>182.60000000000002</v>
      </c>
      <c r="O51" s="14">
        <f>N51*VLOOKUP('Données projet'!$B$9,Paramètres!$A$1:$I$89,3,0)*VLOOKUP('Données projet'!$B$9,Paramètres!$A$1:$I$89,5,0)</f>
        <v>165.21648000000002</v>
      </c>
      <c r="P51" s="14">
        <f t="shared" si="33"/>
        <v>42.016901084500397</v>
      </c>
      <c r="Q51" s="22">
        <f t="shared" si="53"/>
        <v>360.93147205550491</v>
      </c>
      <c r="R51" s="62">
        <f t="shared" si="0"/>
        <v>614.69134074117255</v>
      </c>
      <c r="S51" s="62">
        <f ca="1">AVERAGE(OFFSET($R$3,0,0,'Données projet'!$E$9+1,1))-AVERAGE(OFFSET($H$3,0,0,'Données projet'!$E$9+1,1))</f>
        <v>469.67944008675863</v>
      </c>
      <c r="T51" s="62">
        <f t="shared" si="34"/>
        <v>266.11908070867173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0</v>
      </c>
      <c r="AA51" s="23">
        <f>EXP(-LN(2)/25)*AA50+(1-EXP(-LN(2)/25))/(LN(2)/25)*Calculateur!V51*Calculateur!X51*VLOOKUP('Données projet'!$B$9,Paramètres!$A$1:$I$89,3,0)*0.475*44/12</f>
        <v>0</v>
      </c>
      <c r="AB51" s="23">
        <f>EXP(-LN(2)/2)*AB50+(1-EXP(-LN(2)/2))/(LN(2)/2)*V51*Y51*VLOOKUP('Données projet'!$B$9,Paramètres!$A$1:$I$89,3,0)*0.475*44/12</f>
        <v>0</v>
      </c>
      <c r="AC51" s="24">
        <f t="shared" si="3"/>
        <v>0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5.5128205128205199</v>
      </c>
      <c r="AI51" s="14">
        <f>IF('Données projet'!$A$62&gt;35,AI50+AH51-AQ50,IF(A51&lt;'Données projet'!$A$62,$AF$205^A51,IF(A51='Données projet'!$A$62,'Données projet'!$B$62,AI50+AH51-AQ50)))</f>
        <v>153.71794871794864</v>
      </c>
      <c r="AJ51" s="14">
        <f>AI51*VLOOKUP('Données projet'!$B$10,Paramètres!$A$1:$I$89,3,0)*VLOOKUP('Données projet'!$B$10,Paramètres!$A$1:$I$89,5,0)</f>
        <v>146.27799999999993</v>
      </c>
      <c r="AK51" s="14">
        <f t="shared" si="35"/>
        <v>37.731514830438087</v>
      </c>
      <c r="AL51" s="22">
        <f t="shared" si="4"/>
        <v>320.48323832967958</v>
      </c>
      <c r="AM51" s="62">
        <f t="shared" si="5"/>
        <v>574.24310701534728</v>
      </c>
      <c r="AN51" s="62">
        <f ca="1">AVERAGE(OFFSET($AM$3,0,0,'Données projet'!$E$10+1,1))-AVERAGE(OFFSET($H$3,0,0,'Données projet'!$E$10+1,1))</f>
        <v>400.48230125343474</v>
      </c>
      <c r="AO51" s="62">
        <f t="shared" si="36"/>
        <v>275.67023303885048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0</v>
      </c>
      <c r="AV51" s="23">
        <f>EXP(-LN(2)/25)*AV50+(1-EXP(-LN(2)/25))/(LN(2)/25)*Calculateur!AQ51*Calculateur!AS51*VLOOKUP('Données projet'!$B$10,Paramètres!$A$1:$I$89,3,0)*0.475*44/12</f>
        <v>0</v>
      </c>
      <c r="AW51" s="23">
        <f>EXP(-LN(2)/2)*AW50+(1-EXP(-LN(2)/2))/(LN(2)/2)*AQ51*AT51*VLOOKUP('Données projet'!$B$10,Paramètres!$A$1:$I$89,3,0)*0.475*44/12</f>
        <v>0</v>
      </c>
      <c r="AX51" s="23">
        <f t="shared" si="6"/>
        <v>0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8.1999999999999993</v>
      </c>
      <c r="BD51" s="13">
        <f>IF('Données projet'!$A$88&gt;35,BD50+BC51-BL50,IF(A51&lt;'Données projet'!$A$88,$BA$205^A51,IF(A51='Données projet'!$A$88,'Données projet'!$B$88,BD50+BC51-BL50)))</f>
        <v>182.60000000000002</v>
      </c>
      <c r="BE51" s="14">
        <f>BD51*VLOOKUP('Données projet'!$B$11,Paramètres!$A$1:$I$89,3,0)*VLOOKUP('Données projet'!$B$11,Paramètres!$A$1:$I$89,5,0)</f>
        <v>176.61072000000004</v>
      </c>
      <c r="BF51" s="14">
        <f t="shared" si="37"/>
        <v>44.56730162053563</v>
      </c>
      <c r="BG51" s="22">
        <f t="shared" si="7"/>
        <v>385.21838765576626</v>
      </c>
      <c r="BH51" s="62">
        <f t="shared" si="8"/>
        <v>638.97825634143396</v>
      </c>
      <c r="BI51" s="62">
        <f ca="1">AVERAGE(OFFSET($BH$3,0,0,'Données projet'!$E$11+1,1))-AVERAGE(OFFSET($H$3,0,0,'Données projet'!$E$11+1,1))</f>
        <v>496.33873798282525</v>
      </c>
      <c r="BJ51" s="62">
        <f t="shared" si="38"/>
        <v>280.25465074992246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>
        <f>EXP(-LN(2)/35)*BP50+(1-EXP(-LN(2)/35))/(LN(2)/35)*BL51*BM51*VLOOKUP('Données projet'!$B$11,Paramètres!$A$1:$I$89,3,0)*0.475*44/12</f>
        <v>0</v>
      </c>
      <c r="BQ51" s="23">
        <f>EXP(-LN(2)/25)*BQ50+(1-EXP(-LN(2)/25))/(LN(2)/25)*Calculateur!BL51*Calculateur!BN51*VLOOKUP('Données projet'!$B$11,Paramètres!$A$1:$I$89,3,0)*0.475*44/12</f>
        <v>0</v>
      </c>
      <c r="BR51" s="23">
        <f>EXP(-LN(2)/2)*BR50+(1-EXP(-LN(2)/2))/(LN(2)/2)*BL51*BO51*VLOOKUP('Données projet'!$B$11,Paramètres!$A$1:$I$89,3,0)*0.475*44/12</f>
        <v>0</v>
      </c>
      <c r="BS51" s="24">
        <f t="shared" si="9"/>
        <v>0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5.4</v>
      </c>
      <c r="BY51" s="13">
        <f>IF('Données projet'!$A$114&gt;35,BY50+BX51-CG50,IF(A51&lt;'Données projet'!$A$114,$BV$205^A51,IF(A51='Données projet'!$A$114,'Données projet'!$B$114,BY50+BX51-CG50)))</f>
        <v>163.19999999999993</v>
      </c>
      <c r="BZ51" s="14">
        <f>BY51*VLOOKUP('Données projet'!$B$12,Paramètres!$A$1:$I$89,3,0)*VLOOKUP('Données projet'!$B$12,Paramètres!$A$1:$I$89,5,0)</f>
        <v>142.57151999999996</v>
      </c>
      <c r="CA51" s="14">
        <f t="shared" si="39"/>
        <v>36.88547912245555</v>
      </c>
      <c r="CB51" s="22">
        <f t="shared" si="10"/>
        <v>312.55427347160997</v>
      </c>
      <c r="CC51" s="62">
        <f t="shared" si="11"/>
        <v>566.31414215727773</v>
      </c>
      <c r="CD51" s="62">
        <f ca="1">AVERAGE(OFFSET($CC$3,0,0,'Données projet'!$E$12+1,1))-AVERAGE(OFFSET($H$3,0,0,'Données projet'!$E$12+1,1))</f>
        <v>298.56812743477741</v>
      </c>
      <c r="CE51" s="62">
        <f t="shared" si="40"/>
        <v>276.01618888357268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>
        <f>EXP(-LN(2)/35)*CK50+(1-EXP(-LN(2)/35))/(LN(2)/35)*CG51*CH51*VLOOKUP('Données projet'!$B$12,Paramètres!$A$1:$I$89,3,0)*0.475*44/12</f>
        <v>0</v>
      </c>
      <c r="CL51" s="23">
        <f>EXP(-LN(2)/25)*CL50+(1-EXP(-LN(2)/25))/(LN(2)/25)*Calculateur!CG51*Calculateur!CI51*VLOOKUP('Données projet'!$B$12,Paramètres!$A$1:$I$89,3,0)*0.475*44/12</f>
        <v>0</v>
      </c>
      <c r="CM51" s="23">
        <f>EXP(-LN(2)/2)*CM50+(1-EXP(-LN(2)/2))/(LN(2)/2)*CG51*CJ51*VLOOKUP('Données projet'!$B$12,Paramètres!$A$1:$I$89,3,0)*0.475*44/12</f>
        <v>0</v>
      </c>
      <c r="CN51" s="24">
        <f t="shared" si="12"/>
        <v>0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6.2820512820512819</v>
      </c>
      <c r="CT51" s="13">
        <f>IF('Données projet'!$A$140&gt;35,CT50+CS51-DB50,IF(A51&lt;'Données projet'!$A$140,$CQ$205^A51,IF(A51='Données projet'!$A$140,'Données projet'!$B$140,CT50+CS51-DB50)))</f>
        <v>192.56410256410248</v>
      </c>
      <c r="CU51" s="18">
        <f>CT51*VLOOKUP('Données projet'!$B$13,Paramètres!$A$1:$I$89,3,0)*VLOOKUP('Données projet'!$B$13,Paramètres!$A$1:$I$89,5,0)</f>
        <v>129.17199999999994</v>
      </c>
      <c r="CV51" s="14">
        <f t="shared" si="41"/>
        <v>33.804961751689021</v>
      </c>
      <c r="CW51" s="22">
        <f t="shared" si="13"/>
        <v>283.85154171752492</v>
      </c>
      <c r="CX51" s="62">
        <f t="shared" si="14"/>
        <v>537.61141040319262</v>
      </c>
      <c r="CY51" s="62">
        <f ca="1">AVERAGE(OFFSET($CX$3,0,0,'Données projet'!$E$13+1,1))-AVERAGE(OFFSET($H$3,0,0,'Données projet'!$E$13+1,1))</f>
        <v>346.82725381974132</v>
      </c>
      <c r="CZ51" s="62">
        <f t="shared" si="42"/>
        <v>254.09787950201044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>
        <f>EXP(-LN(2)/35)*DF50+(1-EXP(-LN(2)/35))/(LN(2)/35)*DB51*DC51*VLOOKUP('Données projet'!$B$13,Paramètres!$A$1:$I$89,3,0)*0.475*44/12</f>
        <v>0</v>
      </c>
      <c r="DG51" s="23">
        <f>EXP(-LN(2)/25)*DG50+(1-EXP(-LN(2)/25))/(LN(2)/25)*Calculateur!DB51*Calculateur!DD51*VLOOKUP('Données projet'!$B$13,Paramètres!$A$1:$I$89,3,0)*0.475*44/12</f>
        <v>0</v>
      </c>
      <c r="DH51" s="23">
        <f>EXP(-LN(2)/2)*DH50+(1-EXP(-LN(2)/2))/(LN(2)/2)*DB51*DE51*VLOOKUP('Données projet'!$B$13,Paramètres!$A$1:$I$89,3,0)*0.475*44/12</f>
        <v>0</v>
      </c>
      <c r="DI51" s="24">
        <f t="shared" si="15"/>
        <v>0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5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2">
        <f t="shared" si="32"/>
        <v>0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18.333333333333332</v>
      </c>
      <c r="H52" s="70">
        <f t="shared" si="1"/>
        <v>183.33333333333334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8.1999999999999993</v>
      </c>
      <c r="N52" s="14">
        <f>IF('Données projet'!$A$36&gt;35,N51+M52-V51,IF(A52&lt;'Données projet'!$A$36,$K$205^A52,IF(A52='Données projet'!$A$36,'Données projet'!$B$36,N51+M52-V51)))</f>
        <v>190.8</v>
      </c>
      <c r="O52" s="14">
        <f>N52*VLOOKUP('Données projet'!$B$9,Paramètres!$A$1:$I$89,3,0)*VLOOKUP('Données projet'!$B$9,Paramètres!$A$1:$I$89,5,0)</f>
        <v>172.63584</v>
      </c>
      <c r="P52" s="14">
        <f t="shared" si="33"/>
        <v>43.679834395222109</v>
      </c>
      <c r="Q52" s="22">
        <f t="shared" si="53"/>
        <v>376.74979957167847</v>
      </c>
      <c r="R52" s="62">
        <f t="shared" si="0"/>
        <v>631.19617939597038</v>
      </c>
      <c r="S52" s="62">
        <f ca="1">AVERAGE(OFFSET($R$3,0,0,'Données projet'!$E$9+1,1))-AVERAGE(OFFSET($H$3,0,0,'Données projet'!$E$9+1,1))</f>
        <v>469.67944008675863</v>
      </c>
      <c r="T52" s="62">
        <f t="shared" si="34"/>
        <v>266.11908070867173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0</v>
      </c>
      <c r="AA52" s="23">
        <f>EXP(-LN(2)/25)*AA51+(1-EXP(-LN(2)/25))/(LN(2)/25)*Calculateur!V52*Calculateur!X52*VLOOKUP('Données projet'!$B$9,Paramètres!$A$1:$I$89,3,0)*0.475*44/12</f>
        <v>0</v>
      </c>
      <c r="AB52" s="23">
        <f>EXP(-LN(2)/2)*AB51+(1-EXP(-LN(2)/2))/(LN(2)/2)*V52*Y52*VLOOKUP('Données projet'!$B$9,Paramètres!$A$1:$I$89,3,0)*0.475*44/12</f>
        <v>0</v>
      </c>
      <c r="AC52" s="24">
        <f t="shared" si="3"/>
        <v>0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5.5128205128205199</v>
      </c>
      <c r="AI52" s="14">
        <f>IF('Données projet'!$A$62&gt;35,AI51+AH52-AQ51,IF(A52&lt;'Données projet'!$A$62,$AF$205^A52,IF(A52='Données projet'!$A$62,'Données projet'!$B$62,AI51+AH52-AQ51)))</f>
        <v>159.23076923076917</v>
      </c>
      <c r="AJ52" s="14">
        <f>AI52*VLOOKUP('Données projet'!$B$10,Paramètres!$A$1:$I$89,3,0)*VLOOKUP('Données projet'!$B$10,Paramètres!$A$1:$I$89,5,0)</f>
        <v>151.52399999999994</v>
      </c>
      <c r="AK52" s="14">
        <f t="shared" si="35"/>
        <v>38.924716067948651</v>
      </c>
      <c r="AL52" s="22">
        <f t="shared" si="4"/>
        <v>331.69818048501048</v>
      </c>
      <c r="AM52" s="62">
        <f t="shared" si="5"/>
        <v>586.14456030930251</v>
      </c>
      <c r="AN52" s="62">
        <f ca="1">AVERAGE(OFFSET($AM$3,0,0,'Données projet'!$E$10+1,1))-AVERAGE(OFFSET($H$3,0,0,'Données projet'!$E$10+1,1))</f>
        <v>400.48230125343474</v>
      </c>
      <c r="AO52" s="62">
        <f t="shared" si="36"/>
        <v>275.67023303885048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0</v>
      </c>
      <c r="AV52" s="23">
        <f>EXP(-LN(2)/25)*AV51+(1-EXP(-LN(2)/25))/(LN(2)/25)*Calculateur!AQ52*Calculateur!AS52*VLOOKUP('Données projet'!$B$10,Paramètres!$A$1:$I$89,3,0)*0.475*44/12</f>
        <v>0</v>
      </c>
      <c r="AW52" s="23">
        <f>EXP(-LN(2)/2)*AW51+(1-EXP(-LN(2)/2))/(LN(2)/2)*AQ52*AT52*VLOOKUP('Données projet'!$B$10,Paramètres!$A$1:$I$89,3,0)*0.475*44/12</f>
        <v>0</v>
      </c>
      <c r="AX52" s="23">
        <f t="shared" si="6"/>
        <v>0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8.1999999999999993</v>
      </c>
      <c r="BD52" s="13">
        <f>IF('Données projet'!$A$88&gt;35,BD51+BC52-BL51,IF(A52&lt;'Données projet'!$A$88,$BA$205^A52,IF(A52='Données projet'!$A$88,'Données projet'!$B$88,BD51+BC52-BL51)))</f>
        <v>190.8</v>
      </c>
      <c r="BE52" s="14">
        <f>BD52*VLOOKUP('Données projet'!$B$11,Paramètres!$A$1:$I$89,3,0)*VLOOKUP('Données projet'!$B$11,Paramètres!$A$1:$I$89,5,0)</f>
        <v>184.54176000000001</v>
      </c>
      <c r="BF52" s="14">
        <f t="shared" si="37"/>
        <v>46.33117397953523</v>
      </c>
      <c r="BG52" s="22">
        <f t="shared" si="7"/>
        <v>402.10369334769052</v>
      </c>
      <c r="BH52" s="62">
        <f t="shared" si="8"/>
        <v>656.55007317198249</v>
      </c>
      <c r="BI52" s="62">
        <f ca="1">AVERAGE(OFFSET($BH$3,0,0,'Données projet'!$E$11+1,1))-AVERAGE(OFFSET($H$3,0,0,'Données projet'!$E$11+1,1))</f>
        <v>496.33873798282525</v>
      </c>
      <c r="BJ52" s="62">
        <f t="shared" si="38"/>
        <v>280.25465074992246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>
        <f>EXP(-LN(2)/35)*BP51+(1-EXP(-LN(2)/35))/(LN(2)/35)*BL52*BM52*VLOOKUP('Données projet'!$B$11,Paramètres!$A$1:$I$89,3,0)*0.475*44/12</f>
        <v>0</v>
      </c>
      <c r="BQ52" s="23">
        <f>EXP(-LN(2)/25)*BQ51+(1-EXP(-LN(2)/25))/(LN(2)/25)*Calculateur!BL52*Calculateur!BN52*VLOOKUP('Données projet'!$B$11,Paramètres!$A$1:$I$89,3,0)*0.475*44/12</f>
        <v>0</v>
      </c>
      <c r="BR52" s="23">
        <f>EXP(-LN(2)/2)*BR51+(1-EXP(-LN(2)/2))/(LN(2)/2)*BL52*BO52*VLOOKUP('Données projet'!$B$11,Paramètres!$A$1:$I$89,3,0)*0.475*44/12</f>
        <v>0</v>
      </c>
      <c r="BS52" s="24">
        <f t="shared" si="9"/>
        <v>0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5.4</v>
      </c>
      <c r="BY52" s="13">
        <f>IF('Données projet'!$A$114&gt;35,BY51+BX52-CG51,IF(A52&lt;'Données projet'!$A$114,$BV$205^A52,IF(A52='Données projet'!$A$114,'Données projet'!$B$114,BY51+BX52-CG51)))</f>
        <v>168.59999999999994</v>
      </c>
      <c r="BZ52" s="14">
        <f>BY52*VLOOKUP('Données projet'!$B$12,Paramètres!$A$1:$I$89,3,0)*VLOOKUP('Données projet'!$B$12,Paramètres!$A$1:$I$89,5,0)</f>
        <v>147.28895999999995</v>
      </c>
      <c r="CA52" s="14">
        <f t="shared" si="39"/>
        <v>37.961839593121908</v>
      </c>
      <c r="CB52" s="22">
        <f t="shared" si="10"/>
        <v>322.6451426246872</v>
      </c>
      <c r="CC52" s="62">
        <f t="shared" si="11"/>
        <v>577.09152244897916</v>
      </c>
      <c r="CD52" s="62">
        <f ca="1">AVERAGE(OFFSET($CC$3,0,0,'Données projet'!$E$12+1,1))-AVERAGE(OFFSET($H$3,0,0,'Données projet'!$E$12+1,1))</f>
        <v>298.56812743477741</v>
      </c>
      <c r="CE52" s="62">
        <f t="shared" si="40"/>
        <v>276.01618888357268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>
        <f>EXP(-LN(2)/35)*CK51+(1-EXP(-LN(2)/35))/(LN(2)/35)*CG52*CH52*VLOOKUP('Données projet'!$B$12,Paramètres!$A$1:$I$89,3,0)*0.475*44/12</f>
        <v>0</v>
      </c>
      <c r="CL52" s="23">
        <f>EXP(-LN(2)/25)*CL51+(1-EXP(-LN(2)/25))/(LN(2)/25)*Calculateur!CG52*Calculateur!CI52*VLOOKUP('Données projet'!$B$12,Paramètres!$A$1:$I$89,3,0)*0.475*44/12</f>
        <v>0</v>
      </c>
      <c r="CM52" s="23">
        <f>EXP(-LN(2)/2)*CM51+(1-EXP(-LN(2)/2))/(LN(2)/2)*CG52*CJ52*VLOOKUP('Données projet'!$B$12,Paramètres!$A$1:$I$89,3,0)*0.475*44/12</f>
        <v>0</v>
      </c>
      <c r="CN52" s="24">
        <f t="shared" si="12"/>
        <v>0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6.2820512820512819</v>
      </c>
      <c r="CT52" s="13">
        <f>IF('Données projet'!$A$140&gt;35,CT51+CS52-DB51,IF(A52&lt;'Données projet'!$A$140,$CQ$205^A52,IF(A52='Données projet'!$A$140,'Données projet'!$B$140,CT51+CS52-DB51)))</f>
        <v>198.84615384615375</v>
      </c>
      <c r="CU52" s="18">
        <f>CT52*VLOOKUP('Données projet'!$B$13,Paramètres!$A$1:$I$89,3,0)*VLOOKUP('Données projet'!$B$13,Paramètres!$A$1:$I$89,5,0)</f>
        <v>133.38599999999994</v>
      </c>
      <c r="CV52" s="14">
        <f t="shared" si="41"/>
        <v>34.777589819693418</v>
      </c>
      <c r="CW52" s="22">
        <f t="shared" si="13"/>
        <v>292.88491893596591</v>
      </c>
      <c r="CX52" s="62">
        <f t="shared" si="14"/>
        <v>547.33129876025782</v>
      </c>
      <c r="CY52" s="62">
        <f ca="1">AVERAGE(OFFSET($CX$3,0,0,'Données projet'!$E$13+1,1))-AVERAGE(OFFSET($H$3,0,0,'Données projet'!$E$13+1,1))</f>
        <v>346.82725381974132</v>
      </c>
      <c r="CZ52" s="62">
        <f t="shared" si="42"/>
        <v>254.09787950201044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>
        <f>EXP(-LN(2)/35)*DF51+(1-EXP(-LN(2)/35))/(LN(2)/35)*DB52*DC52*VLOOKUP('Données projet'!$B$13,Paramètres!$A$1:$I$89,3,0)*0.475*44/12</f>
        <v>0</v>
      </c>
      <c r="DG52" s="23">
        <f>EXP(-LN(2)/25)*DG51+(1-EXP(-LN(2)/25))/(LN(2)/25)*Calculateur!DB52*Calculateur!DD52*VLOOKUP('Données projet'!$B$13,Paramètres!$A$1:$I$89,3,0)*0.475*44/12</f>
        <v>0</v>
      </c>
      <c r="DH52" s="23">
        <f>EXP(-LN(2)/2)*DH51+(1-EXP(-LN(2)/2))/(LN(2)/2)*DB52*DE52*VLOOKUP('Données projet'!$B$13,Paramètres!$A$1:$I$89,3,0)*0.475*44/12</f>
        <v>0</v>
      </c>
      <c r="DI52" s="24">
        <f t="shared" si="15"/>
        <v>0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5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2">
        <f t="shared" si="32"/>
        <v>0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18.333333333333332</v>
      </c>
      <c r="H53" s="70">
        <f t="shared" si="1"/>
        <v>183.33333333333334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>
        <f>VLOOKUP(A53,'Données projet'!$A$35:$I$55,2,0)</f>
        <v>199</v>
      </c>
      <c r="L53" s="13">
        <f>VLOOKUP(A53,'Données projet'!$A$35:$I$55,9,0)</f>
        <v>8.1999999999999993</v>
      </c>
      <c r="M53" s="13">
        <f t="array" ref="M53">INDEX(L:L,MIN(IF(ISNUMBER(L53:L249),ROW(L53:L249),"")))</f>
        <v>8.1999999999999993</v>
      </c>
      <c r="N53" s="14">
        <f>IF('Données projet'!$A$36&gt;35,N52+M53-V52,IF(A53&lt;'Données projet'!$A$36,$K$205^A53,IF(A53='Données projet'!$A$36,'Données projet'!$B$36,N52+M53-V52)))</f>
        <v>199</v>
      </c>
      <c r="O53" s="14">
        <f>N53*VLOOKUP('Données projet'!$B$9,Paramètres!$A$1:$I$89,3,0)*VLOOKUP('Données projet'!$B$9,Paramètres!$A$1:$I$89,5,0)</f>
        <v>180.05519999999999</v>
      </c>
      <c r="P53" s="14">
        <f t="shared" si="33"/>
        <v>45.334466930398364</v>
      </c>
      <c r="Q53" s="22">
        <f t="shared" si="53"/>
        <v>392.55366990377706</v>
      </c>
      <c r="R53" s="62">
        <f t="shared" si="0"/>
        <v>647.67465143324716</v>
      </c>
      <c r="S53" s="62">
        <f ca="1">AVERAGE(OFFSET($R$3,0,0,'Données projet'!$E$9+1,1))-AVERAGE(OFFSET($H$3,0,0,'Données projet'!$E$9+1,1))</f>
        <v>469.67944008675863</v>
      </c>
      <c r="T53" s="62">
        <f t="shared" si="34"/>
        <v>266.11908070867173</v>
      </c>
      <c r="U53" s="16">
        <f>IF(ISNA(VLOOKUP(A53,'Données projet'!$A$35:$I$55,3,0)),0,VLOOKUP(A53,'Données projet'!$A$35:$I$55,3,0))</f>
        <v>3</v>
      </c>
      <c r="V53" s="16">
        <f>IF(ISNA(VLOOKUP(A53,'Données projet'!$A$35:$I$55,4,0)),0,VLOOKUP(A53,'Données projet'!$A$35:$I$55,4,0))</f>
        <v>42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0</v>
      </c>
      <c r="AA53" s="23">
        <f>EXP(-LN(2)/25)*AA52+(1-EXP(-LN(2)/25))/(LN(2)/25)*Calculateur!V53*Calculateur!X53*VLOOKUP('Données projet'!$B$9,Paramètres!$A$1:$I$89,3,0)*0.475*44/12</f>
        <v>0</v>
      </c>
      <c r="AB53" s="23">
        <f>EXP(-LN(2)/2)*AB52+(1-EXP(-LN(2)/2))/(LN(2)/2)*V53*Y53*VLOOKUP('Données projet'!$B$9,Paramètres!$A$1:$I$89,3,0)*0.475*44/12</f>
        <v>0</v>
      </c>
      <c r="AC53" s="24">
        <f t="shared" si="3"/>
        <v>0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>
        <f>VLOOKUP(A53,'Données projet'!$A$61:$I$81,2,0)</f>
        <v>164.74358974358975</v>
      </c>
      <c r="AG53" s="13">
        <f>VLOOKUP(A53,'Données projet'!$A$61:$I$81,9,0)</f>
        <v>5.5128205128205199</v>
      </c>
      <c r="AH53" s="13">
        <f t="array" ref="AH53">INDEX(AG:AG,MIN(IF(ISNUMBER(AG53:AG249),ROW(AG53:AG249),"")))</f>
        <v>5.5128205128205199</v>
      </c>
      <c r="AI53" s="14">
        <f>IF('Données projet'!$A$62&gt;35,AI52+AH53-AQ52,IF(A53&lt;'Données projet'!$A$62,$AF$205^A53,IF(A53='Données projet'!$A$62,'Données projet'!$B$62,AI52+AH53-AQ52)))</f>
        <v>164.74358974358969</v>
      </c>
      <c r="AJ53" s="14">
        <f>AI53*VLOOKUP('Données projet'!$B$10,Paramètres!$A$1:$I$89,3,0)*VLOOKUP('Données projet'!$B$10,Paramètres!$A$1:$I$89,5,0)</f>
        <v>156.76999999999995</v>
      </c>
      <c r="AK53" s="14">
        <f t="shared" si="35"/>
        <v>40.113117425252788</v>
      </c>
      <c r="AL53" s="22">
        <f t="shared" si="4"/>
        <v>342.90476284898187</v>
      </c>
      <c r="AM53" s="62">
        <f t="shared" si="5"/>
        <v>598.02574437845192</v>
      </c>
      <c r="AN53" s="62">
        <f ca="1">AVERAGE(OFFSET($AM$3,0,0,'Données projet'!$E$10+1,1))-AVERAGE(OFFSET($H$3,0,0,'Données projet'!$E$10+1,1))</f>
        <v>400.48230125343474</v>
      </c>
      <c r="AO53" s="62">
        <f t="shared" si="36"/>
        <v>275.67023303885048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0</v>
      </c>
      <c r="AV53" s="23">
        <f>EXP(-LN(2)/25)*AV52+(1-EXP(-LN(2)/25))/(LN(2)/25)*Calculateur!AQ53*Calculateur!AS53*VLOOKUP('Données projet'!$B$10,Paramètres!$A$1:$I$89,3,0)*0.475*44/12</f>
        <v>0</v>
      </c>
      <c r="AW53" s="23">
        <f>EXP(-LN(2)/2)*AW52+(1-EXP(-LN(2)/2))/(LN(2)/2)*AQ53*AT53*VLOOKUP('Données projet'!$B$10,Paramètres!$A$1:$I$89,3,0)*0.475*44/12</f>
        <v>0</v>
      </c>
      <c r="AX53" s="23">
        <f t="shared" si="6"/>
        <v>0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>
        <f>VLOOKUP(A53,'Données projet'!$A$87:$I$107,2,0)</f>
        <v>199</v>
      </c>
      <c r="BB53" s="13">
        <f>VLOOKUP(A53,'Données projet'!$A$87:$I$107,9,0)</f>
        <v>8.1999999999999993</v>
      </c>
      <c r="BC53" s="13">
        <f t="array" ref="BC53">INDEX(BB:BB,MIN(IF(ISNUMBER(BB53:BB249),ROW(BB53:BB249),"")))</f>
        <v>8.1999999999999993</v>
      </c>
      <c r="BD53" s="13">
        <f>IF('Données projet'!$A$88&gt;35,BD52+BC53-BL52,IF(A53&lt;'Données projet'!$A$88,$BA$205^A53,IF(A53='Données projet'!$A$88,'Données projet'!$B$88,BD52+BC53-BL52)))</f>
        <v>199</v>
      </c>
      <c r="BE53" s="14">
        <f>BD53*VLOOKUP('Données projet'!$B$11,Paramètres!$A$1:$I$89,3,0)*VLOOKUP('Données projet'!$B$11,Paramètres!$A$1:$I$89,5,0)</f>
        <v>192.47280000000001</v>
      </c>
      <c r="BF53" s="14">
        <f t="shared" si="37"/>
        <v>48.086241710923829</v>
      </c>
      <c r="BG53" s="22">
        <f t="shared" si="7"/>
        <v>418.97366431319239</v>
      </c>
      <c r="BH53" s="62">
        <f t="shared" si="8"/>
        <v>674.09464584266243</v>
      </c>
      <c r="BI53" s="62">
        <f ca="1">AVERAGE(OFFSET($BH$3,0,0,'Données projet'!$E$11+1,1))-AVERAGE(OFFSET($H$3,0,0,'Données projet'!$E$11+1,1))</f>
        <v>496.33873798282525</v>
      </c>
      <c r="BJ53" s="62">
        <f t="shared" si="38"/>
        <v>280.25465074992246</v>
      </c>
      <c r="BK53" s="16">
        <f>IF(ISNA(VLOOKUP(A53,'Données projet'!$A$87:$I$107,3,0)),0,VLOOKUP(A53,'Données projet'!$A$87:$I$107,3,0))</f>
        <v>3</v>
      </c>
      <c r="BL53" s="16">
        <f>IF(ISNA(VLOOKUP(A53,'Données projet'!$A$87:$I$107,4,0)),0,VLOOKUP(A53,'Données projet'!$A$87:$I$107,4,0))</f>
        <v>42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>
        <f>EXP(-LN(2)/35)*BP52+(1-EXP(-LN(2)/35))/(LN(2)/35)*BL53*BM53*VLOOKUP('Données projet'!$B$11,Paramètres!$A$1:$I$89,3,0)*0.475*44/12</f>
        <v>0</v>
      </c>
      <c r="BQ53" s="23">
        <f>EXP(-LN(2)/25)*BQ52+(1-EXP(-LN(2)/25))/(LN(2)/25)*Calculateur!BL53*Calculateur!BN53*VLOOKUP('Données projet'!$B$11,Paramètres!$A$1:$I$89,3,0)*0.475*44/12</f>
        <v>0</v>
      </c>
      <c r="BR53" s="23">
        <f>EXP(-LN(2)/2)*BR52+(1-EXP(-LN(2)/2))/(LN(2)/2)*BL53*BO53*VLOOKUP('Données projet'!$B$11,Paramètres!$A$1:$I$89,3,0)*0.475*44/12</f>
        <v>0</v>
      </c>
      <c r="BS53" s="24">
        <f t="shared" si="9"/>
        <v>0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>
        <f>VLOOKUP(A53,'Données projet'!$A$113:$I$133,2,0)</f>
        <v>174</v>
      </c>
      <c r="BW53" s="13">
        <f>VLOOKUP(A53,'Données projet'!$A$113:$I$133,9,0)</f>
        <v>5.4</v>
      </c>
      <c r="BX53" s="13">
        <f t="array" ref="BX53">INDEX(BW:BW,MIN(IF(ISNUMBER(BW53:BW249),ROW(BW53:BW249),"")))</f>
        <v>5.4</v>
      </c>
      <c r="BY53" s="13">
        <f>IF('Données projet'!$A$114&gt;35,BY52+BX53-CG52,IF(A53&lt;'Données projet'!$A$114,$BV$205^A53,IF(A53='Données projet'!$A$114,'Données projet'!$B$114,BY52+BX53-CG52)))</f>
        <v>173.99999999999994</v>
      </c>
      <c r="BZ53" s="14">
        <f>BY53*VLOOKUP('Données projet'!$B$12,Paramètres!$A$1:$I$89,3,0)*VLOOKUP('Données projet'!$B$12,Paramètres!$A$1:$I$89,5,0)</f>
        <v>152.00639999999999</v>
      </c>
      <c r="CA53" s="14">
        <f t="shared" si="39"/>
        <v>39.03419401656145</v>
      </c>
      <c r="CB53" s="22">
        <f t="shared" si="10"/>
        <v>332.72903457884451</v>
      </c>
      <c r="CC53" s="62">
        <f t="shared" si="11"/>
        <v>587.85001610831455</v>
      </c>
      <c r="CD53" s="62">
        <f ca="1">AVERAGE(OFFSET($CC$3,0,0,'Données projet'!$E$12+1,1))-AVERAGE(OFFSET($H$3,0,0,'Données projet'!$E$12+1,1))</f>
        <v>298.56812743477741</v>
      </c>
      <c r="CE53" s="62">
        <f t="shared" si="40"/>
        <v>276.01618888357268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>
        <f>EXP(-LN(2)/35)*CK52+(1-EXP(-LN(2)/35))/(LN(2)/35)*CG53*CH53*VLOOKUP('Données projet'!$B$12,Paramètres!$A$1:$I$89,3,0)*0.475*44/12</f>
        <v>0</v>
      </c>
      <c r="CL53" s="23">
        <f>EXP(-LN(2)/25)*CL52+(1-EXP(-LN(2)/25))/(LN(2)/25)*Calculateur!CG53*Calculateur!CI53*VLOOKUP('Données projet'!$B$12,Paramètres!$A$1:$I$89,3,0)*0.475*44/12</f>
        <v>0</v>
      </c>
      <c r="CM53" s="23">
        <f>EXP(-LN(2)/2)*CM52+(1-EXP(-LN(2)/2))/(LN(2)/2)*CG53*CJ53*VLOOKUP('Données projet'!$B$12,Paramètres!$A$1:$I$89,3,0)*0.475*44/12</f>
        <v>0</v>
      </c>
      <c r="CN53" s="24">
        <f t="shared" si="12"/>
        <v>0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>
        <f>VLOOKUP(A53,'Données projet'!$A$139:$I$159,2,0)</f>
        <v>205.12820512820511</v>
      </c>
      <c r="CR53" s="13">
        <f>VLOOKUP(A53,'Données projet'!$A$139:$I$159,9,0)</f>
        <v>6.2820512820512819</v>
      </c>
      <c r="CS53" s="13">
        <f t="array" ref="CS53">INDEX(CR:CR,MIN(IF(ISNUMBER(CR53:CR249),ROW(CR53:CR249),"")))</f>
        <v>6.2820512820512819</v>
      </c>
      <c r="CT53" s="13">
        <f>IF('Données projet'!$A$140&gt;35,CT52+CS53-DB52,IF(A53&lt;'Données projet'!$A$140,$CQ$205^A53,IF(A53='Données projet'!$A$140,'Données projet'!$B$140,CT52+CS53-DB52)))</f>
        <v>205.12820512820502</v>
      </c>
      <c r="CU53" s="18">
        <f>CT53*VLOOKUP('Données projet'!$B$13,Paramètres!$A$1:$I$89,3,0)*VLOOKUP('Données projet'!$B$13,Paramètres!$A$1:$I$89,5,0)</f>
        <v>137.59999999999994</v>
      </c>
      <c r="CV53" s="14">
        <f t="shared" si="41"/>
        <v>35.746647115800606</v>
      </c>
      <c r="CW53" s="22">
        <f t="shared" si="13"/>
        <v>301.91207706001927</v>
      </c>
      <c r="CX53" s="62">
        <f t="shared" si="14"/>
        <v>557.03305858948943</v>
      </c>
      <c r="CY53" s="62">
        <f ca="1">AVERAGE(OFFSET($CX$3,0,0,'Données projet'!$E$13+1,1))-AVERAGE(OFFSET($H$3,0,0,'Données projet'!$E$13+1,1))</f>
        <v>346.82725381974132</v>
      </c>
      <c r="CZ53" s="62">
        <f t="shared" si="42"/>
        <v>254.09787950201044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>
        <f>EXP(-LN(2)/35)*DF52+(1-EXP(-LN(2)/35))/(LN(2)/35)*DB53*DC53*VLOOKUP('Données projet'!$B$13,Paramètres!$A$1:$I$89,3,0)*0.475*44/12</f>
        <v>0</v>
      </c>
      <c r="DG53" s="23">
        <f>EXP(-LN(2)/25)*DG52+(1-EXP(-LN(2)/25))/(LN(2)/25)*Calculateur!DB53*Calculateur!DD53*VLOOKUP('Données projet'!$B$13,Paramètres!$A$1:$I$89,3,0)*0.475*44/12</f>
        <v>0</v>
      </c>
      <c r="DH53" s="23">
        <f>EXP(-LN(2)/2)*DH52+(1-EXP(-LN(2)/2))/(LN(2)/2)*DB53*DE53*VLOOKUP('Données projet'!$B$13,Paramètres!$A$1:$I$89,3,0)*0.475*44/12</f>
        <v>0</v>
      </c>
      <c r="DI53" s="24">
        <f t="shared" si="15"/>
        <v>0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5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2">
        <f t="shared" si="32"/>
        <v>0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18.333333333333332</v>
      </c>
      <c r="H54" s="70">
        <f t="shared" si="1"/>
        <v>183.33333333333334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8</v>
      </c>
      <c r="N54" s="14">
        <f>IF('Données projet'!$A$36&gt;35,N53+M54-V53,IF(A54&lt;'Données projet'!$A$36,$K$205^A54,IF(A54='Données projet'!$A$36,'Données projet'!$B$36,N53+M54-V53)))</f>
        <v>165</v>
      </c>
      <c r="O54" s="14">
        <f>N54*VLOOKUP('Données projet'!$B$9,Paramètres!$A$1:$I$89,3,0)*VLOOKUP('Données projet'!$B$9,Paramètres!$A$1:$I$89,5,0)</f>
        <v>149.29199999999997</v>
      </c>
      <c r="P54" s="14">
        <f t="shared" si="33"/>
        <v>38.417645803815411</v>
      </c>
      <c r="Q54" s="22">
        <f t="shared" si="53"/>
        <v>326.9276331083118</v>
      </c>
      <c r="R54" s="62">
        <f t="shared" si="0"/>
        <v>582.71151351155868</v>
      </c>
      <c r="S54" s="62">
        <f ca="1">AVERAGE(OFFSET($R$3,0,0,'Données projet'!$E$9+1,1))-AVERAGE(OFFSET($H$3,0,0,'Données projet'!$E$9+1,1))</f>
        <v>469.67944008675863</v>
      </c>
      <c r="T54" s="62">
        <f t="shared" si="34"/>
        <v>266.11908070867173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0</v>
      </c>
      <c r="AA54" s="23">
        <f>EXP(-LN(2)/25)*AA53+(1-EXP(-LN(2)/25))/(LN(2)/25)*Calculateur!V54*Calculateur!X54*VLOOKUP('Données projet'!$B$9,Paramètres!$A$1:$I$89,3,0)*0.475*44/12</f>
        <v>0</v>
      </c>
      <c r="AB54" s="23">
        <f>EXP(-LN(2)/2)*AB53+(1-EXP(-LN(2)/2))/(LN(2)/2)*V54*Y54*VLOOKUP('Données projet'!$B$9,Paramètres!$A$1:$I$89,3,0)*0.475*44/12</f>
        <v>0</v>
      </c>
      <c r="AC54" s="24">
        <f t="shared" si="3"/>
        <v>0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5.2564102564102537</v>
      </c>
      <c r="AI54" s="14">
        <f>IF('Données projet'!$A$62&gt;35,AI53+AH54-AQ53,IF(A54&lt;'Données projet'!$A$62,$AF$205^A54,IF(A54='Données projet'!$A$62,'Données projet'!$B$62,AI53+AH54-AQ53)))</f>
        <v>169.99999999999994</v>
      </c>
      <c r="AJ54" s="14">
        <f>AI54*VLOOKUP('Données projet'!$B$10,Paramètres!$A$1:$I$89,3,0)*VLOOKUP('Données projet'!$B$10,Paramètres!$A$1:$I$89,5,0)</f>
        <v>161.77199999999993</v>
      </c>
      <c r="AK54" s="14">
        <f t="shared" si="35"/>
        <v>41.241938389059818</v>
      </c>
      <c r="AL54" s="22">
        <f t="shared" si="4"/>
        <v>353.5826093609457</v>
      </c>
      <c r="AM54" s="62">
        <f t="shared" si="5"/>
        <v>609.36648976419247</v>
      </c>
      <c r="AN54" s="62">
        <f ca="1">AVERAGE(OFFSET($AM$3,0,0,'Données projet'!$E$10+1,1))-AVERAGE(OFFSET($H$3,0,0,'Données projet'!$E$10+1,1))</f>
        <v>400.48230125343474</v>
      </c>
      <c r="AO54" s="62">
        <f t="shared" si="36"/>
        <v>275.67023303885048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0</v>
      </c>
      <c r="AV54" s="23">
        <f>EXP(-LN(2)/25)*AV53+(1-EXP(-LN(2)/25))/(LN(2)/25)*Calculateur!AQ54*Calculateur!AS54*VLOOKUP('Données projet'!$B$10,Paramètres!$A$1:$I$89,3,0)*0.475*44/12</f>
        <v>0</v>
      </c>
      <c r="AW54" s="23">
        <f>EXP(-LN(2)/2)*AW53+(1-EXP(-LN(2)/2))/(LN(2)/2)*AQ54*AT54*VLOOKUP('Données projet'!$B$10,Paramètres!$A$1:$I$89,3,0)*0.475*44/12</f>
        <v>0</v>
      </c>
      <c r="AX54" s="23">
        <f t="shared" si="6"/>
        <v>0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8</v>
      </c>
      <c r="BD54" s="13">
        <f>IF('Données projet'!$A$88&gt;35,BD53+BC54-BL53,IF(A54&lt;'Données projet'!$A$88,$BA$205^A54,IF(A54='Données projet'!$A$88,'Données projet'!$B$88,BD53+BC54-BL53)))</f>
        <v>165</v>
      </c>
      <c r="BE54" s="14">
        <f>BD54*VLOOKUP('Données projet'!$B$11,Paramètres!$A$1:$I$89,3,0)*VLOOKUP('Données projet'!$B$11,Paramètres!$A$1:$I$89,5,0)</f>
        <v>159.58799999999999</v>
      </c>
      <c r="BF54" s="14">
        <f t="shared" si="37"/>
        <v>40.74957371668588</v>
      </c>
      <c r="BG54" s="22">
        <f t="shared" si="7"/>
        <v>348.92127422322784</v>
      </c>
      <c r="BH54" s="62">
        <f t="shared" si="8"/>
        <v>604.70515462647472</v>
      </c>
      <c r="BI54" s="62">
        <f ca="1">AVERAGE(OFFSET($BH$3,0,0,'Données projet'!$E$11+1,1))-AVERAGE(OFFSET($H$3,0,0,'Données projet'!$E$11+1,1))</f>
        <v>496.33873798282525</v>
      </c>
      <c r="BJ54" s="62">
        <f t="shared" si="38"/>
        <v>280.25465074992246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>
        <f>EXP(-LN(2)/35)*BP53+(1-EXP(-LN(2)/35))/(LN(2)/35)*BL54*BM54*VLOOKUP('Données projet'!$B$11,Paramètres!$A$1:$I$89,3,0)*0.475*44/12</f>
        <v>0</v>
      </c>
      <c r="BQ54" s="23">
        <f>EXP(-LN(2)/25)*BQ53+(1-EXP(-LN(2)/25))/(LN(2)/25)*Calculateur!BL54*Calculateur!BN54*VLOOKUP('Données projet'!$B$11,Paramètres!$A$1:$I$89,3,0)*0.475*44/12</f>
        <v>0</v>
      </c>
      <c r="BR54" s="23">
        <f>EXP(-LN(2)/2)*BR53+(1-EXP(-LN(2)/2))/(LN(2)/2)*BL54*BO54*VLOOKUP('Données projet'!$B$11,Paramètres!$A$1:$I$89,3,0)*0.475*44/12</f>
        <v>0</v>
      </c>
      <c r="BS54" s="24">
        <f t="shared" si="9"/>
        <v>0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4.8</v>
      </c>
      <c r="BY54" s="13">
        <f>IF('Données projet'!$A$114&gt;35,BY53+BX54-CG53,IF(A54&lt;'Données projet'!$A$114,$BV$205^A54,IF(A54='Données projet'!$A$114,'Données projet'!$B$114,BY53+BX54-CG53)))</f>
        <v>178.79999999999995</v>
      </c>
      <c r="BZ54" s="14">
        <f>BY54*VLOOKUP('Données projet'!$B$12,Paramètres!$A$1:$I$89,3,0)*VLOOKUP('Données projet'!$B$12,Paramètres!$A$1:$I$89,5,0)</f>
        <v>156.19967999999997</v>
      </c>
      <c r="CA54" s="14">
        <f t="shared" si="39"/>
        <v>39.984147088814133</v>
      </c>
      <c r="CB54" s="22">
        <f t="shared" si="10"/>
        <v>341.68683217968459</v>
      </c>
      <c r="CC54" s="62">
        <f t="shared" si="11"/>
        <v>597.47071258293136</v>
      </c>
      <c r="CD54" s="62">
        <f ca="1">AVERAGE(OFFSET($CC$3,0,0,'Données projet'!$E$12+1,1))-AVERAGE(OFFSET($H$3,0,0,'Données projet'!$E$12+1,1))</f>
        <v>298.56812743477741</v>
      </c>
      <c r="CE54" s="62">
        <f t="shared" si="40"/>
        <v>276.01618888357268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>
        <f>EXP(-LN(2)/35)*CK53+(1-EXP(-LN(2)/35))/(LN(2)/35)*CG54*CH54*VLOOKUP('Données projet'!$B$12,Paramètres!$A$1:$I$89,3,0)*0.475*44/12</f>
        <v>0</v>
      </c>
      <c r="CL54" s="23">
        <f>EXP(-LN(2)/25)*CL53+(1-EXP(-LN(2)/25))/(LN(2)/25)*Calculateur!CG54*Calculateur!CI54*VLOOKUP('Données projet'!$B$12,Paramètres!$A$1:$I$89,3,0)*0.475*44/12</f>
        <v>0</v>
      </c>
      <c r="CM54" s="23">
        <f>EXP(-LN(2)/2)*CM53+(1-EXP(-LN(2)/2))/(LN(2)/2)*CG54*CJ54*VLOOKUP('Données projet'!$B$12,Paramètres!$A$1:$I$89,3,0)*0.475*44/12</f>
        <v>0</v>
      </c>
      <c r="CN54" s="24">
        <f t="shared" si="12"/>
        <v>0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5.7692307692307736</v>
      </c>
      <c r="CT54" s="13">
        <f>IF('Données projet'!$A$140&gt;35,CT53+CS54-DB53,IF(A54&lt;'Données projet'!$A$140,$CQ$205^A54,IF(A54='Données projet'!$A$140,'Données projet'!$B$140,CT53+CS54-DB53)))</f>
        <v>210.8974358974358</v>
      </c>
      <c r="CU54" s="18">
        <f>CT54*VLOOKUP('Données projet'!$B$13,Paramètres!$A$1:$I$89,3,0)*VLOOKUP('Données projet'!$B$13,Paramètres!$A$1:$I$89,5,0)</f>
        <v>141.46999999999994</v>
      </c>
      <c r="CV54" s="14">
        <f t="shared" si="41"/>
        <v>36.633556860452131</v>
      </c>
      <c r="CW54" s="22">
        <f t="shared" si="13"/>
        <v>310.19702819862067</v>
      </c>
      <c r="CX54" s="62">
        <f t="shared" si="14"/>
        <v>565.98090860186744</v>
      </c>
      <c r="CY54" s="62">
        <f ca="1">AVERAGE(OFFSET($CX$3,0,0,'Données projet'!$E$13+1,1))-AVERAGE(OFFSET($H$3,0,0,'Données projet'!$E$13+1,1))</f>
        <v>346.82725381974132</v>
      </c>
      <c r="CZ54" s="62">
        <f t="shared" si="42"/>
        <v>254.09787950201044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>
        <f>EXP(-LN(2)/35)*DF53+(1-EXP(-LN(2)/35))/(LN(2)/35)*DB54*DC54*VLOOKUP('Données projet'!$B$13,Paramètres!$A$1:$I$89,3,0)*0.475*44/12</f>
        <v>0</v>
      </c>
      <c r="DG54" s="23">
        <f>EXP(-LN(2)/25)*DG53+(1-EXP(-LN(2)/25))/(LN(2)/25)*Calculateur!DB54*Calculateur!DD54*VLOOKUP('Données projet'!$B$13,Paramètres!$A$1:$I$89,3,0)*0.475*44/12</f>
        <v>0</v>
      </c>
      <c r="DH54" s="23">
        <f>EXP(-LN(2)/2)*DH53+(1-EXP(-LN(2)/2))/(LN(2)/2)*DB54*DE54*VLOOKUP('Données projet'!$B$13,Paramètres!$A$1:$I$89,3,0)*0.475*44/12</f>
        <v>0</v>
      </c>
      <c r="DI54" s="24">
        <f t="shared" si="15"/>
        <v>0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5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2">
        <f t="shared" si="32"/>
        <v>0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18.333333333333332</v>
      </c>
      <c r="H55" s="70">
        <f t="shared" si="1"/>
        <v>183.33333333333334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8</v>
      </c>
      <c r="N55" s="14">
        <f>IF('Données projet'!$A$36&gt;35,N54+M55-V54,IF(A55&lt;'Données projet'!$A$36,$K$205^A55,IF(A55='Données projet'!$A$36,'Données projet'!$B$36,N54+M55-V54)))</f>
        <v>173</v>
      </c>
      <c r="O55" s="14">
        <f>N55*VLOOKUP('Données projet'!$B$9,Paramètres!$A$1:$I$89,3,0)*VLOOKUP('Données projet'!$B$9,Paramètres!$A$1:$I$89,5,0)</f>
        <v>156.53039999999999</v>
      </c>
      <c r="P55" s="14">
        <f t="shared" si="33"/>
        <v>40.058941713182037</v>
      </c>
      <c r="Q55" s="22">
        <f t="shared" si="53"/>
        <v>342.393103483792</v>
      </c>
      <c r="R55" s="62">
        <f t="shared" si="0"/>
        <v>598.8283829473753</v>
      </c>
      <c r="S55" s="62">
        <f ca="1">AVERAGE(OFFSET($R$3,0,0,'Données projet'!$E$9+1,1))-AVERAGE(OFFSET($H$3,0,0,'Données projet'!$E$9+1,1))</f>
        <v>469.67944008675863</v>
      </c>
      <c r="T55" s="62">
        <f t="shared" si="34"/>
        <v>266.11908070867173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0</v>
      </c>
      <c r="AA55" s="23">
        <f>EXP(-LN(2)/25)*AA54+(1-EXP(-LN(2)/25))/(LN(2)/25)*Calculateur!V55*Calculateur!X55*VLOOKUP('Données projet'!$B$9,Paramètres!$A$1:$I$89,3,0)*0.475*44/12</f>
        <v>0</v>
      </c>
      <c r="AB55" s="23">
        <f>EXP(-LN(2)/2)*AB54+(1-EXP(-LN(2)/2))/(LN(2)/2)*V55*Y55*VLOOKUP('Données projet'!$B$9,Paramètres!$A$1:$I$89,3,0)*0.475*44/12</f>
        <v>0</v>
      </c>
      <c r="AC55" s="24">
        <f t="shared" si="3"/>
        <v>0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5.2564102564102537</v>
      </c>
      <c r="AI55" s="14">
        <f>IF('Données projet'!$A$62&gt;35,AI54+AH55-AQ54,IF(A55&lt;'Données projet'!$A$62,$AF$205^A55,IF(A55='Données projet'!$A$62,'Données projet'!$B$62,AI54+AH55-AQ54)))</f>
        <v>175.25641025641019</v>
      </c>
      <c r="AJ55" s="14">
        <f>AI55*VLOOKUP('Données projet'!$B$10,Paramètres!$A$1:$I$89,3,0)*VLOOKUP('Données projet'!$B$10,Paramètres!$A$1:$I$89,5,0)</f>
        <v>166.77399999999994</v>
      </c>
      <c r="AK55" s="14">
        <f t="shared" si="35"/>
        <v>42.366703238422566</v>
      </c>
      <c r="AL55" s="22">
        <f t="shared" si="4"/>
        <v>364.25339147358585</v>
      </c>
      <c r="AM55" s="62">
        <f t="shared" si="5"/>
        <v>620.68867093716926</v>
      </c>
      <c r="AN55" s="62">
        <f ca="1">AVERAGE(OFFSET($AM$3,0,0,'Données projet'!$E$10+1,1))-AVERAGE(OFFSET($H$3,0,0,'Données projet'!$E$10+1,1))</f>
        <v>400.48230125343474</v>
      </c>
      <c r="AO55" s="62">
        <f t="shared" si="36"/>
        <v>275.67023303885048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0</v>
      </c>
      <c r="AV55" s="23">
        <f>EXP(-LN(2)/25)*AV54+(1-EXP(-LN(2)/25))/(LN(2)/25)*Calculateur!AQ55*Calculateur!AS55*VLOOKUP('Données projet'!$B$10,Paramètres!$A$1:$I$89,3,0)*0.475*44/12</f>
        <v>0</v>
      </c>
      <c r="AW55" s="23">
        <f>EXP(-LN(2)/2)*AW54+(1-EXP(-LN(2)/2))/(LN(2)/2)*AQ55*AT55*VLOOKUP('Données projet'!$B$10,Paramètres!$A$1:$I$89,3,0)*0.475*44/12</f>
        <v>0</v>
      </c>
      <c r="AX55" s="23">
        <f t="shared" si="6"/>
        <v>0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8</v>
      </c>
      <c r="BD55" s="13">
        <f>IF('Données projet'!$A$88&gt;35,BD54+BC55-BL54,IF(A55&lt;'Données projet'!$A$88,$BA$205^A55,IF(A55='Données projet'!$A$88,'Données projet'!$B$88,BD54+BC55-BL54)))</f>
        <v>173</v>
      </c>
      <c r="BE55" s="14">
        <f>BD55*VLOOKUP('Données projet'!$B$11,Paramètres!$A$1:$I$89,3,0)*VLOOKUP('Données projet'!$B$11,Paramètres!$A$1:$I$89,5,0)</f>
        <v>167.32560000000001</v>
      </c>
      <c r="BF55" s="14">
        <f t="shared" si="37"/>
        <v>42.490495297127609</v>
      </c>
      <c r="BG55" s="22">
        <f t="shared" si="7"/>
        <v>365.42969930916388</v>
      </c>
      <c r="BH55" s="62">
        <f t="shared" si="8"/>
        <v>621.86497877274724</v>
      </c>
      <c r="BI55" s="62">
        <f ca="1">AVERAGE(OFFSET($BH$3,0,0,'Données projet'!$E$11+1,1))-AVERAGE(OFFSET($H$3,0,0,'Données projet'!$E$11+1,1))</f>
        <v>496.33873798282525</v>
      </c>
      <c r="BJ55" s="62">
        <f t="shared" si="38"/>
        <v>280.25465074992246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>
        <f>EXP(-LN(2)/35)*BP54+(1-EXP(-LN(2)/35))/(LN(2)/35)*BL55*BM55*VLOOKUP('Données projet'!$B$11,Paramètres!$A$1:$I$89,3,0)*0.475*44/12</f>
        <v>0</v>
      </c>
      <c r="BQ55" s="23">
        <f>EXP(-LN(2)/25)*BQ54+(1-EXP(-LN(2)/25))/(LN(2)/25)*Calculateur!BL55*Calculateur!BN55*VLOOKUP('Données projet'!$B$11,Paramètres!$A$1:$I$89,3,0)*0.475*44/12</f>
        <v>0</v>
      </c>
      <c r="BR55" s="23">
        <f>EXP(-LN(2)/2)*BR54+(1-EXP(-LN(2)/2))/(LN(2)/2)*BL55*BO55*VLOOKUP('Données projet'!$B$11,Paramètres!$A$1:$I$89,3,0)*0.475*44/12</f>
        <v>0</v>
      </c>
      <c r="BS55" s="24">
        <f t="shared" si="9"/>
        <v>0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4.8</v>
      </c>
      <c r="BY55" s="13">
        <f>IF('Données projet'!$A$114&gt;35,BY54+BX55-CG54,IF(A55&lt;'Données projet'!$A$114,$BV$205^A55,IF(A55='Données projet'!$A$114,'Données projet'!$B$114,BY54+BX55-CG54)))</f>
        <v>183.59999999999997</v>
      </c>
      <c r="BZ55" s="14">
        <f>BY55*VLOOKUP('Données projet'!$B$12,Paramètres!$A$1:$I$89,3,0)*VLOOKUP('Données projet'!$B$12,Paramètres!$A$1:$I$89,5,0)</f>
        <v>160.39295999999999</v>
      </c>
      <c r="CA55" s="14">
        <f t="shared" si="39"/>
        <v>40.931135973980041</v>
      </c>
      <c r="CB55" s="22">
        <f t="shared" si="10"/>
        <v>350.63946715468188</v>
      </c>
      <c r="CC55" s="62">
        <f t="shared" si="11"/>
        <v>607.07474661826518</v>
      </c>
      <c r="CD55" s="62">
        <f ca="1">AVERAGE(OFFSET($CC$3,0,0,'Données projet'!$E$12+1,1))-AVERAGE(OFFSET($H$3,0,0,'Données projet'!$E$12+1,1))</f>
        <v>298.56812743477741</v>
      </c>
      <c r="CE55" s="62">
        <f t="shared" si="40"/>
        <v>276.01618888357268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>
        <f>EXP(-LN(2)/35)*CK54+(1-EXP(-LN(2)/35))/(LN(2)/35)*CG55*CH55*VLOOKUP('Données projet'!$B$12,Paramètres!$A$1:$I$89,3,0)*0.475*44/12</f>
        <v>0</v>
      </c>
      <c r="CL55" s="23">
        <f>EXP(-LN(2)/25)*CL54+(1-EXP(-LN(2)/25))/(LN(2)/25)*Calculateur!CG55*Calculateur!CI55*VLOOKUP('Données projet'!$B$12,Paramètres!$A$1:$I$89,3,0)*0.475*44/12</f>
        <v>0</v>
      </c>
      <c r="CM55" s="23">
        <f>EXP(-LN(2)/2)*CM54+(1-EXP(-LN(2)/2))/(LN(2)/2)*CG55*CJ55*VLOOKUP('Données projet'!$B$12,Paramètres!$A$1:$I$89,3,0)*0.475*44/12</f>
        <v>0</v>
      </c>
      <c r="CN55" s="24">
        <f t="shared" si="12"/>
        <v>0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5.7692307692307736</v>
      </c>
      <c r="CT55" s="13">
        <f>IF('Données projet'!$A$140&gt;35,CT54+CS55-DB54,IF(A55&lt;'Données projet'!$A$140,$CQ$205^A55,IF(A55='Données projet'!$A$140,'Données projet'!$B$140,CT54+CS55-DB54)))</f>
        <v>216.66666666666657</v>
      </c>
      <c r="CU55" s="18">
        <f>CT55*VLOOKUP('Données projet'!$B$13,Paramètres!$A$1:$I$89,3,0)*VLOOKUP('Données projet'!$B$13,Paramètres!$A$1:$I$89,5,0)</f>
        <v>145.33999999999995</v>
      </c>
      <c r="CV55" s="14">
        <f t="shared" si="41"/>
        <v>37.517646631752974</v>
      </c>
      <c r="CW55" s="22">
        <f t="shared" si="13"/>
        <v>318.47706788363627</v>
      </c>
      <c r="CX55" s="62">
        <f t="shared" si="14"/>
        <v>574.91234734721957</v>
      </c>
      <c r="CY55" s="62">
        <f ca="1">AVERAGE(OFFSET($CX$3,0,0,'Données projet'!$E$13+1,1))-AVERAGE(OFFSET($H$3,0,0,'Données projet'!$E$13+1,1))</f>
        <v>346.82725381974132</v>
      </c>
      <c r="CZ55" s="62">
        <f t="shared" si="42"/>
        <v>254.09787950201044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>
        <f>EXP(-LN(2)/35)*DF54+(1-EXP(-LN(2)/35))/(LN(2)/35)*DB55*DC55*VLOOKUP('Données projet'!$B$13,Paramètres!$A$1:$I$89,3,0)*0.475*44/12</f>
        <v>0</v>
      </c>
      <c r="DG55" s="23">
        <f>EXP(-LN(2)/25)*DG54+(1-EXP(-LN(2)/25))/(LN(2)/25)*Calculateur!DB55*Calculateur!DD55*VLOOKUP('Données projet'!$B$13,Paramètres!$A$1:$I$89,3,0)*0.475*44/12</f>
        <v>0</v>
      </c>
      <c r="DH55" s="23">
        <f>EXP(-LN(2)/2)*DH54+(1-EXP(-LN(2)/2))/(LN(2)/2)*DB55*DE55*VLOOKUP('Données projet'!$B$13,Paramètres!$A$1:$I$89,3,0)*0.475*44/12</f>
        <v>0</v>
      </c>
      <c r="DI55" s="24">
        <f t="shared" si="15"/>
        <v>0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5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2">
        <f t="shared" si="32"/>
        <v>0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18.333333333333332</v>
      </c>
      <c r="H56" s="70">
        <f t="shared" si="1"/>
        <v>183.33333333333334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8</v>
      </c>
      <c r="N56" s="14">
        <f>IF('Données projet'!$A$36&gt;35,N55+M56-V55,IF(A56&lt;'Données projet'!$A$36,$K$205^A56,IF(A56='Données projet'!$A$36,'Données projet'!$B$36,N55+M56-V55)))</f>
        <v>181</v>
      </c>
      <c r="O56" s="14">
        <f>N56*VLOOKUP('Données projet'!$B$9,Paramètres!$A$1:$I$89,3,0)*VLOOKUP('Données projet'!$B$9,Paramètres!$A$1:$I$89,5,0)</f>
        <v>163.7688</v>
      </c>
      <c r="P56" s="14">
        <f t="shared" si="33"/>
        <v>41.691423503509803</v>
      </c>
      <c r="Q56" s="22">
        <f t="shared" si="53"/>
        <v>357.84322260194625</v>
      </c>
      <c r="R56" s="62">
        <f t="shared" si="0"/>
        <v>614.91860080847948</v>
      </c>
      <c r="S56" s="62">
        <f ca="1">AVERAGE(OFFSET($R$3,0,0,'Données projet'!$E$9+1,1))-AVERAGE(OFFSET($H$3,0,0,'Données projet'!$E$9+1,1))</f>
        <v>469.67944008675863</v>
      </c>
      <c r="T56" s="62">
        <f t="shared" si="34"/>
        <v>266.11908070867173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0</v>
      </c>
      <c r="AA56" s="23">
        <f>EXP(-LN(2)/25)*AA55+(1-EXP(-LN(2)/25))/(LN(2)/25)*Calculateur!V56*Calculateur!X56*VLOOKUP('Données projet'!$B$9,Paramètres!$A$1:$I$89,3,0)*0.475*44/12</f>
        <v>0</v>
      </c>
      <c r="AB56" s="23">
        <f>EXP(-LN(2)/2)*AB55+(1-EXP(-LN(2)/2))/(LN(2)/2)*V56*Y56*VLOOKUP('Données projet'!$B$9,Paramètres!$A$1:$I$89,3,0)*0.475*44/12</f>
        <v>0</v>
      </c>
      <c r="AC56" s="24">
        <f t="shared" si="3"/>
        <v>0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5.2564102564102537</v>
      </c>
      <c r="AI56" s="14">
        <f>IF('Données projet'!$A$62&gt;35,AI55+AH56-AQ55,IF(A56&lt;'Données projet'!$A$62,$AF$205^A56,IF(A56='Données projet'!$A$62,'Données projet'!$B$62,AI55+AH56-AQ55)))</f>
        <v>180.51282051282044</v>
      </c>
      <c r="AJ56" s="14">
        <f>AI56*VLOOKUP('Données projet'!$B$10,Paramètres!$A$1:$I$89,3,0)*VLOOKUP('Données projet'!$B$10,Paramètres!$A$1:$I$89,5,0)</f>
        <v>171.77599999999993</v>
      </c>
      <c r="AK56" s="14">
        <f t="shared" si="35"/>
        <v>43.48754759203468</v>
      </c>
      <c r="AL56" s="22">
        <f t="shared" si="4"/>
        <v>374.91734538946025</v>
      </c>
      <c r="AM56" s="62">
        <f t="shared" si="5"/>
        <v>631.99272359599354</v>
      </c>
      <c r="AN56" s="62">
        <f ca="1">AVERAGE(OFFSET($AM$3,0,0,'Données projet'!$E$10+1,1))-AVERAGE(OFFSET($H$3,0,0,'Données projet'!$E$10+1,1))</f>
        <v>400.48230125343474</v>
      </c>
      <c r="AO56" s="62">
        <f t="shared" si="36"/>
        <v>275.67023303885048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0</v>
      </c>
      <c r="AV56" s="23">
        <f>EXP(-LN(2)/25)*AV55+(1-EXP(-LN(2)/25))/(LN(2)/25)*Calculateur!AQ56*Calculateur!AS56*VLOOKUP('Données projet'!$B$10,Paramètres!$A$1:$I$89,3,0)*0.475*44/12</f>
        <v>0</v>
      </c>
      <c r="AW56" s="23">
        <f>EXP(-LN(2)/2)*AW55+(1-EXP(-LN(2)/2))/(LN(2)/2)*AQ56*AT56*VLOOKUP('Données projet'!$B$10,Paramètres!$A$1:$I$89,3,0)*0.475*44/12</f>
        <v>0</v>
      </c>
      <c r="AX56" s="23">
        <f t="shared" si="6"/>
        <v>0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8</v>
      </c>
      <c r="BD56" s="13">
        <f>IF('Données projet'!$A$88&gt;35,BD55+BC56-BL55,IF(A56&lt;'Données projet'!$A$88,$BA$205^A56,IF(A56='Données projet'!$A$88,'Données projet'!$B$88,BD55+BC56-BL55)))</f>
        <v>181</v>
      </c>
      <c r="BE56" s="14">
        <f>BD56*VLOOKUP('Données projet'!$B$11,Paramètres!$A$1:$I$89,3,0)*VLOOKUP('Données projet'!$B$11,Paramètres!$A$1:$I$89,5,0)</f>
        <v>175.06319999999999</v>
      </c>
      <c r="BF56" s="14">
        <f t="shared" si="37"/>
        <v>44.22206774682472</v>
      </c>
      <c r="BG56" s="22">
        <f t="shared" si="7"/>
        <v>381.9218413257197</v>
      </c>
      <c r="BH56" s="62">
        <f t="shared" si="8"/>
        <v>638.99721953225298</v>
      </c>
      <c r="BI56" s="62">
        <f ca="1">AVERAGE(OFFSET($BH$3,0,0,'Données projet'!$E$11+1,1))-AVERAGE(OFFSET($H$3,0,0,'Données projet'!$E$11+1,1))</f>
        <v>496.33873798282525</v>
      </c>
      <c r="BJ56" s="62">
        <f t="shared" si="38"/>
        <v>280.25465074992246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>
        <f>EXP(-LN(2)/35)*BP55+(1-EXP(-LN(2)/35))/(LN(2)/35)*BL56*BM56*VLOOKUP('Données projet'!$B$11,Paramètres!$A$1:$I$89,3,0)*0.475*44/12</f>
        <v>0</v>
      </c>
      <c r="BQ56" s="23">
        <f>EXP(-LN(2)/25)*BQ55+(1-EXP(-LN(2)/25))/(LN(2)/25)*Calculateur!BL56*Calculateur!BN56*VLOOKUP('Données projet'!$B$11,Paramètres!$A$1:$I$89,3,0)*0.475*44/12</f>
        <v>0</v>
      </c>
      <c r="BR56" s="23">
        <f>EXP(-LN(2)/2)*BR55+(1-EXP(-LN(2)/2))/(LN(2)/2)*BL56*BO56*VLOOKUP('Données projet'!$B$11,Paramètres!$A$1:$I$89,3,0)*0.475*44/12</f>
        <v>0</v>
      </c>
      <c r="BS56" s="24">
        <f t="shared" si="9"/>
        <v>0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4.8</v>
      </c>
      <c r="BY56" s="13">
        <f>IF('Données projet'!$A$114&gt;35,BY55+BX56-CG55,IF(A56&lt;'Données projet'!$A$114,$BV$205^A56,IF(A56='Données projet'!$A$114,'Données projet'!$B$114,BY55+BX56-CG55)))</f>
        <v>188.39999999999998</v>
      </c>
      <c r="BZ56" s="14">
        <f>BY56*VLOOKUP('Données projet'!$B$12,Paramètres!$A$1:$I$89,3,0)*VLOOKUP('Données projet'!$B$12,Paramètres!$A$1:$I$89,5,0)</f>
        <v>164.58624</v>
      </c>
      <c r="CA56" s="14">
        <f t="shared" si="39"/>
        <v>41.875247075991886</v>
      </c>
      <c r="CB56" s="22">
        <f t="shared" si="10"/>
        <v>359.58708999068585</v>
      </c>
      <c r="CC56" s="62">
        <f t="shared" si="11"/>
        <v>616.66246819721914</v>
      </c>
      <c r="CD56" s="62">
        <f ca="1">AVERAGE(OFFSET($CC$3,0,0,'Données projet'!$E$12+1,1))-AVERAGE(OFFSET($H$3,0,0,'Données projet'!$E$12+1,1))</f>
        <v>298.56812743477741</v>
      </c>
      <c r="CE56" s="62">
        <f t="shared" si="40"/>
        <v>276.01618888357268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>
        <f>EXP(-LN(2)/35)*CK55+(1-EXP(-LN(2)/35))/(LN(2)/35)*CG56*CH56*VLOOKUP('Données projet'!$B$12,Paramètres!$A$1:$I$89,3,0)*0.475*44/12</f>
        <v>0</v>
      </c>
      <c r="CL56" s="23">
        <f>EXP(-LN(2)/25)*CL55+(1-EXP(-LN(2)/25))/(LN(2)/25)*Calculateur!CG56*Calculateur!CI56*VLOOKUP('Données projet'!$B$12,Paramètres!$A$1:$I$89,3,0)*0.475*44/12</f>
        <v>0</v>
      </c>
      <c r="CM56" s="23">
        <f>EXP(-LN(2)/2)*CM55+(1-EXP(-LN(2)/2))/(LN(2)/2)*CG56*CJ56*VLOOKUP('Données projet'!$B$12,Paramètres!$A$1:$I$89,3,0)*0.475*44/12</f>
        <v>0</v>
      </c>
      <c r="CN56" s="24">
        <f t="shared" si="12"/>
        <v>0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5.7692307692307736</v>
      </c>
      <c r="CT56" s="13">
        <f>IF('Données projet'!$A$140&gt;35,CT55+CS56-DB55,IF(A56&lt;'Données projet'!$A$140,$CQ$205^A56,IF(A56='Données projet'!$A$140,'Données projet'!$B$140,CT55+CS56-DB55)))</f>
        <v>222.43589743589735</v>
      </c>
      <c r="CU56" s="18">
        <f>CT56*VLOOKUP('Données projet'!$B$13,Paramètres!$A$1:$I$89,3,0)*VLOOKUP('Données projet'!$B$13,Paramètres!$A$1:$I$89,5,0)</f>
        <v>149.20999999999995</v>
      </c>
      <c r="CV56" s="14">
        <f t="shared" si="41"/>
        <v>38.399000148253727</v>
      </c>
      <c r="CW56" s="22">
        <f t="shared" si="13"/>
        <v>326.75234192487511</v>
      </c>
      <c r="CX56" s="62">
        <f t="shared" si="14"/>
        <v>583.82772013140834</v>
      </c>
      <c r="CY56" s="62">
        <f ca="1">AVERAGE(OFFSET($CX$3,0,0,'Données projet'!$E$13+1,1))-AVERAGE(OFFSET($H$3,0,0,'Données projet'!$E$13+1,1))</f>
        <v>346.82725381974132</v>
      </c>
      <c r="CZ56" s="62">
        <f t="shared" si="42"/>
        <v>254.09787950201044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>
        <f>EXP(-LN(2)/35)*DF55+(1-EXP(-LN(2)/35))/(LN(2)/35)*DB56*DC56*VLOOKUP('Données projet'!$B$13,Paramètres!$A$1:$I$89,3,0)*0.475*44/12</f>
        <v>0</v>
      </c>
      <c r="DG56" s="23">
        <f>EXP(-LN(2)/25)*DG55+(1-EXP(-LN(2)/25))/(LN(2)/25)*Calculateur!DB56*Calculateur!DD56*VLOOKUP('Données projet'!$B$13,Paramètres!$A$1:$I$89,3,0)*0.475*44/12</f>
        <v>0</v>
      </c>
      <c r="DH56" s="23">
        <f>EXP(-LN(2)/2)*DH55+(1-EXP(-LN(2)/2))/(LN(2)/2)*DB56*DE56*VLOOKUP('Données projet'!$B$13,Paramètres!$A$1:$I$89,3,0)*0.475*44/12</f>
        <v>0</v>
      </c>
      <c r="DI56" s="24">
        <f t="shared" si="15"/>
        <v>0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5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2">
        <f t="shared" si="32"/>
        <v>0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18.333333333333332</v>
      </c>
      <c r="H57" s="70">
        <f t="shared" si="1"/>
        <v>183.33333333333334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8</v>
      </c>
      <c r="N57" s="14">
        <f>IF('Données projet'!$A$36&gt;35,N56+M57-V56,IF(A57&lt;'Données projet'!$A$36,$K$205^A57,IF(A57='Données projet'!$A$36,'Données projet'!$B$36,N56+M57-V56)))</f>
        <v>189</v>
      </c>
      <c r="O57" s="14">
        <f>N57*VLOOKUP('Données projet'!$B$9,Paramètres!$A$1:$I$89,3,0)*VLOOKUP('Données projet'!$B$9,Paramètres!$A$1:$I$89,5,0)</f>
        <v>171.00719999999998</v>
      </c>
      <c r="P57" s="14">
        <f t="shared" si="33"/>
        <v>43.315525267338089</v>
      </c>
      <c r="Q57" s="22">
        <f t="shared" si="53"/>
        <v>373.27874650728046</v>
      </c>
      <c r="R57" s="62">
        <f t="shared" si="0"/>
        <v>630.98311917461979</v>
      </c>
      <c r="S57" s="62">
        <f ca="1">AVERAGE(OFFSET($R$3,0,0,'Données projet'!$E$9+1,1))-AVERAGE(OFFSET($H$3,0,0,'Données projet'!$E$9+1,1))</f>
        <v>469.67944008675863</v>
      </c>
      <c r="T57" s="62">
        <f t="shared" si="34"/>
        <v>266.11908070867173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0</v>
      </c>
      <c r="AA57" s="23">
        <f>EXP(-LN(2)/25)*AA56+(1-EXP(-LN(2)/25))/(LN(2)/25)*Calculateur!V57*Calculateur!X57*VLOOKUP('Données projet'!$B$9,Paramètres!$A$1:$I$89,3,0)*0.475*44/12</f>
        <v>0</v>
      </c>
      <c r="AB57" s="23">
        <f>EXP(-LN(2)/2)*AB56+(1-EXP(-LN(2)/2))/(LN(2)/2)*V57*Y57*VLOOKUP('Données projet'!$B$9,Paramètres!$A$1:$I$89,3,0)*0.475*44/12</f>
        <v>0</v>
      </c>
      <c r="AC57" s="24">
        <f t="shared" si="3"/>
        <v>0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5.2564102564102537</v>
      </c>
      <c r="AI57" s="14">
        <f>IF('Données projet'!$A$62&gt;35,AI56+AH57-AQ56,IF(A57&lt;'Données projet'!$A$62,$AF$205^A57,IF(A57='Données projet'!$A$62,'Données projet'!$B$62,AI56+AH57-AQ56)))</f>
        <v>185.76923076923069</v>
      </c>
      <c r="AJ57" s="14">
        <f>AI57*VLOOKUP('Données projet'!$B$10,Paramètres!$A$1:$I$89,3,0)*VLOOKUP('Données projet'!$B$10,Paramètres!$A$1:$I$89,5,0)</f>
        <v>176.77799999999991</v>
      </c>
      <c r="AK57" s="14">
        <f t="shared" si="35"/>
        <v>44.60459872124121</v>
      </c>
      <c r="AL57" s="22">
        <f t="shared" si="4"/>
        <v>385.57469277282826</v>
      </c>
      <c r="AM57" s="62">
        <f t="shared" si="5"/>
        <v>643.27906544016764</v>
      </c>
      <c r="AN57" s="62">
        <f ca="1">AVERAGE(OFFSET($AM$3,0,0,'Données projet'!$E$10+1,1))-AVERAGE(OFFSET($H$3,0,0,'Données projet'!$E$10+1,1))</f>
        <v>400.48230125343474</v>
      </c>
      <c r="AO57" s="62">
        <f t="shared" si="36"/>
        <v>275.67023303885048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0</v>
      </c>
      <c r="AV57" s="23">
        <f>EXP(-LN(2)/25)*AV56+(1-EXP(-LN(2)/25))/(LN(2)/25)*Calculateur!AQ57*Calculateur!AS57*VLOOKUP('Données projet'!$B$10,Paramètres!$A$1:$I$89,3,0)*0.475*44/12</f>
        <v>0</v>
      </c>
      <c r="AW57" s="23">
        <f>EXP(-LN(2)/2)*AW56+(1-EXP(-LN(2)/2))/(LN(2)/2)*AQ57*AT57*VLOOKUP('Données projet'!$B$10,Paramètres!$A$1:$I$89,3,0)*0.475*44/12</f>
        <v>0</v>
      </c>
      <c r="AX57" s="23">
        <f t="shared" si="6"/>
        <v>0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8</v>
      </c>
      <c r="BD57" s="13">
        <f>IF('Données projet'!$A$88&gt;35,BD56+BC57-BL56,IF(A57&lt;'Données projet'!$A$88,$BA$205^A57,IF(A57='Données projet'!$A$88,'Données projet'!$B$88,BD56+BC57-BL56)))</f>
        <v>189</v>
      </c>
      <c r="BE57" s="14">
        <f>BD57*VLOOKUP('Données projet'!$B$11,Paramètres!$A$1:$I$89,3,0)*VLOOKUP('Données projet'!$B$11,Paramètres!$A$1:$I$89,5,0)</f>
        <v>182.80079999999998</v>
      </c>
      <c r="BF57" s="14">
        <f t="shared" si="37"/>
        <v>45.944751507471658</v>
      </c>
      <c r="BG57" s="22">
        <f t="shared" si="7"/>
        <v>398.39850220884642</v>
      </c>
      <c r="BH57" s="62">
        <f t="shared" si="8"/>
        <v>656.10287487618575</v>
      </c>
      <c r="BI57" s="62">
        <f ca="1">AVERAGE(OFFSET($BH$3,0,0,'Données projet'!$E$11+1,1))-AVERAGE(OFFSET($H$3,0,0,'Données projet'!$E$11+1,1))</f>
        <v>496.33873798282525</v>
      </c>
      <c r="BJ57" s="62">
        <f t="shared" si="38"/>
        <v>280.25465074992246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>
        <f>EXP(-LN(2)/35)*BP56+(1-EXP(-LN(2)/35))/(LN(2)/35)*BL57*BM57*VLOOKUP('Données projet'!$B$11,Paramètres!$A$1:$I$89,3,0)*0.475*44/12</f>
        <v>0</v>
      </c>
      <c r="BQ57" s="23">
        <f>EXP(-LN(2)/25)*BQ56+(1-EXP(-LN(2)/25))/(LN(2)/25)*Calculateur!BL57*Calculateur!BN57*VLOOKUP('Données projet'!$B$11,Paramètres!$A$1:$I$89,3,0)*0.475*44/12</f>
        <v>0</v>
      </c>
      <c r="BR57" s="23">
        <f>EXP(-LN(2)/2)*BR56+(1-EXP(-LN(2)/2))/(LN(2)/2)*BL57*BO57*VLOOKUP('Données projet'!$B$11,Paramètres!$A$1:$I$89,3,0)*0.475*44/12</f>
        <v>0</v>
      </c>
      <c r="BS57" s="24">
        <f t="shared" si="9"/>
        <v>0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4.8</v>
      </c>
      <c r="BY57" s="13">
        <f>IF('Données projet'!$A$114&gt;35,BY56+BX57-CG56,IF(A57&lt;'Données projet'!$A$114,$BV$205^A57,IF(A57='Données projet'!$A$114,'Données projet'!$B$114,BY56+BX57-CG56)))</f>
        <v>193.2</v>
      </c>
      <c r="BZ57" s="14">
        <f>BY57*VLOOKUP('Données projet'!$B$12,Paramètres!$A$1:$I$89,3,0)*VLOOKUP('Données projet'!$B$12,Paramètres!$A$1:$I$89,5,0)</f>
        <v>168.77952000000002</v>
      </c>
      <c r="CA57" s="14">
        <f t="shared" si="39"/>
        <v>42.816562145177031</v>
      </c>
      <c r="CB57" s="22">
        <f t="shared" si="10"/>
        <v>368.52984306951663</v>
      </c>
      <c r="CC57" s="62">
        <f t="shared" si="11"/>
        <v>626.23421573685596</v>
      </c>
      <c r="CD57" s="62">
        <f ca="1">AVERAGE(OFFSET($CC$3,0,0,'Données projet'!$E$12+1,1))-AVERAGE(OFFSET($H$3,0,0,'Données projet'!$E$12+1,1))</f>
        <v>298.56812743477741</v>
      </c>
      <c r="CE57" s="62">
        <f t="shared" si="40"/>
        <v>276.01618888357268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>
        <f>EXP(-LN(2)/35)*CK56+(1-EXP(-LN(2)/35))/(LN(2)/35)*CG57*CH57*VLOOKUP('Données projet'!$B$12,Paramètres!$A$1:$I$89,3,0)*0.475*44/12</f>
        <v>0</v>
      </c>
      <c r="CL57" s="23">
        <f>EXP(-LN(2)/25)*CL56+(1-EXP(-LN(2)/25))/(LN(2)/25)*Calculateur!CG57*Calculateur!CI57*VLOOKUP('Données projet'!$B$12,Paramètres!$A$1:$I$89,3,0)*0.475*44/12</f>
        <v>0</v>
      </c>
      <c r="CM57" s="23">
        <f>EXP(-LN(2)/2)*CM56+(1-EXP(-LN(2)/2))/(LN(2)/2)*CG57*CJ57*VLOOKUP('Données projet'!$B$12,Paramètres!$A$1:$I$89,3,0)*0.475*44/12</f>
        <v>0</v>
      </c>
      <c r="CN57" s="24">
        <f t="shared" si="12"/>
        <v>0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5.7692307692307736</v>
      </c>
      <c r="CT57" s="13">
        <f>IF('Données projet'!$A$140&gt;35,CT56+CS57-DB56,IF(A57&lt;'Données projet'!$A$140,$CQ$205^A57,IF(A57='Données projet'!$A$140,'Données projet'!$B$140,CT56+CS57-DB56)))</f>
        <v>228.20512820512812</v>
      </c>
      <c r="CU57" s="18">
        <f>CT57*VLOOKUP('Données projet'!$B$13,Paramètres!$A$1:$I$89,3,0)*VLOOKUP('Données projet'!$B$13,Paramètres!$A$1:$I$89,5,0)</f>
        <v>153.07999999999996</v>
      </c>
      <c r="CV57" s="14">
        <f t="shared" si="41"/>
        <v>39.277696538385001</v>
      </c>
      <c r="CW57" s="22">
        <f t="shared" si="13"/>
        <v>335.02298813768715</v>
      </c>
      <c r="CX57" s="62">
        <f t="shared" si="14"/>
        <v>592.72736080502648</v>
      </c>
      <c r="CY57" s="62">
        <f ca="1">AVERAGE(OFFSET($CX$3,0,0,'Données projet'!$E$13+1,1))-AVERAGE(OFFSET($H$3,0,0,'Données projet'!$E$13+1,1))</f>
        <v>346.82725381974132</v>
      </c>
      <c r="CZ57" s="62">
        <f t="shared" si="42"/>
        <v>254.09787950201044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>
        <f>EXP(-LN(2)/35)*DF56+(1-EXP(-LN(2)/35))/(LN(2)/35)*DB57*DC57*VLOOKUP('Données projet'!$B$13,Paramètres!$A$1:$I$89,3,0)*0.475*44/12</f>
        <v>0</v>
      </c>
      <c r="DG57" s="23">
        <f>EXP(-LN(2)/25)*DG56+(1-EXP(-LN(2)/25))/(LN(2)/25)*Calculateur!DB57*Calculateur!DD57*VLOOKUP('Données projet'!$B$13,Paramètres!$A$1:$I$89,3,0)*0.475*44/12</f>
        <v>0</v>
      </c>
      <c r="DH57" s="23">
        <f>EXP(-LN(2)/2)*DH56+(1-EXP(-LN(2)/2))/(LN(2)/2)*DB57*DE57*VLOOKUP('Données projet'!$B$13,Paramètres!$A$1:$I$89,3,0)*0.475*44/12</f>
        <v>0</v>
      </c>
      <c r="DI57" s="24">
        <f t="shared" si="15"/>
        <v>0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5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2">
        <f t="shared" si="32"/>
        <v>0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18.333333333333332</v>
      </c>
      <c r="H58" s="70">
        <f t="shared" si="1"/>
        <v>183.33333333333334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>
        <f>VLOOKUP(A58,'Données projet'!$A$35:$I$55,2,0)</f>
        <v>197</v>
      </c>
      <c r="L58" s="13">
        <f>VLOOKUP(A58,'Données projet'!$A$35:$I$55,9,0)</f>
        <v>8</v>
      </c>
      <c r="M58" s="13">
        <f t="array" ref="M58">INDEX(L:L,MIN(IF(ISNUMBER(L58:L254),ROW(L58:L254),"")))</f>
        <v>8</v>
      </c>
      <c r="N58" s="14">
        <f>IF('Données projet'!$A$36&gt;35,N57+M58-V57,IF(A58&lt;'Données projet'!$A$36,$K$205^A58,IF(A58='Données projet'!$A$36,'Données projet'!$B$36,N57+M58-V57)))</f>
        <v>197</v>
      </c>
      <c r="O58" s="14">
        <f>N58*VLOOKUP('Données projet'!$B$9,Paramètres!$A$1:$I$89,3,0)*VLOOKUP('Données projet'!$B$9,Paramètres!$A$1:$I$89,5,0)</f>
        <v>178.2456</v>
      </c>
      <c r="P58" s="14">
        <f t="shared" si="33"/>
        <v>44.931642269910427</v>
      </c>
      <c r="Q58" s="22">
        <f t="shared" si="53"/>
        <v>388.70036362009404</v>
      </c>
      <c r="R58" s="62">
        <f t="shared" si="0"/>
        <v>647.02281910056536</v>
      </c>
      <c r="S58" s="62">
        <f ca="1">AVERAGE(OFFSET($R$3,0,0,'Données projet'!$E$9+1,1))-AVERAGE(OFFSET($H$3,0,0,'Données projet'!$E$9+1,1))</f>
        <v>469.67944008675863</v>
      </c>
      <c r="T58" s="62">
        <f t="shared" si="34"/>
        <v>266.11908070867173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0</v>
      </c>
      <c r="AA58" s="23">
        <f>EXP(-LN(2)/25)*AA57+(1-EXP(-LN(2)/25))/(LN(2)/25)*Calculateur!V58*Calculateur!X58*VLOOKUP('Données projet'!$B$9,Paramètres!$A$1:$I$89,3,0)*0.475*44/12</f>
        <v>0</v>
      </c>
      <c r="AB58" s="23">
        <f>EXP(-LN(2)/2)*AB57+(1-EXP(-LN(2)/2))/(LN(2)/2)*V58*Y58*VLOOKUP('Données projet'!$B$9,Paramètres!$A$1:$I$89,3,0)*0.475*44/12</f>
        <v>0</v>
      </c>
      <c r="AC58" s="24">
        <f t="shared" si="3"/>
        <v>0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>
        <f>VLOOKUP(A58,'Données projet'!$A$61:$I$81,2,0)</f>
        <v>191.02564102564102</v>
      </c>
      <c r="AG58" s="13">
        <f>VLOOKUP(A58,'Données projet'!$A$61:$I$81,9,0)</f>
        <v>5.2564102564102537</v>
      </c>
      <c r="AH58" s="13">
        <f t="array" ref="AH58">INDEX(AG:AG,MIN(IF(ISNUMBER(AG58:AG254),ROW(AG58:AG254),"")))</f>
        <v>5.2564102564102537</v>
      </c>
      <c r="AI58" s="14">
        <f>IF('Données projet'!$A$62&gt;35,AI57+AH58-AQ57,IF(A58&lt;'Données projet'!$A$62,$AF$205^A58,IF(A58='Données projet'!$A$62,'Données projet'!$B$62,AI57+AH58-AQ57)))</f>
        <v>191.02564102564094</v>
      </c>
      <c r="AJ58" s="14">
        <f>AI58*VLOOKUP('Données projet'!$B$10,Paramètres!$A$1:$I$89,3,0)*VLOOKUP('Données projet'!$B$10,Paramètres!$A$1:$I$89,5,0)</f>
        <v>181.77999999999992</v>
      </c>
      <c r="AK58" s="14">
        <f t="shared" si="35"/>
        <v>45.717976285292259</v>
      </c>
      <c r="AL58" s="22">
        <f t="shared" si="4"/>
        <v>396.22564203021716</v>
      </c>
      <c r="AM58" s="62">
        <f t="shared" si="5"/>
        <v>654.54809751068854</v>
      </c>
      <c r="AN58" s="62">
        <f ca="1">AVERAGE(OFFSET($AM$3,0,0,'Données projet'!$E$10+1,1))-AVERAGE(OFFSET($H$3,0,0,'Données projet'!$E$10+1,1))</f>
        <v>400.48230125343474</v>
      </c>
      <c r="AO58" s="62">
        <f t="shared" si="36"/>
        <v>275.67023303885048</v>
      </c>
      <c r="AP58" s="16">
        <f>IF(ISNA(VLOOKUP(A58,'Données projet'!$A$61:$I$81,3,0)),0,VLOOKUP(A58,'Données projet'!$A$61:$I$81,3,0))</f>
        <v>4</v>
      </c>
      <c r="AQ58" s="16">
        <f>IF(ISNA(VLOOKUP(A58,'Données projet'!$A$61:$I$81,4,0)),0,VLOOKUP(A58,'Données projet'!$A$61:$I$81,4,0))</f>
        <v>30.128205128205128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0</v>
      </c>
      <c r="AV58" s="23">
        <f>EXP(-LN(2)/25)*AV57+(1-EXP(-LN(2)/25))/(LN(2)/25)*Calculateur!AQ58*Calculateur!AS58*VLOOKUP('Données projet'!$B$10,Paramètres!$A$1:$I$89,3,0)*0.475*44/12</f>
        <v>0</v>
      </c>
      <c r="AW58" s="23">
        <f>EXP(-LN(2)/2)*AW57+(1-EXP(-LN(2)/2))/(LN(2)/2)*AQ58*AT58*VLOOKUP('Données projet'!$B$10,Paramètres!$A$1:$I$89,3,0)*0.475*44/12</f>
        <v>0</v>
      </c>
      <c r="AX58" s="23">
        <f t="shared" si="6"/>
        <v>0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>
        <f>VLOOKUP(A58,'Données projet'!$A$87:$I$107,2,0)</f>
        <v>197</v>
      </c>
      <c r="BB58" s="13">
        <f>VLOOKUP(A58,'Données projet'!$A$87:$I$107,9,0)</f>
        <v>8</v>
      </c>
      <c r="BC58" s="13">
        <f t="array" ref="BC58">INDEX(BB:BB,MIN(IF(ISNUMBER(BB58:BB254),ROW(BB58:BB254),"")))</f>
        <v>8</v>
      </c>
      <c r="BD58" s="13">
        <f>IF('Données projet'!$A$88&gt;35,BD57+BC58-BL57,IF(A58&lt;'Données projet'!$A$88,$BA$205^A58,IF(A58='Données projet'!$A$88,'Données projet'!$B$88,BD57+BC58-BL57)))</f>
        <v>197</v>
      </c>
      <c r="BE58" s="14">
        <f>BD58*VLOOKUP('Données projet'!$B$11,Paramètres!$A$1:$I$89,3,0)*VLOOKUP('Données projet'!$B$11,Paramètres!$A$1:$I$89,5,0)</f>
        <v>190.5384</v>
      </c>
      <c r="BF58" s="14">
        <f t="shared" si="37"/>
        <v>47.658965836673829</v>
      </c>
      <c r="BG58" s="22">
        <f t="shared" si="7"/>
        <v>414.86041216554025</v>
      </c>
      <c r="BH58" s="62">
        <f t="shared" si="8"/>
        <v>673.18286764601157</v>
      </c>
      <c r="BI58" s="62">
        <f ca="1">AVERAGE(OFFSET($BH$3,0,0,'Données projet'!$E$11+1,1))-AVERAGE(OFFSET($H$3,0,0,'Données projet'!$E$11+1,1))</f>
        <v>496.33873798282525</v>
      </c>
      <c r="BJ58" s="62">
        <f t="shared" si="38"/>
        <v>280.25465074992246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>
        <f>EXP(-LN(2)/35)*BP57+(1-EXP(-LN(2)/35))/(LN(2)/35)*BL58*BM58*VLOOKUP('Données projet'!$B$11,Paramètres!$A$1:$I$89,3,0)*0.475*44/12</f>
        <v>0</v>
      </c>
      <c r="BQ58" s="23">
        <f>EXP(-LN(2)/25)*BQ57+(1-EXP(-LN(2)/25))/(LN(2)/25)*Calculateur!BL58*Calculateur!BN58*VLOOKUP('Données projet'!$B$11,Paramètres!$A$1:$I$89,3,0)*0.475*44/12</f>
        <v>0</v>
      </c>
      <c r="BR58" s="23">
        <f>EXP(-LN(2)/2)*BR57+(1-EXP(-LN(2)/2))/(LN(2)/2)*BL58*BO58*VLOOKUP('Données projet'!$B$11,Paramètres!$A$1:$I$89,3,0)*0.475*44/12</f>
        <v>0</v>
      </c>
      <c r="BS58" s="24">
        <f t="shared" si="9"/>
        <v>0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>
        <f>VLOOKUP(A58,'Données projet'!$A$113:$I$133,2,0)</f>
        <v>198</v>
      </c>
      <c r="BW58" s="13">
        <f>VLOOKUP(A58,'Données projet'!$A$113:$I$133,9,0)</f>
        <v>4.8</v>
      </c>
      <c r="BX58" s="13">
        <f t="array" ref="BX58">INDEX(BW:BW,MIN(IF(ISNUMBER(BW58:BW254),ROW(BW58:BW254),"")))</f>
        <v>4.8</v>
      </c>
      <c r="BY58" s="13">
        <f>IF('Données projet'!$A$114&gt;35,BY57+BX58-CG57,IF(A58&lt;'Données projet'!$A$114,$BV$205^A58,IF(A58='Données projet'!$A$114,'Données projet'!$B$114,BY57+BX58-CG57)))</f>
        <v>198</v>
      </c>
      <c r="BZ58" s="14">
        <f>BY58*VLOOKUP('Données projet'!$B$12,Paramètres!$A$1:$I$89,3,0)*VLOOKUP('Données projet'!$B$12,Paramètres!$A$1:$I$89,5,0)</f>
        <v>172.97280000000003</v>
      </c>
      <c r="CA58" s="14">
        <f t="shared" si="39"/>
        <v>43.75515863819728</v>
      </c>
      <c r="CB58" s="22">
        <f t="shared" si="10"/>
        <v>377.46786129486031</v>
      </c>
      <c r="CC58" s="62">
        <f t="shared" si="11"/>
        <v>635.79031677533169</v>
      </c>
      <c r="CD58" s="62">
        <f ca="1">AVERAGE(OFFSET($CC$3,0,0,'Données projet'!$E$12+1,1))-AVERAGE(OFFSET($H$3,0,0,'Données projet'!$E$12+1,1))</f>
        <v>298.56812743477741</v>
      </c>
      <c r="CE58" s="62">
        <f t="shared" si="40"/>
        <v>276.01618888357268</v>
      </c>
      <c r="CF58" s="16">
        <f>IF(ISNA(VLOOKUP(A58,'Données projet'!$A$113:$I$133,3,0)),0,VLOOKUP(A58,'Données projet'!$A$113:$I$133,3,0))</f>
        <v>4</v>
      </c>
      <c r="CG58" s="16">
        <f>IF(ISNA(VLOOKUP(A58,'Données projet'!$A$113:$I$133,4,0)),0,VLOOKUP(A58,'Données projet'!$A$113:$I$133,4,0))</f>
        <v>24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>
        <f>EXP(-LN(2)/35)*CK57+(1-EXP(-LN(2)/35))/(LN(2)/35)*CG58*CH58*VLOOKUP('Données projet'!$B$12,Paramètres!$A$1:$I$89,3,0)*0.475*44/12</f>
        <v>0</v>
      </c>
      <c r="CL58" s="23">
        <f>EXP(-LN(2)/25)*CL57+(1-EXP(-LN(2)/25))/(LN(2)/25)*Calculateur!CG58*Calculateur!CI58*VLOOKUP('Données projet'!$B$12,Paramètres!$A$1:$I$89,3,0)*0.475*44/12</f>
        <v>0</v>
      </c>
      <c r="CM58" s="23">
        <f>EXP(-LN(2)/2)*CM57+(1-EXP(-LN(2)/2))/(LN(2)/2)*CG58*CJ58*VLOOKUP('Données projet'!$B$12,Paramètres!$A$1:$I$89,3,0)*0.475*44/12</f>
        <v>0</v>
      </c>
      <c r="CN58" s="24">
        <f t="shared" si="12"/>
        <v>0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>
        <f>VLOOKUP(A58,'Données projet'!$A$139:$I$159,2,0)</f>
        <v>233.97435897435898</v>
      </c>
      <c r="CR58" s="13">
        <f>VLOOKUP(A58,'Données projet'!$A$139:$I$159,9,0)</f>
        <v>5.7692307692307736</v>
      </c>
      <c r="CS58" s="13">
        <f t="array" ref="CS58">INDEX(CR:CR,MIN(IF(ISNUMBER(CR58:CR254),ROW(CR58:CR254),"")))</f>
        <v>5.7692307692307736</v>
      </c>
      <c r="CT58" s="13">
        <f>IF('Données projet'!$A$140&gt;35,CT57+CS58-DB57,IF(A58&lt;'Données projet'!$A$140,$CQ$205^A58,IF(A58='Données projet'!$A$140,'Données projet'!$B$140,CT57+CS58-DB57)))</f>
        <v>233.97435897435889</v>
      </c>
      <c r="CU58" s="18">
        <f>CT58*VLOOKUP('Données projet'!$B$13,Paramètres!$A$1:$I$89,3,0)*VLOOKUP('Données projet'!$B$13,Paramètres!$A$1:$I$89,5,0)</f>
        <v>156.94999999999996</v>
      </c>
      <c r="CV58" s="14">
        <f t="shared" si="41"/>
        <v>40.153810701715507</v>
      </c>
      <c r="CW58" s="22">
        <f t="shared" si="13"/>
        <v>343.28913697215444</v>
      </c>
      <c r="CX58" s="62">
        <f t="shared" si="14"/>
        <v>601.61159245262581</v>
      </c>
      <c r="CY58" s="62">
        <f ca="1">AVERAGE(OFFSET($CX$3,0,0,'Données projet'!$E$13+1,1))-AVERAGE(OFFSET($H$3,0,0,'Données projet'!$E$13+1,1))</f>
        <v>346.82725381974132</v>
      </c>
      <c r="CZ58" s="62">
        <f t="shared" si="42"/>
        <v>254.09787950201044</v>
      </c>
      <c r="DA58" s="16">
        <f>IF(ISNA(VLOOKUP(A58,'Données projet'!$A$139:$I$159,3,0)),0,VLOOKUP(A58,'Données projet'!$A$139:$I$159,3,0))</f>
        <v>4</v>
      </c>
      <c r="DB58" s="16">
        <f>IF(ISNA(VLOOKUP(A58,'Données projet'!$A$139:$I$159,4,0)),0,VLOOKUP(A58,'Données projet'!$A$139:$I$159,4,0))</f>
        <v>31.410256410256409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>
        <f>EXP(-LN(2)/35)*DF57+(1-EXP(-LN(2)/35))/(LN(2)/35)*DB58*DC58*VLOOKUP('Données projet'!$B$13,Paramètres!$A$1:$I$89,3,0)*0.475*44/12</f>
        <v>0</v>
      </c>
      <c r="DG58" s="23">
        <f>EXP(-LN(2)/25)*DG57+(1-EXP(-LN(2)/25))/(LN(2)/25)*Calculateur!DB58*Calculateur!DD58*VLOOKUP('Données projet'!$B$13,Paramètres!$A$1:$I$89,3,0)*0.475*44/12</f>
        <v>0</v>
      </c>
      <c r="DH58" s="23">
        <f>EXP(-LN(2)/2)*DH57+(1-EXP(-LN(2)/2))/(LN(2)/2)*DB58*DE58*VLOOKUP('Données projet'!$B$13,Paramètres!$A$1:$I$89,3,0)*0.475*44/12</f>
        <v>0</v>
      </c>
      <c r="DI58" s="24">
        <f t="shared" si="15"/>
        <v>0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5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2">
        <f t="shared" si="32"/>
        <v>0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18.333333333333332</v>
      </c>
      <c r="H59" s="70">
        <f t="shared" si="1"/>
        <v>183.33333333333334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7.6</v>
      </c>
      <c r="N59" s="14">
        <f>IF('Données projet'!$A$36&gt;35,N58+M59-V58,IF(A59&lt;'Données projet'!$A$36,$K$205^A59,IF(A59='Données projet'!$A$36,'Données projet'!$B$36,N58+M59-V58)))</f>
        <v>204.6</v>
      </c>
      <c r="O59" s="14">
        <f>N59*VLOOKUP('Données projet'!$B$9,Paramètres!$A$1:$I$89,3,0)*VLOOKUP('Données projet'!$B$9,Paramètres!$A$1:$I$89,5,0)</f>
        <v>185.12207999999998</v>
      </c>
      <c r="P59" s="14">
        <f t="shared" si="33"/>
        <v>46.459887003478677</v>
      </c>
      <c r="Q59" s="22">
        <f t="shared" si="53"/>
        <v>403.33859253105862</v>
      </c>
      <c r="R59" s="62">
        <f t="shared" si="0"/>
        <v>662.26840846968037</v>
      </c>
      <c r="S59" s="62">
        <f ca="1">AVERAGE(OFFSET($R$3,0,0,'Données projet'!$E$9+1,1))-AVERAGE(OFFSET($H$3,0,0,'Données projet'!$E$9+1,1))</f>
        <v>469.67944008675863</v>
      </c>
      <c r="T59" s="62">
        <f t="shared" si="34"/>
        <v>266.11908070867173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0</v>
      </c>
      <c r="AA59" s="23">
        <f>EXP(-LN(2)/25)*AA58+(1-EXP(-LN(2)/25))/(LN(2)/25)*Calculateur!V59*Calculateur!X59*VLOOKUP('Données projet'!$B$9,Paramètres!$A$1:$I$89,3,0)*0.475*44/12</f>
        <v>0</v>
      </c>
      <c r="AB59" s="23">
        <f>EXP(-LN(2)/2)*AB58+(1-EXP(-LN(2)/2))/(LN(2)/2)*V59*Y59*VLOOKUP('Données projet'!$B$9,Paramètres!$A$1:$I$89,3,0)*0.475*44/12</f>
        <v>0</v>
      </c>
      <c r="AC59" s="24">
        <f t="shared" si="3"/>
        <v>0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4.8717948717948731</v>
      </c>
      <c r="AI59" s="14">
        <f>IF('Données projet'!$A$62&gt;35,AI58+AH59-AQ58,IF(A59&lt;'Données projet'!$A$62,$AF$205^A59,IF(A59='Données projet'!$A$62,'Données projet'!$B$62,AI58+AH59-AQ58)))</f>
        <v>165.76923076923066</v>
      </c>
      <c r="AJ59" s="14">
        <f>AI59*VLOOKUP('Données projet'!$B$10,Paramètres!$A$1:$I$89,3,0)*VLOOKUP('Données projet'!$B$10,Paramètres!$A$1:$I$89,5,0)</f>
        <v>157.7459999999999</v>
      </c>
      <c r="AK59" s="14">
        <f t="shared" si="35"/>
        <v>40.333700383335611</v>
      </c>
      <c r="AL59" s="22">
        <f t="shared" si="4"/>
        <v>344.988811500976</v>
      </c>
      <c r="AM59" s="62">
        <f t="shared" si="5"/>
        <v>603.91862743959769</v>
      </c>
      <c r="AN59" s="62">
        <f ca="1">AVERAGE(OFFSET($AM$3,0,0,'Données projet'!$E$10+1,1))-AVERAGE(OFFSET($H$3,0,0,'Données projet'!$E$10+1,1))</f>
        <v>400.48230125343474</v>
      </c>
      <c r="AO59" s="62">
        <f t="shared" si="36"/>
        <v>275.67023303885048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0</v>
      </c>
      <c r="AV59" s="23">
        <f>EXP(-LN(2)/25)*AV58+(1-EXP(-LN(2)/25))/(LN(2)/25)*Calculateur!AQ59*Calculateur!AS59*VLOOKUP('Données projet'!$B$10,Paramètres!$A$1:$I$89,3,0)*0.475*44/12</f>
        <v>0</v>
      </c>
      <c r="AW59" s="23">
        <f>EXP(-LN(2)/2)*AW58+(1-EXP(-LN(2)/2))/(LN(2)/2)*AQ59*AT59*VLOOKUP('Données projet'!$B$10,Paramètres!$A$1:$I$89,3,0)*0.475*44/12</f>
        <v>0</v>
      </c>
      <c r="AX59" s="23">
        <f t="shared" si="6"/>
        <v>0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7.6</v>
      </c>
      <c r="BD59" s="13">
        <f>IF('Données projet'!$A$88&gt;35,BD58+BC59-BL58,IF(A59&lt;'Données projet'!$A$88,$BA$205^A59,IF(A59='Données projet'!$A$88,'Données projet'!$B$88,BD58+BC59-BL58)))</f>
        <v>204.6</v>
      </c>
      <c r="BE59" s="14">
        <f>BD59*VLOOKUP('Données projet'!$B$11,Paramètres!$A$1:$I$89,3,0)*VLOOKUP('Données projet'!$B$11,Paramètres!$A$1:$I$89,5,0)</f>
        <v>197.88911999999999</v>
      </c>
      <c r="BF59" s="14">
        <f t="shared" si="37"/>
        <v>49.279974103179534</v>
      </c>
      <c r="BG59" s="22">
        <f t="shared" si="7"/>
        <v>430.48617222970438</v>
      </c>
      <c r="BH59" s="62">
        <f t="shared" si="8"/>
        <v>689.41598816832607</v>
      </c>
      <c r="BI59" s="62">
        <f ca="1">AVERAGE(OFFSET($BH$3,0,0,'Données projet'!$E$11+1,1))-AVERAGE(OFFSET($H$3,0,0,'Données projet'!$E$11+1,1))</f>
        <v>496.33873798282525</v>
      </c>
      <c r="BJ59" s="62">
        <f t="shared" si="38"/>
        <v>280.25465074992246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>
        <f>EXP(-LN(2)/35)*BP58+(1-EXP(-LN(2)/35))/(LN(2)/35)*BL59*BM59*VLOOKUP('Données projet'!$B$11,Paramètres!$A$1:$I$89,3,0)*0.475*44/12</f>
        <v>0</v>
      </c>
      <c r="BQ59" s="23">
        <f>EXP(-LN(2)/25)*BQ58+(1-EXP(-LN(2)/25))/(LN(2)/25)*Calculateur!BL59*Calculateur!BN59*VLOOKUP('Données projet'!$B$11,Paramètres!$A$1:$I$89,3,0)*0.475*44/12</f>
        <v>0</v>
      </c>
      <c r="BR59" s="23">
        <f>EXP(-LN(2)/2)*BR58+(1-EXP(-LN(2)/2))/(LN(2)/2)*BL59*BO59*VLOOKUP('Données projet'!$B$11,Paramètres!$A$1:$I$89,3,0)*0.475*44/12</f>
        <v>0</v>
      </c>
      <c r="BS59" s="24">
        <f t="shared" si="9"/>
        <v>0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4.2</v>
      </c>
      <c r="BY59" s="13">
        <f>IF('Données projet'!$A$114&gt;35,BY58+BX59-CG58,IF(A59&lt;'Données projet'!$A$114,$BV$205^A59,IF(A59='Données projet'!$A$114,'Données projet'!$B$114,BY58+BX59-CG58)))</f>
        <v>178.2</v>
      </c>
      <c r="BZ59" s="14">
        <f>BY59*VLOOKUP('Données projet'!$B$12,Paramètres!$A$1:$I$89,3,0)*VLOOKUP('Données projet'!$B$12,Paramètres!$A$1:$I$89,5,0)</f>
        <v>155.67552000000001</v>
      </c>
      <c r="CA59" s="14">
        <f t="shared" si="39"/>
        <v>39.865566884055099</v>
      </c>
      <c r="CB59" s="22">
        <f t="shared" si="10"/>
        <v>340.56739298972934</v>
      </c>
      <c r="CC59" s="62">
        <f t="shared" si="11"/>
        <v>599.49720892835103</v>
      </c>
      <c r="CD59" s="62">
        <f ca="1">AVERAGE(OFFSET($CC$3,0,0,'Données projet'!$E$12+1,1))-AVERAGE(OFFSET($H$3,0,0,'Données projet'!$E$12+1,1))</f>
        <v>298.56812743477741</v>
      </c>
      <c r="CE59" s="62">
        <f t="shared" si="40"/>
        <v>276.01618888357268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>
        <f>EXP(-LN(2)/35)*CK58+(1-EXP(-LN(2)/35))/(LN(2)/35)*CG59*CH59*VLOOKUP('Données projet'!$B$12,Paramètres!$A$1:$I$89,3,0)*0.475*44/12</f>
        <v>0</v>
      </c>
      <c r="CL59" s="23">
        <f>EXP(-LN(2)/25)*CL58+(1-EXP(-LN(2)/25))/(LN(2)/25)*Calculateur!CG59*Calculateur!CI59*VLOOKUP('Données projet'!$B$12,Paramètres!$A$1:$I$89,3,0)*0.475*44/12</f>
        <v>0</v>
      </c>
      <c r="CM59" s="23">
        <f>EXP(-LN(2)/2)*CM58+(1-EXP(-LN(2)/2))/(LN(2)/2)*CG59*CJ59*VLOOKUP('Données projet'!$B$12,Paramètres!$A$1:$I$89,3,0)*0.475*44/12</f>
        <v>0</v>
      </c>
      <c r="CN59" s="24">
        <f t="shared" si="12"/>
        <v>0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5.3846153846153815</v>
      </c>
      <c r="CT59" s="13">
        <f>IF('Données projet'!$A$140&gt;35,CT58+CS59-DB58,IF(A59&lt;'Données projet'!$A$140,$CQ$205^A59,IF(A59='Données projet'!$A$140,'Données projet'!$B$140,CT58+CS59-DB58)))</f>
        <v>207.94871794871787</v>
      </c>
      <c r="CU59" s="18">
        <f>CT59*VLOOKUP('Données projet'!$B$13,Paramètres!$A$1:$I$89,3,0)*VLOOKUP('Données projet'!$B$13,Paramètres!$A$1:$I$89,5,0)</f>
        <v>139.49199999999996</v>
      </c>
      <c r="CV59" s="14">
        <f t="shared" si="41"/>
        <v>36.180605218782823</v>
      </c>
      <c r="CW59" s="22">
        <f t="shared" si="13"/>
        <v>305.96312075604669</v>
      </c>
      <c r="CX59" s="62">
        <f t="shared" si="14"/>
        <v>564.89293669466838</v>
      </c>
      <c r="CY59" s="62">
        <f ca="1">AVERAGE(OFFSET($CX$3,0,0,'Données projet'!$E$13+1,1))-AVERAGE(OFFSET($H$3,0,0,'Données projet'!$E$13+1,1))</f>
        <v>346.82725381974132</v>
      </c>
      <c r="CZ59" s="62">
        <f t="shared" si="42"/>
        <v>254.09787950201044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>
        <f>EXP(-LN(2)/35)*DF58+(1-EXP(-LN(2)/35))/(LN(2)/35)*DB59*DC59*VLOOKUP('Données projet'!$B$13,Paramètres!$A$1:$I$89,3,0)*0.475*44/12</f>
        <v>0</v>
      </c>
      <c r="DG59" s="23">
        <f>EXP(-LN(2)/25)*DG58+(1-EXP(-LN(2)/25))/(LN(2)/25)*Calculateur!DB59*Calculateur!DD59*VLOOKUP('Données projet'!$B$13,Paramètres!$A$1:$I$89,3,0)*0.475*44/12</f>
        <v>0</v>
      </c>
      <c r="DH59" s="23">
        <f>EXP(-LN(2)/2)*DH58+(1-EXP(-LN(2)/2))/(LN(2)/2)*DB59*DE59*VLOOKUP('Données projet'!$B$13,Paramètres!$A$1:$I$89,3,0)*0.475*44/12</f>
        <v>0</v>
      </c>
      <c r="DI59" s="24">
        <f t="shared" si="15"/>
        <v>0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5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2">
        <f t="shared" si="32"/>
        <v>0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18.333333333333332</v>
      </c>
      <c r="H60" s="70">
        <f t="shared" si="1"/>
        <v>183.33333333333334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7.6</v>
      </c>
      <c r="N60" s="14">
        <f>IF('Données projet'!$A$36&gt;35,N59+M60-V59,IF(A60&lt;'Données projet'!$A$36,$K$205^A60,IF(A60='Données projet'!$A$36,'Données projet'!$B$36,N59+M60-V59)))</f>
        <v>212.2</v>
      </c>
      <c r="O60" s="14">
        <f>N60*VLOOKUP('Données projet'!$B$9,Paramètres!$A$1:$I$89,3,0)*VLOOKUP('Données projet'!$B$9,Paramètres!$A$1:$I$89,5,0)</f>
        <v>191.99855999999997</v>
      </c>
      <c r="P60" s="14">
        <f t="shared" si="33"/>
        <v>47.981536645873334</v>
      </c>
      <c r="Q60" s="22">
        <f t="shared" si="53"/>
        <v>417.96533499156266</v>
      </c>
      <c r="R60" s="62">
        <f t="shared" si="0"/>
        <v>677.49197504224037</v>
      </c>
      <c r="S60" s="62">
        <f ca="1">AVERAGE(OFFSET($R$3,0,0,'Données projet'!$E$9+1,1))-AVERAGE(OFFSET($H$3,0,0,'Données projet'!$E$9+1,1))</f>
        <v>469.67944008675863</v>
      </c>
      <c r="T60" s="62">
        <f t="shared" si="34"/>
        <v>266.11908070867173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0</v>
      </c>
      <c r="AA60" s="23">
        <f>EXP(-LN(2)/25)*AA59+(1-EXP(-LN(2)/25))/(LN(2)/25)*Calculateur!V60*Calculateur!X60*VLOOKUP('Données projet'!$B$9,Paramètres!$A$1:$I$89,3,0)*0.475*44/12</f>
        <v>0</v>
      </c>
      <c r="AB60" s="23">
        <f>EXP(-LN(2)/2)*AB59+(1-EXP(-LN(2)/2))/(LN(2)/2)*V60*Y60*VLOOKUP('Données projet'!$B$9,Paramètres!$A$1:$I$89,3,0)*0.475*44/12</f>
        <v>0</v>
      </c>
      <c r="AC60" s="24">
        <f t="shared" si="3"/>
        <v>0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4.8717948717948731</v>
      </c>
      <c r="AI60" s="14">
        <f>IF('Données projet'!$A$62&gt;35,AI59+AH60-AQ59,IF(A60&lt;'Données projet'!$A$62,$AF$205^A60,IF(A60='Données projet'!$A$62,'Données projet'!$B$62,AI59+AH60-AQ59)))</f>
        <v>170.64102564102552</v>
      </c>
      <c r="AJ60" s="14">
        <f>AI60*VLOOKUP('Données projet'!$B$10,Paramètres!$A$1:$I$89,3,0)*VLOOKUP('Données projet'!$B$10,Paramètres!$A$1:$I$89,5,0)</f>
        <v>162.38199999999989</v>
      </c>
      <c r="AK60" s="14">
        <f t="shared" si="35"/>
        <v>41.379319198428185</v>
      </c>
      <c r="AL60" s="22">
        <f t="shared" si="4"/>
        <v>354.88429760392893</v>
      </c>
      <c r="AM60" s="62">
        <f t="shared" si="5"/>
        <v>614.41093765460664</v>
      </c>
      <c r="AN60" s="62">
        <f ca="1">AVERAGE(OFFSET($AM$3,0,0,'Données projet'!$E$10+1,1))-AVERAGE(OFFSET($H$3,0,0,'Données projet'!$E$10+1,1))</f>
        <v>400.48230125343474</v>
      </c>
      <c r="AO60" s="62">
        <f t="shared" si="36"/>
        <v>275.67023303885048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0</v>
      </c>
      <c r="AV60" s="23">
        <f>EXP(-LN(2)/25)*AV59+(1-EXP(-LN(2)/25))/(LN(2)/25)*Calculateur!AQ60*Calculateur!AS60*VLOOKUP('Données projet'!$B$10,Paramètres!$A$1:$I$89,3,0)*0.475*44/12</f>
        <v>0</v>
      </c>
      <c r="AW60" s="23">
        <f>EXP(-LN(2)/2)*AW59+(1-EXP(-LN(2)/2))/(LN(2)/2)*AQ60*AT60*VLOOKUP('Données projet'!$B$10,Paramètres!$A$1:$I$89,3,0)*0.475*44/12</f>
        <v>0</v>
      </c>
      <c r="AX60" s="23">
        <f t="shared" si="6"/>
        <v>0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7.6</v>
      </c>
      <c r="BD60" s="13">
        <f>IF('Données projet'!$A$88&gt;35,BD59+BC60-BL59,IF(A60&lt;'Données projet'!$A$88,$BA$205^A60,IF(A60='Données projet'!$A$88,'Données projet'!$B$88,BD59+BC60-BL59)))</f>
        <v>212.2</v>
      </c>
      <c r="BE60" s="14">
        <f>BD60*VLOOKUP('Données projet'!$B$11,Paramètres!$A$1:$I$89,3,0)*VLOOKUP('Données projet'!$B$11,Paramètres!$A$1:$I$89,5,0)</f>
        <v>205.23983999999999</v>
      </c>
      <c r="BF60" s="14">
        <f t="shared" si="37"/>
        <v>50.893986960458122</v>
      </c>
      <c r="BG60" s="22">
        <f t="shared" si="7"/>
        <v>446.0997486227979</v>
      </c>
      <c r="BH60" s="62">
        <f t="shared" si="8"/>
        <v>705.62638867347562</v>
      </c>
      <c r="BI60" s="62">
        <f ca="1">AVERAGE(OFFSET($BH$3,0,0,'Données projet'!$E$11+1,1))-AVERAGE(OFFSET($H$3,0,0,'Données projet'!$E$11+1,1))</f>
        <v>496.33873798282525</v>
      </c>
      <c r="BJ60" s="62">
        <f t="shared" si="38"/>
        <v>280.25465074992246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>
        <f>EXP(-LN(2)/35)*BP59+(1-EXP(-LN(2)/35))/(LN(2)/35)*BL60*BM60*VLOOKUP('Données projet'!$B$11,Paramètres!$A$1:$I$89,3,0)*0.475*44/12</f>
        <v>0</v>
      </c>
      <c r="BQ60" s="23">
        <f>EXP(-LN(2)/25)*BQ59+(1-EXP(-LN(2)/25))/(LN(2)/25)*Calculateur!BL60*Calculateur!BN60*VLOOKUP('Données projet'!$B$11,Paramètres!$A$1:$I$89,3,0)*0.475*44/12</f>
        <v>0</v>
      </c>
      <c r="BR60" s="23">
        <f>EXP(-LN(2)/2)*BR59+(1-EXP(-LN(2)/2))/(LN(2)/2)*BL60*BO60*VLOOKUP('Données projet'!$B$11,Paramètres!$A$1:$I$89,3,0)*0.475*44/12</f>
        <v>0</v>
      </c>
      <c r="BS60" s="24">
        <f t="shared" si="9"/>
        <v>0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4.2</v>
      </c>
      <c r="BY60" s="13">
        <f>IF('Données projet'!$A$114&gt;35,BY59+BX60-CG59,IF(A60&lt;'Données projet'!$A$114,$BV$205^A60,IF(A60='Données projet'!$A$114,'Données projet'!$B$114,BY59+BX60-CG59)))</f>
        <v>182.39999999999998</v>
      </c>
      <c r="BZ60" s="14">
        <f>BY60*VLOOKUP('Données projet'!$B$12,Paramètres!$A$1:$I$89,3,0)*VLOOKUP('Données projet'!$B$12,Paramètres!$A$1:$I$89,5,0)</f>
        <v>159.34464</v>
      </c>
      <c r="CA60" s="14">
        <f t="shared" si="39"/>
        <v>40.694661837553809</v>
      </c>
      <c r="CB60" s="22">
        <f t="shared" si="10"/>
        <v>348.40178403373949</v>
      </c>
      <c r="CC60" s="62">
        <f t="shared" si="11"/>
        <v>607.9284240844172</v>
      </c>
      <c r="CD60" s="62">
        <f ca="1">AVERAGE(OFFSET($CC$3,0,0,'Données projet'!$E$12+1,1))-AVERAGE(OFFSET($H$3,0,0,'Données projet'!$E$12+1,1))</f>
        <v>298.56812743477741</v>
      </c>
      <c r="CE60" s="62">
        <f t="shared" si="40"/>
        <v>276.01618888357268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>
        <f>EXP(-LN(2)/35)*CK59+(1-EXP(-LN(2)/35))/(LN(2)/35)*CG60*CH60*VLOOKUP('Données projet'!$B$12,Paramètres!$A$1:$I$89,3,0)*0.475*44/12</f>
        <v>0</v>
      </c>
      <c r="CL60" s="23">
        <f>EXP(-LN(2)/25)*CL59+(1-EXP(-LN(2)/25))/(LN(2)/25)*Calculateur!CG60*Calculateur!CI60*VLOOKUP('Données projet'!$B$12,Paramètres!$A$1:$I$89,3,0)*0.475*44/12</f>
        <v>0</v>
      </c>
      <c r="CM60" s="23">
        <f>EXP(-LN(2)/2)*CM59+(1-EXP(-LN(2)/2))/(LN(2)/2)*CG60*CJ60*VLOOKUP('Données projet'!$B$12,Paramètres!$A$1:$I$89,3,0)*0.475*44/12</f>
        <v>0</v>
      </c>
      <c r="CN60" s="24">
        <f t="shared" si="12"/>
        <v>0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5.3846153846153815</v>
      </c>
      <c r="CT60" s="13">
        <f>IF('Données projet'!$A$140&gt;35,CT59+CS60-DB59,IF(A60&lt;'Données projet'!$A$140,$CQ$205^A60,IF(A60='Données projet'!$A$140,'Données projet'!$B$140,CT59+CS60-DB59)))</f>
        <v>213.33333333333326</v>
      </c>
      <c r="CU60" s="18">
        <f>CT60*VLOOKUP('Données projet'!$B$13,Paramètres!$A$1:$I$89,3,0)*VLOOKUP('Données projet'!$B$13,Paramètres!$A$1:$I$89,5,0)</f>
        <v>143.10399999999996</v>
      </c>
      <c r="CV60" s="14">
        <f t="shared" si="41"/>
        <v>37.007178225178052</v>
      </c>
      <c r="CW60" s="22">
        <f t="shared" si="13"/>
        <v>313.69363540885166</v>
      </c>
      <c r="CX60" s="62">
        <f t="shared" si="14"/>
        <v>573.22027545952938</v>
      </c>
      <c r="CY60" s="62">
        <f ca="1">AVERAGE(OFFSET($CX$3,0,0,'Données projet'!$E$13+1,1))-AVERAGE(OFFSET($H$3,0,0,'Données projet'!$E$13+1,1))</f>
        <v>346.82725381974132</v>
      </c>
      <c r="CZ60" s="62">
        <f t="shared" si="42"/>
        <v>254.09787950201044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>
        <f>EXP(-LN(2)/35)*DF59+(1-EXP(-LN(2)/35))/(LN(2)/35)*DB60*DC60*VLOOKUP('Données projet'!$B$13,Paramètres!$A$1:$I$89,3,0)*0.475*44/12</f>
        <v>0</v>
      </c>
      <c r="DG60" s="23">
        <f>EXP(-LN(2)/25)*DG59+(1-EXP(-LN(2)/25))/(LN(2)/25)*Calculateur!DB60*Calculateur!DD60*VLOOKUP('Données projet'!$B$13,Paramètres!$A$1:$I$89,3,0)*0.475*44/12</f>
        <v>0</v>
      </c>
      <c r="DH60" s="23">
        <f>EXP(-LN(2)/2)*DH59+(1-EXP(-LN(2)/2))/(LN(2)/2)*DB60*DE60*VLOOKUP('Données projet'!$B$13,Paramètres!$A$1:$I$89,3,0)*0.475*44/12</f>
        <v>0</v>
      </c>
      <c r="DI60" s="24">
        <f t="shared" si="15"/>
        <v>0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5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2">
        <f t="shared" si="32"/>
        <v>0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18.333333333333332</v>
      </c>
      <c r="H61" s="70">
        <f t="shared" si="1"/>
        <v>183.33333333333334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7.6</v>
      </c>
      <c r="N61" s="14">
        <f>IF('Données projet'!$A$36&gt;35,N60+M61-V60,IF(A61&lt;'Données projet'!$A$36,$K$205^A61,IF(A61='Données projet'!$A$36,'Données projet'!$B$36,N60+M61-V60)))</f>
        <v>219.79999999999998</v>
      </c>
      <c r="O61" s="14">
        <f>N61*VLOOKUP('Données projet'!$B$9,Paramètres!$A$1:$I$89,3,0)*VLOOKUP('Données projet'!$B$9,Paramètres!$A$1:$I$89,5,0)</f>
        <v>198.87503999999998</v>
      </c>
      <c r="P61" s="14">
        <f t="shared" si="33"/>
        <v>49.496854461868558</v>
      </c>
      <c r="Q61" s="22">
        <f t="shared" si="53"/>
        <v>432.58104952108766</v>
      </c>
      <c r="R61" s="62">
        <f t="shared" si="0"/>
        <v>692.69416011977614</v>
      </c>
      <c r="S61" s="62">
        <f ca="1">AVERAGE(OFFSET($R$3,0,0,'Données projet'!$E$9+1,1))-AVERAGE(OFFSET($H$3,0,0,'Données projet'!$E$9+1,1))</f>
        <v>469.67944008675863</v>
      </c>
      <c r="T61" s="62">
        <f t="shared" si="34"/>
        <v>266.11908070867173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0</v>
      </c>
      <c r="AA61" s="23">
        <f>EXP(-LN(2)/25)*AA60+(1-EXP(-LN(2)/25))/(LN(2)/25)*Calculateur!V61*Calculateur!X61*VLOOKUP('Données projet'!$B$9,Paramètres!$A$1:$I$89,3,0)*0.475*44/12</f>
        <v>0</v>
      </c>
      <c r="AB61" s="23">
        <f>EXP(-LN(2)/2)*AB60+(1-EXP(-LN(2)/2))/(LN(2)/2)*V61*Y61*VLOOKUP('Données projet'!$B$9,Paramètres!$A$1:$I$89,3,0)*0.475*44/12</f>
        <v>0</v>
      </c>
      <c r="AC61" s="24">
        <f t="shared" si="3"/>
        <v>0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4.8717948717948731</v>
      </c>
      <c r="AI61" s="14">
        <f>IF('Données projet'!$A$62&gt;35,AI60+AH61-AQ60,IF(A61&lt;'Données projet'!$A$62,$AF$205^A61,IF(A61='Données projet'!$A$62,'Données projet'!$B$62,AI60+AH61-AQ60)))</f>
        <v>175.51282051282038</v>
      </c>
      <c r="AJ61" s="14">
        <f>AI61*VLOOKUP('Données projet'!$B$10,Paramètres!$A$1:$I$89,3,0)*VLOOKUP('Données projet'!$B$10,Paramètres!$A$1:$I$89,5,0)</f>
        <v>167.01799999999989</v>
      </c>
      <c r="AK61" s="14">
        <f t="shared" si="35"/>
        <v>42.421468466086189</v>
      </c>
      <c r="AL61" s="22">
        <f t="shared" si="4"/>
        <v>364.77374091176654</v>
      </c>
      <c r="AM61" s="62">
        <f t="shared" si="5"/>
        <v>624.88685151045502</v>
      </c>
      <c r="AN61" s="62">
        <f ca="1">AVERAGE(OFFSET($AM$3,0,0,'Données projet'!$E$10+1,1))-AVERAGE(OFFSET($H$3,0,0,'Données projet'!$E$10+1,1))</f>
        <v>400.48230125343474</v>
      </c>
      <c r="AO61" s="62">
        <f t="shared" si="36"/>
        <v>275.67023303885048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0</v>
      </c>
      <c r="AV61" s="23">
        <f>EXP(-LN(2)/25)*AV60+(1-EXP(-LN(2)/25))/(LN(2)/25)*Calculateur!AQ61*Calculateur!AS61*VLOOKUP('Données projet'!$B$10,Paramètres!$A$1:$I$89,3,0)*0.475*44/12</f>
        <v>0</v>
      </c>
      <c r="AW61" s="23">
        <f>EXP(-LN(2)/2)*AW60+(1-EXP(-LN(2)/2))/(LN(2)/2)*AQ61*AT61*VLOOKUP('Données projet'!$B$10,Paramètres!$A$1:$I$89,3,0)*0.475*44/12</f>
        <v>0</v>
      </c>
      <c r="AX61" s="23">
        <f t="shared" si="6"/>
        <v>0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7.6</v>
      </c>
      <c r="BD61" s="13">
        <f>IF('Données projet'!$A$88&gt;35,BD60+BC61-BL60,IF(A61&lt;'Données projet'!$A$88,$BA$205^A61,IF(A61='Données projet'!$A$88,'Données projet'!$B$88,BD60+BC61-BL60)))</f>
        <v>219.79999999999998</v>
      </c>
      <c r="BE61" s="14">
        <f>BD61*VLOOKUP('Données projet'!$B$11,Paramètres!$A$1:$I$89,3,0)*VLOOKUP('Données projet'!$B$11,Paramètres!$A$1:$I$89,5,0)</f>
        <v>212.59055999999998</v>
      </c>
      <c r="BF61" s="14">
        <f t="shared" si="37"/>
        <v>52.501283653296404</v>
      </c>
      <c r="BG61" s="22">
        <f t="shared" si="7"/>
        <v>461.70162769615786</v>
      </c>
      <c r="BH61" s="62">
        <f t="shared" si="8"/>
        <v>721.81473829484628</v>
      </c>
      <c r="BI61" s="62">
        <f ca="1">AVERAGE(OFFSET($BH$3,0,0,'Données projet'!$E$11+1,1))-AVERAGE(OFFSET($H$3,0,0,'Données projet'!$E$11+1,1))</f>
        <v>496.33873798282525</v>
      </c>
      <c r="BJ61" s="62">
        <f t="shared" si="38"/>
        <v>280.25465074992246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>
        <f>EXP(-LN(2)/35)*BP60+(1-EXP(-LN(2)/35))/(LN(2)/35)*BL61*BM61*VLOOKUP('Données projet'!$B$11,Paramètres!$A$1:$I$89,3,0)*0.475*44/12</f>
        <v>0</v>
      </c>
      <c r="BQ61" s="23">
        <f>EXP(-LN(2)/25)*BQ60+(1-EXP(-LN(2)/25))/(LN(2)/25)*Calculateur!BL61*Calculateur!BN61*VLOOKUP('Données projet'!$B$11,Paramètres!$A$1:$I$89,3,0)*0.475*44/12</f>
        <v>0</v>
      </c>
      <c r="BR61" s="23">
        <f>EXP(-LN(2)/2)*BR60+(1-EXP(-LN(2)/2))/(LN(2)/2)*BL61*BO61*VLOOKUP('Données projet'!$B$11,Paramètres!$A$1:$I$89,3,0)*0.475*44/12</f>
        <v>0</v>
      </c>
      <c r="BS61" s="24">
        <f t="shared" si="9"/>
        <v>0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4.2</v>
      </c>
      <c r="BY61" s="13">
        <f>IF('Données projet'!$A$114&gt;35,BY60+BX61-CG60,IF(A61&lt;'Données projet'!$A$114,$BV$205^A61,IF(A61='Données projet'!$A$114,'Données projet'!$B$114,BY60+BX61-CG60)))</f>
        <v>186.59999999999997</v>
      </c>
      <c r="BZ61" s="14">
        <f>BY61*VLOOKUP('Données projet'!$B$12,Paramètres!$A$1:$I$89,3,0)*VLOOKUP('Données projet'!$B$12,Paramètres!$A$1:$I$89,5,0)</f>
        <v>163.01375999999999</v>
      </c>
      <c r="CA61" s="14">
        <f t="shared" si="39"/>
        <v>41.521537366475364</v>
      </c>
      <c r="CB61" s="22">
        <f t="shared" si="10"/>
        <v>356.23230957994457</v>
      </c>
      <c r="CC61" s="62">
        <f t="shared" si="11"/>
        <v>616.34542017863305</v>
      </c>
      <c r="CD61" s="62">
        <f ca="1">AVERAGE(OFFSET($CC$3,0,0,'Données projet'!$E$12+1,1))-AVERAGE(OFFSET($H$3,0,0,'Données projet'!$E$12+1,1))</f>
        <v>298.56812743477741</v>
      </c>
      <c r="CE61" s="62">
        <f t="shared" si="40"/>
        <v>276.01618888357268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>
        <f>EXP(-LN(2)/35)*CK60+(1-EXP(-LN(2)/35))/(LN(2)/35)*CG61*CH61*VLOOKUP('Données projet'!$B$12,Paramètres!$A$1:$I$89,3,0)*0.475*44/12</f>
        <v>0</v>
      </c>
      <c r="CL61" s="23">
        <f>EXP(-LN(2)/25)*CL60+(1-EXP(-LN(2)/25))/(LN(2)/25)*Calculateur!CG61*Calculateur!CI61*VLOOKUP('Données projet'!$B$12,Paramètres!$A$1:$I$89,3,0)*0.475*44/12</f>
        <v>0</v>
      </c>
      <c r="CM61" s="23">
        <f>EXP(-LN(2)/2)*CM60+(1-EXP(-LN(2)/2))/(LN(2)/2)*CG61*CJ61*VLOOKUP('Données projet'!$B$12,Paramètres!$A$1:$I$89,3,0)*0.475*44/12</f>
        <v>0</v>
      </c>
      <c r="CN61" s="24">
        <f t="shared" si="12"/>
        <v>0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5.3846153846153815</v>
      </c>
      <c r="CT61" s="13">
        <f>IF('Données projet'!$A$140&gt;35,CT60+CS61-DB60,IF(A61&lt;'Données projet'!$A$140,$CQ$205^A61,IF(A61='Données projet'!$A$140,'Données projet'!$B$140,CT60+CS61-DB60)))</f>
        <v>218.71794871794864</v>
      </c>
      <c r="CU61" s="18">
        <f>CT61*VLOOKUP('Données projet'!$B$13,Paramètres!$A$1:$I$89,3,0)*VLOOKUP('Données projet'!$B$13,Paramètres!$A$1:$I$89,5,0)</f>
        <v>146.71599999999995</v>
      </c>
      <c r="CV61" s="14">
        <f t="shared" si="41"/>
        <v>37.831326067731702</v>
      </c>
      <c r="CW61" s="22">
        <f t="shared" si="13"/>
        <v>321.41992623463261</v>
      </c>
      <c r="CX61" s="62">
        <f t="shared" si="14"/>
        <v>581.53303683332103</v>
      </c>
      <c r="CY61" s="62">
        <f ca="1">AVERAGE(OFFSET($CX$3,0,0,'Données projet'!$E$13+1,1))-AVERAGE(OFFSET($H$3,0,0,'Données projet'!$E$13+1,1))</f>
        <v>346.82725381974132</v>
      </c>
      <c r="CZ61" s="62">
        <f t="shared" si="42"/>
        <v>254.09787950201044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>
        <f>EXP(-LN(2)/35)*DF60+(1-EXP(-LN(2)/35))/(LN(2)/35)*DB61*DC61*VLOOKUP('Données projet'!$B$13,Paramètres!$A$1:$I$89,3,0)*0.475*44/12</f>
        <v>0</v>
      </c>
      <c r="DG61" s="23">
        <f>EXP(-LN(2)/25)*DG60+(1-EXP(-LN(2)/25))/(LN(2)/25)*Calculateur!DB61*Calculateur!DD61*VLOOKUP('Données projet'!$B$13,Paramètres!$A$1:$I$89,3,0)*0.475*44/12</f>
        <v>0</v>
      </c>
      <c r="DH61" s="23">
        <f>EXP(-LN(2)/2)*DH60+(1-EXP(-LN(2)/2))/(LN(2)/2)*DB61*DE61*VLOOKUP('Données projet'!$B$13,Paramètres!$A$1:$I$89,3,0)*0.475*44/12</f>
        <v>0</v>
      </c>
      <c r="DI61" s="24">
        <f t="shared" si="15"/>
        <v>0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5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2">
        <f t="shared" si="32"/>
        <v>0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18.333333333333332</v>
      </c>
      <c r="H62" s="70">
        <f t="shared" si="1"/>
        <v>183.33333333333334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7.6</v>
      </c>
      <c r="N62" s="14">
        <f>IF('Données projet'!$A$36&gt;35,N61+M62-V61,IF(A62&lt;'Données projet'!$A$36,$K$205^A62,IF(A62='Données projet'!$A$36,'Données projet'!$B$36,N61+M62-V61)))</f>
        <v>227.39999999999998</v>
      </c>
      <c r="O62" s="14">
        <f>N62*VLOOKUP('Données projet'!$B$9,Paramètres!$A$1:$I$89,3,0)*VLOOKUP('Données projet'!$B$9,Paramètres!$A$1:$I$89,5,0)</f>
        <v>205.75151999999994</v>
      </c>
      <c r="P62" s="14">
        <f t="shared" si="33"/>
        <v>51.006084477955554</v>
      </c>
      <c r="Q62" s="22">
        <f t="shared" si="53"/>
        <v>447.18616113243911</v>
      </c>
      <c r="R62" s="62">
        <f t="shared" si="0"/>
        <v>707.87556832628184</v>
      </c>
      <c r="S62" s="62">
        <f ca="1">AVERAGE(OFFSET($R$3,0,0,'Données projet'!$E$9+1,1))-AVERAGE(OFFSET($H$3,0,0,'Données projet'!$E$9+1,1))</f>
        <v>469.67944008675863</v>
      </c>
      <c r="T62" s="62">
        <f t="shared" si="34"/>
        <v>266.11908070867173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0</v>
      </c>
      <c r="AA62" s="23">
        <f>EXP(-LN(2)/25)*AA61+(1-EXP(-LN(2)/25))/(LN(2)/25)*Calculateur!V62*Calculateur!X62*VLOOKUP('Données projet'!$B$9,Paramètres!$A$1:$I$89,3,0)*0.475*44/12</f>
        <v>0</v>
      </c>
      <c r="AB62" s="23">
        <f>EXP(-LN(2)/2)*AB61+(1-EXP(-LN(2)/2))/(LN(2)/2)*V62*Y62*VLOOKUP('Données projet'!$B$9,Paramètres!$A$1:$I$89,3,0)*0.475*44/12</f>
        <v>0</v>
      </c>
      <c r="AC62" s="24">
        <f t="shared" si="3"/>
        <v>0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4.8717948717948731</v>
      </c>
      <c r="AI62" s="14">
        <f>IF('Données projet'!$A$62&gt;35,AI61+AH62-AQ61,IF(A62&lt;'Données projet'!$A$62,$AF$205^A62,IF(A62='Données projet'!$A$62,'Données projet'!$B$62,AI61+AH62-AQ61)))</f>
        <v>180.38461538461524</v>
      </c>
      <c r="AJ62" s="14">
        <f>AI62*VLOOKUP('Données projet'!$B$10,Paramètres!$A$1:$I$89,3,0)*VLOOKUP('Données projet'!$B$10,Paramètres!$A$1:$I$89,5,0)</f>
        <v>171.65399999999985</v>
      </c>
      <c r="AK62" s="14">
        <f t="shared" si="35"/>
        <v>43.460255556663185</v>
      </c>
      <c r="AL62" s="22">
        <f t="shared" si="4"/>
        <v>374.65732842785474</v>
      </c>
      <c r="AM62" s="62">
        <f t="shared" si="5"/>
        <v>635.34673562169746</v>
      </c>
      <c r="AN62" s="62">
        <f ca="1">AVERAGE(OFFSET($AM$3,0,0,'Données projet'!$E$10+1,1))-AVERAGE(OFFSET($H$3,0,0,'Données projet'!$E$10+1,1))</f>
        <v>400.48230125343474</v>
      </c>
      <c r="AO62" s="62">
        <f t="shared" si="36"/>
        <v>275.67023303885048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0</v>
      </c>
      <c r="AV62" s="23">
        <f>EXP(-LN(2)/25)*AV61+(1-EXP(-LN(2)/25))/(LN(2)/25)*Calculateur!AQ62*Calculateur!AS62*VLOOKUP('Données projet'!$B$10,Paramètres!$A$1:$I$89,3,0)*0.475*44/12</f>
        <v>0</v>
      </c>
      <c r="AW62" s="23">
        <f>EXP(-LN(2)/2)*AW61+(1-EXP(-LN(2)/2))/(LN(2)/2)*AQ62*AT62*VLOOKUP('Données projet'!$B$10,Paramètres!$A$1:$I$89,3,0)*0.475*44/12</f>
        <v>0</v>
      </c>
      <c r="AX62" s="23">
        <f t="shared" si="6"/>
        <v>0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7.6</v>
      </c>
      <c r="BD62" s="13">
        <f>IF('Données projet'!$A$88&gt;35,BD61+BC62-BL61,IF(A62&lt;'Données projet'!$A$88,$BA$205^A62,IF(A62='Données projet'!$A$88,'Données projet'!$B$88,BD61+BC62-BL61)))</f>
        <v>227.39999999999998</v>
      </c>
      <c r="BE62" s="14">
        <f>BD62*VLOOKUP('Données projet'!$B$11,Paramètres!$A$1:$I$89,3,0)*VLOOKUP('Données projet'!$B$11,Paramètres!$A$1:$I$89,5,0)</f>
        <v>219.94127999999995</v>
      </c>
      <c r="BF62" s="14">
        <f t="shared" si="37"/>
        <v>54.102123020446285</v>
      </c>
      <c r="BG62" s="22">
        <f t="shared" si="7"/>
        <v>477.29226026061059</v>
      </c>
      <c r="BH62" s="62">
        <f t="shared" si="8"/>
        <v>737.98166745445337</v>
      </c>
      <c r="BI62" s="62">
        <f ca="1">AVERAGE(OFFSET($BH$3,0,0,'Données projet'!$E$11+1,1))-AVERAGE(OFFSET($H$3,0,0,'Données projet'!$E$11+1,1))</f>
        <v>496.33873798282525</v>
      </c>
      <c r="BJ62" s="62">
        <f t="shared" si="38"/>
        <v>280.25465074992246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>
        <f>EXP(-LN(2)/35)*BP61+(1-EXP(-LN(2)/35))/(LN(2)/35)*BL62*BM62*VLOOKUP('Données projet'!$B$11,Paramètres!$A$1:$I$89,3,0)*0.475*44/12</f>
        <v>0</v>
      </c>
      <c r="BQ62" s="23">
        <f>EXP(-LN(2)/25)*BQ61+(1-EXP(-LN(2)/25))/(LN(2)/25)*Calculateur!BL62*Calculateur!BN62*VLOOKUP('Données projet'!$B$11,Paramètres!$A$1:$I$89,3,0)*0.475*44/12</f>
        <v>0</v>
      </c>
      <c r="BR62" s="23">
        <f>EXP(-LN(2)/2)*BR61+(1-EXP(-LN(2)/2))/(LN(2)/2)*BL62*BO62*VLOOKUP('Données projet'!$B$11,Paramètres!$A$1:$I$89,3,0)*0.475*44/12</f>
        <v>0</v>
      </c>
      <c r="BS62" s="24">
        <f t="shared" si="9"/>
        <v>0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4.2</v>
      </c>
      <c r="BY62" s="13">
        <f>IF('Données projet'!$A$114&gt;35,BY61+BX62-CG61,IF(A62&lt;'Données projet'!$A$114,$BV$205^A62,IF(A62='Données projet'!$A$114,'Données projet'!$B$114,BY61+BX62-CG61)))</f>
        <v>190.79999999999995</v>
      </c>
      <c r="BZ62" s="14">
        <f>BY62*VLOOKUP('Données projet'!$B$12,Paramètres!$A$1:$I$89,3,0)*VLOOKUP('Données projet'!$B$12,Paramètres!$A$1:$I$89,5,0)</f>
        <v>166.68287999999998</v>
      </c>
      <c r="CA62" s="14">
        <f t="shared" si="39"/>
        <v>42.346249176975</v>
      </c>
      <c r="CB62" s="22">
        <f t="shared" si="10"/>
        <v>364.05906664989806</v>
      </c>
      <c r="CC62" s="62">
        <f t="shared" si="11"/>
        <v>624.74847384374084</v>
      </c>
      <c r="CD62" s="62">
        <f ca="1">AVERAGE(OFFSET($CC$3,0,0,'Données projet'!$E$12+1,1))-AVERAGE(OFFSET($H$3,0,0,'Données projet'!$E$12+1,1))</f>
        <v>298.56812743477741</v>
      </c>
      <c r="CE62" s="62">
        <f t="shared" si="40"/>
        <v>276.01618888357268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>
        <f>EXP(-LN(2)/35)*CK61+(1-EXP(-LN(2)/35))/(LN(2)/35)*CG62*CH62*VLOOKUP('Données projet'!$B$12,Paramètres!$A$1:$I$89,3,0)*0.475*44/12</f>
        <v>0</v>
      </c>
      <c r="CL62" s="23">
        <f>EXP(-LN(2)/25)*CL61+(1-EXP(-LN(2)/25))/(LN(2)/25)*Calculateur!CG62*Calculateur!CI62*VLOOKUP('Données projet'!$B$12,Paramètres!$A$1:$I$89,3,0)*0.475*44/12</f>
        <v>0</v>
      </c>
      <c r="CM62" s="23">
        <f>EXP(-LN(2)/2)*CM61+(1-EXP(-LN(2)/2))/(LN(2)/2)*CG62*CJ62*VLOOKUP('Données projet'!$B$12,Paramètres!$A$1:$I$89,3,0)*0.475*44/12</f>
        <v>0</v>
      </c>
      <c r="CN62" s="24">
        <f t="shared" si="12"/>
        <v>0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5.3846153846153815</v>
      </c>
      <c r="CT62" s="13">
        <f>IF('Données projet'!$A$140&gt;35,CT61+CS62-DB61,IF(A62&lt;'Données projet'!$A$140,$CQ$205^A62,IF(A62='Données projet'!$A$140,'Données projet'!$B$140,CT61+CS62-DB61)))</f>
        <v>224.10256410256403</v>
      </c>
      <c r="CU62" s="18">
        <f>CT62*VLOOKUP('Données projet'!$B$13,Paramètres!$A$1:$I$89,3,0)*VLOOKUP('Données projet'!$B$13,Paramètres!$A$1:$I$89,5,0)</f>
        <v>150.32799999999997</v>
      </c>
      <c r="CV62" s="14">
        <f t="shared" si="41"/>
        <v>38.653115319393493</v>
      </c>
      <c r="CW62" s="22">
        <f t="shared" si="13"/>
        <v>329.14210918127691</v>
      </c>
      <c r="CX62" s="62">
        <f t="shared" si="14"/>
        <v>589.83151637511969</v>
      </c>
      <c r="CY62" s="62">
        <f ca="1">AVERAGE(OFFSET($CX$3,0,0,'Données projet'!$E$13+1,1))-AVERAGE(OFFSET($H$3,0,0,'Données projet'!$E$13+1,1))</f>
        <v>346.82725381974132</v>
      </c>
      <c r="CZ62" s="62">
        <f t="shared" si="42"/>
        <v>254.09787950201044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>
        <f>EXP(-LN(2)/35)*DF61+(1-EXP(-LN(2)/35))/(LN(2)/35)*DB62*DC62*VLOOKUP('Données projet'!$B$13,Paramètres!$A$1:$I$89,3,0)*0.475*44/12</f>
        <v>0</v>
      </c>
      <c r="DG62" s="23">
        <f>EXP(-LN(2)/25)*DG61+(1-EXP(-LN(2)/25))/(LN(2)/25)*Calculateur!DB62*Calculateur!DD62*VLOOKUP('Données projet'!$B$13,Paramètres!$A$1:$I$89,3,0)*0.475*44/12</f>
        <v>0</v>
      </c>
      <c r="DH62" s="23">
        <f>EXP(-LN(2)/2)*DH61+(1-EXP(-LN(2)/2))/(LN(2)/2)*DB62*DE62*VLOOKUP('Données projet'!$B$13,Paramètres!$A$1:$I$89,3,0)*0.475*44/12</f>
        <v>0</v>
      </c>
      <c r="DI62" s="24">
        <f t="shared" si="15"/>
        <v>0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5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2">
        <f t="shared" si="32"/>
        <v>0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18.333333333333332</v>
      </c>
      <c r="H63" s="70">
        <f t="shared" si="1"/>
        <v>183.33333333333334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>
        <f>VLOOKUP(A63,'Données projet'!$A$35:$I$55,2,0)</f>
        <v>235</v>
      </c>
      <c r="L63" s="13">
        <f>VLOOKUP(A63,'Données projet'!$A$35:$I$55,9,0)</f>
        <v>7.6</v>
      </c>
      <c r="M63" s="13">
        <f t="array" ref="M63">INDEX(L:L,MIN(IF(ISNUMBER(L63:L259),ROW(L63:L259),"")))</f>
        <v>7.6</v>
      </c>
      <c r="N63" s="14">
        <f>IF('Données projet'!$A$36&gt;35,N62+M63-V62,IF(A63&lt;'Données projet'!$A$36,$K$205^A63,IF(A63='Données projet'!$A$36,'Données projet'!$B$36,N62+M63-V62)))</f>
        <v>234.99999999999997</v>
      </c>
      <c r="O63" s="14">
        <f>N63*VLOOKUP('Données projet'!$B$9,Paramètres!$A$1:$I$89,3,0)*VLOOKUP('Données projet'!$B$9,Paramètres!$A$1:$I$89,5,0)</f>
        <v>212.62799999999999</v>
      </c>
      <c r="P63" s="14">
        <f t="shared" si="33"/>
        <v>52.509453483719035</v>
      </c>
      <c r="Q63" s="22">
        <f t="shared" si="53"/>
        <v>461.78106481747727</v>
      </c>
      <c r="R63" s="62">
        <f t="shared" si="0"/>
        <v>723.03677114895481</v>
      </c>
      <c r="S63" s="62">
        <f ca="1">AVERAGE(OFFSET($R$3,0,0,'Données projet'!$E$9+1,1))-AVERAGE(OFFSET($H$3,0,0,'Données projet'!$E$9+1,1))</f>
        <v>469.67944008675863</v>
      </c>
      <c r="T63" s="62">
        <f t="shared" si="34"/>
        <v>266.11908070867173</v>
      </c>
      <c r="U63" s="16">
        <f>IF(ISNA(VLOOKUP(A63,'Données projet'!$A$35:$I$55,3,0)),0,VLOOKUP(A63,'Données projet'!$A$35:$I$55,3,0))</f>
        <v>4</v>
      </c>
      <c r="V63" s="16">
        <f>IF(ISNA(VLOOKUP(A63,'Données projet'!$A$35:$I$55,4,0)),0,VLOOKUP(A63,'Données projet'!$A$35:$I$55,4,0))</f>
        <v>42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0</v>
      </c>
      <c r="AA63" s="23">
        <f>EXP(-LN(2)/25)*AA62+(1-EXP(-LN(2)/25))/(LN(2)/25)*Calculateur!V63*Calculateur!X63*VLOOKUP('Données projet'!$B$9,Paramètres!$A$1:$I$89,3,0)*0.475*44/12</f>
        <v>0</v>
      </c>
      <c r="AB63" s="23">
        <f>EXP(-LN(2)/2)*AB62+(1-EXP(-LN(2)/2))/(LN(2)/2)*V63*Y63*VLOOKUP('Données projet'!$B$9,Paramètres!$A$1:$I$89,3,0)*0.475*44/12</f>
        <v>0</v>
      </c>
      <c r="AC63" s="24">
        <f t="shared" si="3"/>
        <v>0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>
        <f>VLOOKUP(A63,'Données projet'!$A$61:$I$81,2,0)</f>
        <v>185.25641025641025</v>
      </c>
      <c r="AG63" s="13">
        <f>VLOOKUP(A63,'Données projet'!$A$61:$I$81,9,0)</f>
        <v>4.8717948717948731</v>
      </c>
      <c r="AH63" s="13">
        <f t="array" ref="AH63">INDEX(AG:AG,MIN(IF(ISNUMBER(AG63:AG259),ROW(AG63:AG259),"")))</f>
        <v>4.8717948717948731</v>
      </c>
      <c r="AI63" s="14">
        <f>IF('Données projet'!$A$62&gt;35,AI62+AH63-AQ62,IF(A63&lt;'Données projet'!$A$62,$AF$205^A63,IF(A63='Données projet'!$A$62,'Données projet'!$B$62,AI62+AH63-AQ62)))</f>
        <v>185.25641025641011</v>
      </c>
      <c r="AJ63" s="14">
        <f>AI63*VLOOKUP('Données projet'!$B$10,Paramètres!$A$1:$I$89,3,0)*VLOOKUP('Données projet'!$B$10,Paramètres!$A$1:$I$89,5,0)</f>
        <v>176.28999999999985</v>
      </c>
      <c r="AK63" s="14">
        <f t="shared" si="35"/>
        <v>44.495781710679061</v>
      </c>
      <c r="AL63" s="22">
        <f t="shared" si="4"/>
        <v>384.5352364794324</v>
      </c>
      <c r="AM63" s="62">
        <f t="shared" si="5"/>
        <v>645.79094281090988</v>
      </c>
      <c r="AN63" s="62">
        <f ca="1">AVERAGE(OFFSET($AM$3,0,0,'Données projet'!$E$10+1,1))-AVERAGE(OFFSET($H$3,0,0,'Données projet'!$E$10+1,1))</f>
        <v>400.48230125343474</v>
      </c>
      <c r="AO63" s="62">
        <f t="shared" si="36"/>
        <v>275.67023303885048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0</v>
      </c>
      <c r="AV63" s="23">
        <f>EXP(-LN(2)/25)*AV62+(1-EXP(-LN(2)/25))/(LN(2)/25)*Calculateur!AQ63*Calculateur!AS63*VLOOKUP('Données projet'!$B$10,Paramètres!$A$1:$I$89,3,0)*0.475*44/12</f>
        <v>0</v>
      </c>
      <c r="AW63" s="23">
        <f>EXP(-LN(2)/2)*AW62+(1-EXP(-LN(2)/2))/(LN(2)/2)*AQ63*AT63*VLOOKUP('Données projet'!$B$10,Paramètres!$A$1:$I$89,3,0)*0.475*44/12</f>
        <v>0</v>
      </c>
      <c r="AX63" s="23">
        <f t="shared" si="6"/>
        <v>0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>
        <f>VLOOKUP(A63,'Données projet'!$A$87:$I$107,2,0)</f>
        <v>235</v>
      </c>
      <c r="BB63" s="13">
        <f>VLOOKUP(A63,'Données projet'!$A$87:$I$107,9,0)</f>
        <v>7.6</v>
      </c>
      <c r="BC63" s="13">
        <f t="array" ref="BC63">INDEX(BB:BB,MIN(IF(ISNUMBER(BB63:BB259),ROW(BB63:BB259),"")))</f>
        <v>7.6</v>
      </c>
      <c r="BD63" s="13">
        <f>IF('Données projet'!$A$88&gt;35,BD62+BC63-BL62,IF(A63&lt;'Données projet'!$A$88,$BA$205^A63,IF(A63='Données projet'!$A$88,'Données projet'!$B$88,BD62+BC63-BL62)))</f>
        <v>234.99999999999997</v>
      </c>
      <c r="BE63" s="14">
        <f>BD63*VLOOKUP('Données projet'!$B$11,Paramètres!$A$1:$I$89,3,0)*VLOOKUP('Données projet'!$B$11,Paramètres!$A$1:$I$89,5,0)</f>
        <v>227.292</v>
      </c>
      <c r="BF63" s="14">
        <f t="shared" si="37"/>
        <v>55.6967456174837</v>
      </c>
      <c r="BG63" s="22">
        <f t="shared" si="7"/>
        <v>492.87206528378402</v>
      </c>
      <c r="BH63" s="62">
        <f t="shared" si="8"/>
        <v>754.12777161526151</v>
      </c>
      <c r="BI63" s="62">
        <f ca="1">AVERAGE(OFFSET($BH$3,0,0,'Données projet'!$E$11+1,1))-AVERAGE(OFFSET($H$3,0,0,'Données projet'!$E$11+1,1))</f>
        <v>496.33873798282525</v>
      </c>
      <c r="BJ63" s="62">
        <f t="shared" si="38"/>
        <v>280.25465074992246</v>
      </c>
      <c r="BK63" s="16">
        <f>IF(ISNA(VLOOKUP(A63,'Données projet'!$A$87:$I$107,3,0)),0,VLOOKUP(A63,'Données projet'!$A$87:$I$107,3,0))</f>
        <v>4</v>
      </c>
      <c r="BL63" s="16">
        <f>IF(ISNA(VLOOKUP(A63,'Données projet'!$A$87:$I$107,4,0)),0,VLOOKUP(A63,'Données projet'!$A$87:$I$107,4,0))</f>
        <v>42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>
        <f>EXP(-LN(2)/35)*BP62+(1-EXP(-LN(2)/35))/(LN(2)/35)*BL63*BM63*VLOOKUP('Données projet'!$B$11,Paramètres!$A$1:$I$89,3,0)*0.475*44/12</f>
        <v>0</v>
      </c>
      <c r="BQ63" s="23">
        <f>EXP(-LN(2)/25)*BQ62+(1-EXP(-LN(2)/25))/(LN(2)/25)*Calculateur!BL63*Calculateur!BN63*VLOOKUP('Données projet'!$B$11,Paramètres!$A$1:$I$89,3,0)*0.475*44/12</f>
        <v>0</v>
      </c>
      <c r="BR63" s="23">
        <f>EXP(-LN(2)/2)*BR62+(1-EXP(-LN(2)/2))/(LN(2)/2)*BL63*BO63*VLOOKUP('Données projet'!$B$11,Paramètres!$A$1:$I$89,3,0)*0.475*44/12</f>
        <v>0</v>
      </c>
      <c r="BS63" s="24">
        <f t="shared" si="9"/>
        <v>0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>
        <f>VLOOKUP(A63,'Données projet'!$A$113:$I$133,2,0)</f>
        <v>195</v>
      </c>
      <c r="BW63" s="13">
        <f>VLOOKUP(A63,'Données projet'!$A$113:$I$133,9,0)</f>
        <v>4.2</v>
      </c>
      <c r="BX63" s="13">
        <f t="array" ref="BX63">INDEX(BW:BW,MIN(IF(ISNUMBER(BW63:BW259),ROW(BW63:BW259),"")))</f>
        <v>4.2</v>
      </c>
      <c r="BY63" s="13">
        <f>IF('Données projet'!$A$114&gt;35,BY62+BX63-CG62,IF(A63&lt;'Données projet'!$A$114,$BV$205^A63,IF(A63='Données projet'!$A$114,'Données projet'!$B$114,BY62+BX63-CG62)))</f>
        <v>194.99999999999994</v>
      </c>
      <c r="BZ63" s="14">
        <f>BY63*VLOOKUP('Données projet'!$B$12,Paramètres!$A$1:$I$89,3,0)*VLOOKUP('Données projet'!$B$12,Paramètres!$A$1:$I$89,5,0)</f>
        <v>170.35199999999998</v>
      </c>
      <c r="CA63" s="14">
        <f t="shared" si="39"/>
        <v>43.168850382694451</v>
      </c>
      <c r="CB63" s="22">
        <f t="shared" si="10"/>
        <v>371.88214774985937</v>
      </c>
      <c r="CC63" s="62">
        <f t="shared" si="11"/>
        <v>633.13785408133685</v>
      </c>
      <c r="CD63" s="62">
        <f ca="1">AVERAGE(OFFSET($CC$3,0,0,'Données projet'!$E$12+1,1))-AVERAGE(OFFSET($H$3,0,0,'Données projet'!$E$12+1,1))</f>
        <v>298.56812743477741</v>
      </c>
      <c r="CE63" s="62">
        <f t="shared" si="40"/>
        <v>276.01618888357268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>
        <f>EXP(-LN(2)/35)*CK62+(1-EXP(-LN(2)/35))/(LN(2)/35)*CG63*CH63*VLOOKUP('Données projet'!$B$12,Paramètres!$A$1:$I$89,3,0)*0.475*44/12</f>
        <v>0</v>
      </c>
      <c r="CL63" s="23">
        <f>EXP(-LN(2)/25)*CL62+(1-EXP(-LN(2)/25))/(LN(2)/25)*Calculateur!CG63*Calculateur!CI63*VLOOKUP('Données projet'!$B$12,Paramètres!$A$1:$I$89,3,0)*0.475*44/12</f>
        <v>0</v>
      </c>
      <c r="CM63" s="23">
        <f>EXP(-LN(2)/2)*CM62+(1-EXP(-LN(2)/2))/(LN(2)/2)*CG63*CJ63*VLOOKUP('Données projet'!$B$12,Paramètres!$A$1:$I$89,3,0)*0.475*44/12</f>
        <v>0</v>
      </c>
      <c r="CN63" s="24">
        <f t="shared" si="12"/>
        <v>0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>
        <f>VLOOKUP(A63,'Données projet'!$A$139:$I$159,2,0)</f>
        <v>229.48717948717947</v>
      </c>
      <c r="CR63" s="13">
        <f>VLOOKUP(A63,'Données projet'!$A$139:$I$159,9,0)</f>
        <v>5.3846153846153815</v>
      </c>
      <c r="CS63" s="13">
        <f t="array" ref="CS63">INDEX(CR:CR,MIN(IF(ISNUMBER(CR63:CR259),ROW(CR63:CR259),"")))</f>
        <v>5.3846153846153815</v>
      </c>
      <c r="CT63" s="13">
        <f>IF('Données projet'!$A$140&gt;35,CT62+CS63-DB62,IF(A63&lt;'Données projet'!$A$140,$CQ$205^A63,IF(A63='Données projet'!$A$140,'Données projet'!$B$140,CT62+CS63-DB62)))</f>
        <v>229.48717948717942</v>
      </c>
      <c r="CU63" s="18">
        <f>CT63*VLOOKUP('Données projet'!$B$13,Paramètres!$A$1:$I$89,3,0)*VLOOKUP('Données projet'!$B$13,Paramètres!$A$1:$I$89,5,0)</f>
        <v>153.93999999999997</v>
      </c>
      <c r="CV63" s="14">
        <f t="shared" si="41"/>
        <v>39.472609171514129</v>
      </c>
      <c r="CW63" s="22">
        <f t="shared" si="13"/>
        <v>336.86029430705372</v>
      </c>
      <c r="CX63" s="62">
        <f t="shared" si="14"/>
        <v>598.1160006385312</v>
      </c>
      <c r="CY63" s="62">
        <f ca="1">AVERAGE(OFFSET($CX$3,0,0,'Données projet'!$E$13+1,1))-AVERAGE(OFFSET($H$3,0,0,'Données projet'!$E$13+1,1))</f>
        <v>346.82725381974132</v>
      </c>
      <c r="CZ63" s="62">
        <f t="shared" si="42"/>
        <v>254.09787950201044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>
        <f>EXP(-LN(2)/35)*DF62+(1-EXP(-LN(2)/35))/(LN(2)/35)*DB63*DC63*VLOOKUP('Données projet'!$B$13,Paramètres!$A$1:$I$89,3,0)*0.475*44/12</f>
        <v>0</v>
      </c>
      <c r="DG63" s="23">
        <f>EXP(-LN(2)/25)*DG62+(1-EXP(-LN(2)/25))/(LN(2)/25)*Calculateur!DB63*Calculateur!DD63*VLOOKUP('Données projet'!$B$13,Paramètres!$A$1:$I$89,3,0)*0.475*44/12</f>
        <v>0</v>
      </c>
      <c r="DH63" s="23">
        <f>EXP(-LN(2)/2)*DH62+(1-EXP(-LN(2)/2))/(LN(2)/2)*DB63*DE63*VLOOKUP('Données projet'!$B$13,Paramètres!$A$1:$I$89,3,0)*0.475*44/12</f>
        <v>0</v>
      </c>
      <c r="DI63" s="24">
        <f t="shared" si="15"/>
        <v>0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5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2">
        <f t="shared" si="32"/>
        <v>0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18.333333333333332</v>
      </c>
      <c r="H64" s="70">
        <f t="shared" si="1"/>
        <v>183.33333333333334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7.2</v>
      </c>
      <c r="N64" s="14">
        <f>IF('Données projet'!$A$36&gt;35,N63+M64-V63,IF(A64&lt;'Données projet'!$A$36,$K$205^A64,IF(A64='Données projet'!$A$36,'Données projet'!$B$36,N63+M64-V63)))</f>
        <v>200.19999999999996</v>
      </c>
      <c r="O64" s="14">
        <f>N64*VLOOKUP('Données projet'!$B$9,Paramètres!$A$1:$I$89,3,0)*VLOOKUP('Données projet'!$B$9,Paramètres!$A$1:$I$89,5,0)</f>
        <v>181.14095999999995</v>
      </c>
      <c r="P64" s="14">
        <f t="shared" si="33"/>
        <v>45.575935320610945</v>
      </c>
      <c r="Q64" s="22">
        <f t="shared" si="53"/>
        <v>394.86525935006392</v>
      </c>
      <c r="R64" s="62">
        <f t="shared" si="0"/>
        <v>656.67744079519321</v>
      </c>
      <c r="S64" s="62">
        <f ca="1">AVERAGE(OFFSET($R$3,0,0,'Données projet'!$E$9+1,1))-AVERAGE(OFFSET($H$3,0,0,'Données projet'!$E$9+1,1))</f>
        <v>469.67944008675863</v>
      </c>
      <c r="T64" s="62">
        <f t="shared" si="34"/>
        <v>266.11908070867173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0</v>
      </c>
      <c r="AA64" s="23">
        <f>EXP(-LN(2)/25)*AA63+(1-EXP(-LN(2)/25))/(LN(2)/25)*Calculateur!V64*Calculateur!X64*VLOOKUP('Données projet'!$B$9,Paramètres!$A$1:$I$89,3,0)*0.475*44/12</f>
        <v>0</v>
      </c>
      <c r="AB64" s="23">
        <f>EXP(-LN(2)/2)*AB63+(1-EXP(-LN(2)/2))/(LN(2)/2)*V64*Y64*VLOOKUP('Données projet'!$B$9,Paramètres!$A$1:$I$89,3,0)*0.475*44/12</f>
        <v>0</v>
      </c>
      <c r="AC64" s="24">
        <f t="shared" si="3"/>
        <v>0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4.6153846153846132</v>
      </c>
      <c r="AI64" s="14">
        <f>IF('Données projet'!$A$62&gt;35,AI63+AH64-AQ63,IF(A64&lt;'Données projet'!$A$62,$AF$205^A64,IF(A64='Données projet'!$A$62,'Données projet'!$B$62,AI63+AH64-AQ63)))</f>
        <v>189.87179487179472</v>
      </c>
      <c r="AJ64" s="14">
        <f>AI64*VLOOKUP('Données projet'!$B$10,Paramètres!$A$1:$I$89,3,0)*VLOOKUP('Données projet'!$B$10,Paramètres!$A$1:$I$89,5,0)</f>
        <v>180.68199999999987</v>
      </c>
      <c r="AK64" s="14">
        <f t="shared" si="35"/>
        <v>45.473885189516494</v>
      </c>
      <c r="AL64" s="22">
        <f t="shared" si="4"/>
        <v>393.88816670507435</v>
      </c>
      <c r="AM64" s="62">
        <f t="shared" si="5"/>
        <v>655.70034815020369</v>
      </c>
      <c r="AN64" s="62">
        <f ca="1">AVERAGE(OFFSET($AM$3,0,0,'Données projet'!$E$10+1,1))-AVERAGE(OFFSET($H$3,0,0,'Données projet'!$E$10+1,1))</f>
        <v>400.48230125343474</v>
      </c>
      <c r="AO64" s="62">
        <f t="shared" si="36"/>
        <v>275.67023303885048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0</v>
      </c>
      <c r="AV64" s="23">
        <f>EXP(-LN(2)/25)*AV63+(1-EXP(-LN(2)/25))/(LN(2)/25)*Calculateur!AQ64*Calculateur!AS64*VLOOKUP('Données projet'!$B$10,Paramètres!$A$1:$I$89,3,0)*0.475*44/12</f>
        <v>0</v>
      </c>
      <c r="AW64" s="23">
        <f>EXP(-LN(2)/2)*AW63+(1-EXP(-LN(2)/2))/(LN(2)/2)*AQ64*AT64*VLOOKUP('Données projet'!$B$10,Paramètres!$A$1:$I$89,3,0)*0.475*44/12</f>
        <v>0</v>
      </c>
      <c r="AX64" s="23">
        <f t="shared" si="6"/>
        <v>0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7.2</v>
      </c>
      <c r="BD64" s="13">
        <f>IF('Données projet'!$A$88&gt;35,BD63+BC64-BL63,IF(A64&lt;'Données projet'!$A$88,$BA$205^A64,IF(A64='Données projet'!$A$88,'Données projet'!$B$88,BD63+BC64-BL63)))</f>
        <v>200.19999999999996</v>
      </c>
      <c r="BE64" s="14">
        <f>BD64*VLOOKUP('Données projet'!$B$11,Paramètres!$A$1:$I$89,3,0)*VLOOKUP('Données projet'!$B$11,Paramètres!$A$1:$I$89,5,0)</f>
        <v>193.63343999999998</v>
      </c>
      <c r="BF64" s="14">
        <f t="shared" si="37"/>
        <v>48.342367086681229</v>
      </c>
      <c r="BG64" s="22">
        <f t="shared" si="7"/>
        <v>421.44119734263637</v>
      </c>
      <c r="BH64" s="62">
        <f t="shared" si="8"/>
        <v>683.25337878776577</v>
      </c>
      <c r="BI64" s="62">
        <f ca="1">AVERAGE(OFFSET($BH$3,0,0,'Données projet'!$E$11+1,1))-AVERAGE(OFFSET($H$3,0,0,'Données projet'!$E$11+1,1))</f>
        <v>496.33873798282525</v>
      </c>
      <c r="BJ64" s="62">
        <f t="shared" si="38"/>
        <v>280.25465074992246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>
        <f>EXP(-LN(2)/35)*BP63+(1-EXP(-LN(2)/35))/(LN(2)/35)*BL64*BM64*VLOOKUP('Données projet'!$B$11,Paramètres!$A$1:$I$89,3,0)*0.475*44/12</f>
        <v>0</v>
      </c>
      <c r="BQ64" s="23">
        <f>EXP(-LN(2)/25)*BQ63+(1-EXP(-LN(2)/25))/(LN(2)/25)*Calculateur!BL64*Calculateur!BN64*VLOOKUP('Données projet'!$B$11,Paramètres!$A$1:$I$89,3,0)*0.475*44/12</f>
        <v>0</v>
      </c>
      <c r="BR64" s="23">
        <f>EXP(-LN(2)/2)*BR63+(1-EXP(-LN(2)/2))/(LN(2)/2)*BL64*BO64*VLOOKUP('Données projet'!$B$11,Paramètres!$A$1:$I$89,3,0)*0.475*44/12</f>
        <v>0</v>
      </c>
      <c r="BS64" s="24">
        <f t="shared" si="9"/>
        <v>0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3.2</v>
      </c>
      <c r="BY64" s="13">
        <f>IF('Données projet'!$A$114&gt;35,BY63+BX64-CG63,IF(A64&lt;'Données projet'!$A$114,$BV$205^A64,IF(A64='Données projet'!$A$114,'Données projet'!$B$114,BY63+BX64-CG63)))</f>
        <v>198.19999999999993</v>
      </c>
      <c r="BZ64" s="14">
        <f>BY64*VLOOKUP('Données projet'!$B$12,Paramètres!$A$1:$I$89,3,0)*VLOOKUP('Données projet'!$B$12,Paramètres!$A$1:$I$89,5,0)</f>
        <v>173.14751999999996</v>
      </c>
      <c r="CA64" s="14">
        <f t="shared" si="39"/>
        <v>43.794208927254033</v>
      </c>
      <c r="CB64" s="22">
        <f t="shared" si="10"/>
        <v>377.84017788163402</v>
      </c>
      <c r="CC64" s="62">
        <f t="shared" si="11"/>
        <v>639.65235932676342</v>
      </c>
      <c r="CD64" s="62">
        <f ca="1">AVERAGE(OFFSET($CC$3,0,0,'Données projet'!$E$12+1,1))-AVERAGE(OFFSET($H$3,0,0,'Données projet'!$E$12+1,1))</f>
        <v>298.56812743477741</v>
      </c>
      <c r="CE64" s="62">
        <f t="shared" si="40"/>
        <v>276.01618888357268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>
        <f>EXP(-LN(2)/35)*CK63+(1-EXP(-LN(2)/35))/(LN(2)/35)*CG64*CH64*VLOOKUP('Données projet'!$B$12,Paramètres!$A$1:$I$89,3,0)*0.475*44/12</f>
        <v>0</v>
      </c>
      <c r="CL64" s="23">
        <f>EXP(-LN(2)/25)*CL63+(1-EXP(-LN(2)/25))/(LN(2)/25)*Calculateur!CG64*Calculateur!CI64*VLOOKUP('Données projet'!$B$12,Paramètres!$A$1:$I$89,3,0)*0.475*44/12</f>
        <v>0</v>
      </c>
      <c r="CM64" s="23">
        <f>EXP(-LN(2)/2)*CM63+(1-EXP(-LN(2)/2))/(LN(2)/2)*CG64*CJ64*VLOOKUP('Données projet'!$B$12,Paramètres!$A$1:$I$89,3,0)*0.475*44/12</f>
        <v>0</v>
      </c>
      <c r="CN64" s="24">
        <f t="shared" si="12"/>
        <v>0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5.1282051282051269</v>
      </c>
      <c r="CT64" s="13">
        <f>IF('Données projet'!$A$140&gt;35,CT63+CS64-DB63,IF(A64&lt;'Données projet'!$A$140,$CQ$205^A64,IF(A64='Données projet'!$A$140,'Données projet'!$B$140,CT63+CS64-DB63)))</f>
        <v>234.61538461538456</v>
      </c>
      <c r="CU64" s="18">
        <f>CT64*VLOOKUP('Données projet'!$B$13,Paramètres!$A$1:$I$89,3,0)*VLOOKUP('Données projet'!$B$13,Paramètres!$A$1:$I$89,5,0)</f>
        <v>157.37999999999997</v>
      </c>
      <c r="CV64" s="14">
        <f t="shared" si="41"/>
        <v>40.251000442952474</v>
      </c>
      <c r="CW64" s="22">
        <f t="shared" si="13"/>
        <v>344.2073257714755</v>
      </c>
      <c r="CX64" s="62">
        <f t="shared" si="14"/>
        <v>606.01950721660478</v>
      </c>
      <c r="CY64" s="62">
        <f ca="1">AVERAGE(OFFSET($CX$3,0,0,'Données projet'!$E$13+1,1))-AVERAGE(OFFSET($H$3,0,0,'Données projet'!$E$13+1,1))</f>
        <v>346.82725381974132</v>
      </c>
      <c r="CZ64" s="62">
        <f t="shared" si="42"/>
        <v>254.09787950201044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>
        <f>EXP(-LN(2)/35)*DF63+(1-EXP(-LN(2)/35))/(LN(2)/35)*DB64*DC64*VLOOKUP('Données projet'!$B$13,Paramètres!$A$1:$I$89,3,0)*0.475*44/12</f>
        <v>0</v>
      </c>
      <c r="DG64" s="23">
        <f>EXP(-LN(2)/25)*DG63+(1-EXP(-LN(2)/25))/(LN(2)/25)*Calculateur!DB64*Calculateur!DD64*VLOOKUP('Données projet'!$B$13,Paramètres!$A$1:$I$89,3,0)*0.475*44/12</f>
        <v>0</v>
      </c>
      <c r="DH64" s="23">
        <f>EXP(-LN(2)/2)*DH63+(1-EXP(-LN(2)/2))/(LN(2)/2)*DB64*DE64*VLOOKUP('Données projet'!$B$13,Paramètres!$A$1:$I$89,3,0)*0.475*44/12</f>
        <v>0</v>
      </c>
      <c r="DI64" s="24">
        <f t="shared" si="15"/>
        <v>0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5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2">
        <f t="shared" si="32"/>
        <v>0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18.333333333333332</v>
      </c>
      <c r="H65" s="70">
        <f t="shared" si="1"/>
        <v>183.33333333333334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7.2</v>
      </c>
      <c r="N65" s="14">
        <f>IF('Données projet'!$A$36&gt;35,N64+M65-V64,IF(A65&lt;'Données projet'!$A$36,$K$205^A65,IF(A65='Données projet'!$A$36,'Données projet'!$B$36,N64+M65-V64)))</f>
        <v>207.39999999999995</v>
      </c>
      <c r="O65" s="14">
        <f>N65*VLOOKUP('Données projet'!$B$9,Paramètres!$A$1:$I$89,3,0)*VLOOKUP('Données projet'!$B$9,Paramètres!$A$1:$I$89,5,0)</f>
        <v>187.65551999999994</v>
      </c>
      <c r="P65" s="14">
        <f t="shared" si="33"/>
        <v>47.021247649900147</v>
      </c>
      <c r="Q65" s="22">
        <f t="shared" si="53"/>
        <v>408.72870365690932</v>
      </c>
      <c r="R65" s="62">
        <f t="shared" si="0"/>
        <v>671.08770661656058</v>
      </c>
      <c r="S65" s="62">
        <f ca="1">AVERAGE(OFFSET($R$3,0,0,'Données projet'!$E$9+1,1))-AVERAGE(OFFSET($H$3,0,0,'Données projet'!$E$9+1,1))</f>
        <v>469.67944008675863</v>
      </c>
      <c r="T65" s="62">
        <f t="shared" si="34"/>
        <v>266.11908070867173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0</v>
      </c>
      <c r="AA65" s="23">
        <f>EXP(-LN(2)/25)*AA64+(1-EXP(-LN(2)/25))/(LN(2)/25)*Calculateur!V65*Calculateur!X65*VLOOKUP('Données projet'!$B$9,Paramètres!$A$1:$I$89,3,0)*0.475*44/12</f>
        <v>0</v>
      </c>
      <c r="AB65" s="23">
        <f>EXP(-LN(2)/2)*AB64+(1-EXP(-LN(2)/2))/(LN(2)/2)*V65*Y65*VLOOKUP('Données projet'!$B$9,Paramètres!$A$1:$I$89,3,0)*0.475*44/12</f>
        <v>0</v>
      </c>
      <c r="AC65" s="24">
        <f t="shared" si="3"/>
        <v>0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4.6153846153846132</v>
      </c>
      <c r="AI65" s="14">
        <f>IF('Données projet'!$A$62&gt;35,AI64+AH65-AQ64,IF(A65&lt;'Données projet'!$A$62,$AF$205^A65,IF(A65='Données projet'!$A$62,'Données projet'!$B$62,AI64+AH65-AQ64)))</f>
        <v>194.48717948717933</v>
      </c>
      <c r="AJ65" s="14">
        <f>AI65*VLOOKUP('Données projet'!$B$10,Paramètres!$A$1:$I$89,3,0)*VLOOKUP('Données projet'!$B$10,Paramètres!$A$1:$I$89,5,0)</f>
        <v>185.07399999999987</v>
      </c>
      <c r="AK65" s="14">
        <f t="shared" si="35"/>
        <v>46.44922480753754</v>
      </c>
      <c r="AL65" s="22">
        <f t="shared" si="4"/>
        <v>403.236283206461</v>
      </c>
      <c r="AM65" s="62">
        <f t="shared" si="5"/>
        <v>665.59528616611237</v>
      </c>
      <c r="AN65" s="62">
        <f ca="1">AVERAGE(OFFSET($AM$3,0,0,'Données projet'!$E$10+1,1))-AVERAGE(OFFSET($H$3,0,0,'Données projet'!$E$10+1,1))</f>
        <v>400.48230125343474</v>
      </c>
      <c r="AO65" s="62">
        <f t="shared" si="36"/>
        <v>275.67023303885048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0</v>
      </c>
      <c r="AV65" s="23">
        <f>EXP(-LN(2)/25)*AV64+(1-EXP(-LN(2)/25))/(LN(2)/25)*Calculateur!AQ65*Calculateur!AS65*VLOOKUP('Données projet'!$B$10,Paramètres!$A$1:$I$89,3,0)*0.475*44/12</f>
        <v>0</v>
      </c>
      <c r="AW65" s="23">
        <f>EXP(-LN(2)/2)*AW64+(1-EXP(-LN(2)/2))/(LN(2)/2)*AQ65*AT65*VLOOKUP('Données projet'!$B$10,Paramètres!$A$1:$I$89,3,0)*0.475*44/12</f>
        <v>0</v>
      </c>
      <c r="AX65" s="23">
        <f t="shared" si="6"/>
        <v>0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7.2</v>
      </c>
      <c r="BD65" s="13">
        <f>IF('Données projet'!$A$88&gt;35,BD64+BC65-BL64,IF(A65&lt;'Données projet'!$A$88,$BA$205^A65,IF(A65='Données projet'!$A$88,'Données projet'!$B$88,BD64+BC65-BL64)))</f>
        <v>207.39999999999995</v>
      </c>
      <c r="BE65" s="14">
        <f>BD65*VLOOKUP('Données projet'!$B$11,Paramètres!$A$1:$I$89,3,0)*VLOOKUP('Données projet'!$B$11,Paramètres!$A$1:$I$89,5,0)</f>
        <v>200.59727999999996</v>
      </c>
      <c r="BF65" s="14">
        <f t="shared" si="37"/>
        <v>49.875409002022977</v>
      </c>
      <c r="BG65" s="22">
        <f t="shared" si="7"/>
        <v>436.23993334518991</v>
      </c>
      <c r="BH65" s="62">
        <f t="shared" si="8"/>
        <v>698.59893630484123</v>
      </c>
      <c r="BI65" s="62">
        <f ca="1">AVERAGE(OFFSET($BH$3,0,0,'Données projet'!$E$11+1,1))-AVERAGE(OFFSET($H$3,0,0,'Données projet'!$E$11+1,1))</f>
        <v>496.33873798282525</v>
      </c>
      <c r="BJ65" s="62">
        <f t="shared" si="38"/>
        <v>280.25465074992246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>
        <f>EXP(-LN(2)/35)*BP64+(1-EXP(-LN(2)/35))/(LN(2)/35)*BL65*BM65*VLOOKUP('Données projet'!$B$11,Paramètres!$A$1:$I$89,3,0)*0.475*44/12</f>
        <v>0</v>
      </c>
      <c r="BQ65" s="23">
        <f>EXP(-LN(2)/25)*BQ64+(1-EXP(-LN(2)/25))/(LN(2)/25)*Calculateur!BL65*Calculateur!BN65*VLOOKUP('Données projet'!$B$11,Paramètres!$A$1:$I$89,3,0)*0.475*44/12</f>
        <v>0</v>
      </c>
      <c r="BR65" s="23">
        <f>EXP(-LN(2)/2)*BR64+(1-EXP(-LN(2)/2))/(LN(2)/2)*BL65*BO65*VLOOKUP('Données projet'!$B$11,Paramètres!$A$1:$I$89,3,0)*0.475*44/12</f>
        <v>0</v>
      </c>
      <c r="BS65" s="24">
        <f t="shared" si="9"/>
        <v>0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3.2</v>
      </c>
      <c r="BY65" s="13">
        <f>IF('Données projet'!$A$114&gt;35,BY64+BX65-CG64,IF(A65&lt;'Données projet'!$A$114,$BV$205^A65,IF(A65='Données projet'!$A$114,'Données projet'!$B$114,BY64+BX65-CG64)))</f>
        <v>201.39999999999992</v>
      </c>
      <c r="BZ65" s="14">
        <f>BY65*VLOOKUP('Données projet'!$B$12,Paramètres!$A$1:$I$89,3,0)*VLOOKUP('Données projet'!$B$12,Paramètres!$A$1:$I$89,5,0)</f>
        <v>175.94303999999994</v>
      </c>
      <c r="CA65" s="14">
        <f t="shared" si="39"/>
        <v>44.418393276556458</v>
      </c>
      <c r="CB65" s="22">
        <f t="shared" si="10"/>
        <v>383.79616295666898</v>
      </c>
      <c r="CC65" s="62">
        <f t="shared" si="11"/>
        <v>646.15516591632036</v>
      </c>
      <c r="CD65" s="62">
        <f ca="1">AVERAGE(OFFSET($CC$3,0,0,'Données projet'!$E$12+1,1))-AVERAGE(OFFSET($H$3,0,0,'Données projet'!$E$12+1,1))</f>
        <v>298.56812743477741</v>
      </c>
      <c r="CE65" s="62">
        <f t="shared" si="40"/>
        <v>276.01618888357268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>
        <f>EXP(-LN(2)/35)*CK64+(1-EXP(-LN(2)/35))/(LN(2)/35)*CG65*CH65*VLOOKUP('Données projet'!$B$12,Paramètres!$A$1:$I$89,3,0)*0.475*44/12</f>
        <v>0</v>
      </c>
      <c r="CL65" s="23">
        <f>EXP(-LN(2)/25)*CL64+(1-EXP(-LN(2)/25))/(LN(2)/25)*Calculateur!CG65*Calculateur!CI65*VLOOKUP('Données projet'!$B$12,Paramètres!$A$1:$I$89,3,0)*0.475*44/12</f>
        <v>0</v>
      </c>
      <c r="CM65" s="23">
        <f>EXP(-LN(2)/2)*CM64+(1-EXP(-LN(2)/2))/(LN(2)/2)*CG65*CJ65*VLOOKUP('Données projet'!$B$12,Paramètres!$A$1:$I$89,3,0)*0.475*44/12</f>
        <v>0</v>
      </c>
      <c r="CN65" s="24">
        <f t="shared" si="12"/>
        <v>0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5.1282051282051269</v>
      </c>
      <c r="CT65" s="13">
        <f>IF('Données projet'!$A$140&gt;35,CT64+CS65-DB64,IF(A65&lt;'Données projet'!$A$140,$CQ$205^A65,IF(A65='Données projet'!$A$140,'Données projet'!$B$140,CT64+CS65-DB64)))</f>
        <v>239.74358974358969</v>
      </c>
      <c r="CU65" s="18">
        <f>CT65*VLOOKUP('Données projet'!$B$13,Paramètres!$A$1:$I$89,3,0)*VLOOKUP('Données projet'!$B$13,Paramètres!$A$1:$I$89,5,0)</f>
        <v>160.81999999999996</v>
      </c>
      <c r="CV65" s="14">
        <f t="shared" si="41"/>
        <v>41.02741363357611</v>
      </c>
      <c r="CW65" s="22">
        <f t="shared" si="13"/>
        <v>351.55091207847835</v>
      </c>
      <c r="CX65" s="62">
        <f t="shared" si="14"/>
        <v>613.90991503812961</v>
      </c>
      <c r="CY65" s="62">
        <f ca="1">AVERAGE(OFFSET($CX$3,0,0,'Données projet'!$E$13+1,1))-AVERAGE(OFFSET($H$3,0,0,'Données projet'!$E$13+1,1))</f>
        <v>346.82725381974132</v>
      </c>
      <c r="CZ65" s="62">
        <f t="shared" si="42"/>
        <v>254.09787950201044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>
        <f>EXP(-LN(2)/35)*DF64+(1-EXP(-LN(2)/35))/(LN(2)/35)*DB65*DC65*VLOOKUP('Données projet'!$B$13,Paramètres!$A$1:$I$89,3,0)*0.475*44/12</f>
        <v>0</v>
      </c>
      <c r="DG65" s="23">
        <f>EXP(-LN(2)/25)*DG64+(1-EXP(-LN(2)/25))/(LN(2)/25)*Calculateur!DB65*Calculateur!DD65*VLOOKUP('Données projet'!$B$13,Paramètres!$A$1:$I$89,3,0)*0.475*44/12</f>
        <v>0</v>
      </c>
      <c r="DH65" s="23">
        <f>EXP(-LN(2)/2)*DH64+(1-EXP(-LN(2)/2))/(LN(2)/2)*DB65*DE65*VLOOKUP('Données projet'!$B$13,Paramètres!$A$1:$I$89,3,0)*0.475*44/12</f>
        <v>0</v>
      </c>
      <c r="DI65" s="24">
        <f t="shared" si="15"/>
        <v>0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5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2">
        <f t="shared" si="32"/>
        <v>0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18.333333333333332</v>
      </c>
      <c r="H66" s="70">
        <f t="shared" si="1"/>
        <v>183.33333333333334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7.2</v>
      </c>
      <c r="N66" s="14">
        <f>IF('Données projet'!$A$36&gt;35,N65+M66-V65,IF(A66&lt;'Données projet'!$A$36,$K$205^A66,IF(A66='Données projet'!$A$36,'Données projet'!$B$36,N65+M66-V65)))</f>
        <v>214.59999999999994</v>
      </c>
      <c r="O66" s="14">
        <f>N66*VLOOKUP('Données projet'!$B$9,Paramètres!$A$1:$I$89,3,0)*VLOOKUP('Données projet'!$B$9,Paramètres!$A$1:$I$89,5,0)</f>
        <v>194.17007999999996</v>
      </c>
      <c r="P66" s="14">
        <f t="shared" si="33"/>
        <v>48.460730182351035</v>
      </c>
      <c r="Q66" s="22">
        <f t="shared" si="53"/>
        <v>422.5819944009279</v>
      </c>
      <c r="R66" s="62">
        <f t="shared" si="0"/>
        <v>685.47833274433401</v>
      </c>
      <c r="S66" s="62">
        <f ca="1">AVERAGE(OFFSET($R$3,0,0,'Données projet'!$E$9+1,1))-AVERAGE(OFFSET($H$3,0,0,'Données projet'!$E$9+1,1))</f>
        <v>469.67944008675863</v>
      </c>
      <c r="T66" s="62">
        <f t="shared" si="34"/>
        <v>266.11908070867173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0</v>
      </c>
      <c r="AA66" s="23">
        <f>EXP(-LN(2)/25)*AA65+(1-EXP(-LN(2)/25))/(LN(2)/25)*Calculateur!V66*Calculateur!X66*VLOOKUP('Données projet'!$B$9,Paramètres!$A$1:$I$89,3,0)*0.475*44/12</f>
        <v>0</v>
      </c>
      <c r="AB66" s="23">
        <f>EXP(-LN(2)/2)*AB65+(1-EXP(-LN(2)/2))/(LN(2)/2)*V66*Y66*VLOOKUP('Données projet'!$B$9,Paramètres!$A$1:$I$89,3,0)*0.475*44/12</f>
        <v>0</v>
      </c>
      <c r="AC66" s="24">
        <f t="shared" si="3"/>
        <v>0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4.6153846153846132</v>
      </c>
      <c r="AI66" s="14">
        <f>IF('Données projet'!$A$62&gt;35,AI65+AH66-AQ65,IF(A66&lt;'Données projet'!$A$62,$AF$205^A66,IF(A66='Données projet'!$A$62,'Données projet'!$B$62,AI65+AH66-AQ65)))</f>
        <v>199.10256410256395</v>
      </c>
      <c r="AJ66" s="14">
        <f>AI66*VLOOKUP('Données projet'!$B$10,Paramètres!$A$1:$I$89,3,0)*VLOOKUP('Données projet'!$B$10,Paramètres!$A$1:$I$89,5,0)</f>
        <v>189.46599999999987</v>
      </c>
      <c r="AK66" s="14">
        <f t="shared" si="35"/>
        <v>47.421873701491492</v>
      </c>
      <c r="AL66" s="22">
        <f t="shared" si="4"/>
        <v>412.57971336343076</v>
      </c>
      <c r="AM66" s="62">
        <f t="shared" si="5"/>
        <v>675.47605170683687</v>
      </c>
      <c r="AN66" s="62">
        <f ca="1">AVERAGE(OFFSET($AM$3,0,0,'Données projet'!$E$10+1,1))-AVERAGE(OFFSET($H$3,0,0,'Données projet'!$E$10+1,1))</f>
        <v>400.48230125343474</v>
      </c>
      <c r="AO66" s="62">
        <f t="shared" si="36"/>
        <v>275.67023303885048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0</v>
      </c>
      <c r="AV66" s="23">
        <f>EXP(-LN(2)/25)*AV65+(1-EXP(-LN(2)/25))/(LN(2)/25)*Calculateur!AQ66*Calculateur!AS66*VLOOKUP('Données projet'!$B$10,Paramètres!$A$1:$I$89,3,0)*0.475*44/12</f>
        <v>0</v>
      </c>
      <c r="AW66" s="23">
        <f>EXP(-LN(2)/2)*AW65+(1-EXP(-LN(2)/2))/(LN(2)/2)*AQ66*AT66*VLOOKUP('Données projet'!$B$10,Paramètres!$A$1:$I$89,3,0)*0.475*44/12</f>
        <v>0</v>
      </c>
      <c r="AX66" s="23">
        <f t="shared" si="6"/>
        <v>0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7.2</v>
      </c>
      <c r="BD66" s="13">
        <f>IF('Données projet'!$A$88&gt;35,BD65+BC66-BL65,IF(A66&lt;'Données projet'!$A$88,$BA$205^A66,IF(A66='Données projet'!$A$88,'Données projet'!$B$88,BD65+BC66-BL65)))</f>
        <v>214.59999999999994</v>
      </c>
      <c r="BE66" s="14">
        <f>BD66*VLOOKUP('Données projet'!$B$11,Paramètres!$A$1:$I$89,3,0)*VLOOKUP('Données projet'!$B$11,Paramètres!$A$1:$I$89,5,0)</f>
        <v>207.56111999999996</v>
      </c>
      <c r="BF66" s="14">
        <f t="shared" si="37"/>
        <v>51.40226725537714</v>
      </c>
      <c r="BG66" s="22">
        <f t="shared" si="7"/>
        <v>451.02789946978169</v>
      </c>
      <c r="BH66" s="62">
        <f t="shared" si="8"/>
        <v>713.9242378131878</v>
      </c>
      <c r="BI66" s="62">
        <f ca="1">AVERAGE(OFFSET($BH$3,0,0,'Données projet'!$E$11+1,1))-AVERAGE(OFFSET($H$3,0,0,'Données projet'!$E$11+1,1))</f>
        <v>496.33873798282525</v>
      </c>
      <c r="BJ66" s="62">
        <f t="shared" si="38"/>
        <v>280.25465074992246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>
        <f>EXP(-LN(2)/35)*BP65+(1-EXP(-LN(2)/35))/(LN(2)/35)*BL66*BM66*VLOOKUP('Données projet'!$B$11,Paramètres!$A$1:$I$89,3,0)*0.475*44/12</f>
        <v>0</v>
      </c>
      <c r="BQ66" s="23">
        <f>EXP(-LN(2)/25)*BQ65+(1-EXP(-LN(2)/25))/(LN(2)/25)*Calculateur!BL66*Calculateur!BN66*VLOOKUP('Données projet'!$B$11,Paramètres!$A$1:$I$89,3,0)*0.475*44/12</f>
        <v>0</v>
      </c>
      <c r="BR66" s="23">
        <f>EXP(-LN(2)/2)*BR65+(1-EXP(-LN(2)/2))/(LN(2)/2)*BL66*BO66*VLOOKUP('Données projet'!$B$11,Paramètres!$A$1:$I$89,3,0)*0.475*44/12</f>
        <v>0</v>
      </c>
      <c r="BS66" s="24">
        <f t="shared" si="9"/>
        <v>0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3.2</v>
      </c>
      <c r="BY66" s="13">
        <f>IF('Données projet'!$A$114&gt;35,BY65+BX66-CG65,IF(A66&lt;'Données projet'!$A$114,$BV$205^A66,IF(A66='Données projet'!$A$114,'Données projet'!$B$114,BY65+BX66-CG65)))</f>
        <v>204.59999999999991</v>
      </c>
      <c r="BZ66" s="14">
        <f>BY66*VLOOKUP('Données projet'!$B$12,Paramètres!$A$1:$I$89,3,0)*VLOOKUP('Données projet'!$B$12,Paramètres!$A$1:$I$89,5,0)</f>
        <v>178.73855999999995</v>
      </c>
      <c r="CA66" s="14">
        <f t="shared" si="39"/>
        <v>45.041424241265332</v>
      </c>
      <c r="CB66" s="22">
        <f t="shared" si="10"/>
        <v>389.75013922020366</v>
      </c>
      <c r="CC66" s="62">
        <f t="shared" si="11"/>
        <v>652.64647756360978</v>
      </c>
      <c r="CD66" s="62">
        <f ca="1">AVERAGE(OFFSET($CC$3,0,0,'Données projet'!$E$12+1,1))-AVERAGE(OFFSET($H$3,0,0,'Données projet'!$E$12+1,1))</f>
        <v>298.56812743477741</v>
      </c>
      <c r="CE66" s="62">
        <f t="shared" si="40"/>
        <v>276.01618888357268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>
        <f>EXP(-LN(2)/35)*CK65+(1-EXP(-LN(2)/35))/(LN(2)/35)*CG66*CH66*VLOOKUP('Données projet'!$B$12,Paramètres!$A$1:$I$89,3,0)*0.475*44/12</f>
        <v>0</v>
      </c>
      <c r="CL66" s="23">
        <f>EXP(-LN(2)/25)*CL65+(1-EXP(-LN(2)/25))/(LN(2)/25)*Calculateur!CG66*Calculateur!CI66*VLOOKUP('Données projet'!$B$12,Paramètres!$A$1:$I$89,3,0)*0.475*44/12</f>
        <v>0</v>
      </c>
      <c r="CM66" s="23">
        <f>EXP(-LN(2)/2)*CM65+(1-EXP(-LN(2)/2))/(LN(2)/2)*CG66*CJ66*VLOOKUP('Données projet'!$B$12,Paramètres!$A$1:$I$89,3,0)*0.475*44/12</f>
        <v>0</v>
      </c>
      <c r="CN66" s="24">
        <f t="shared" si="12"/>
        <v>0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5.1282051282051269</v>
      </c>
      <c r="CT66" s="13">
        <f>IF('Données projet'!$A$140&gt;35,CT65+CS66-DB65,IF(A66&lt;'Données projet'!$A$140,$CQ$205^A66,IF(A66='Données projet'!$A$140,'Données projet'!$B$140,CT65+CS66-DB65)))</f>
        <v>244.87179487179483</v>
      </c>
      <c r="CU66" s="18">
        <f>CT66*VLOOKUP('Données projet'!$B$13,Paramètres!$A$1:$I$89,3,0)*VLOOKUP('Données projet'!$B$13,Paramètres!$A$1:$I$89,5,0)</f>
        <v>164.26</v>
      </c>
      <c r="CV66" s="14">
        <f t="shared" si="41"/>
        <v>41.801895928887475</v>
      </c>
      <c r="CW66" s="22">
        <f t="shared" si="13"/>
        <v>358.89113540947892</v>
      </c>
      <c r="CX66" s="62">
        <f t="shared" si="14"/>
        <v>621.78747375288503</v>
      </c>
      <c r="CY66" s="62">
        <f ca="1">AVERAGE(OFFSET($CX$3,0,0,'Données projet'!$E$13+1,1))-AVERAGE(OFFSET($H$3,0,0,'Données projet'!$E$13+1,1))</f>
        <v>346.82725381974132</v>
      </c>
      <c r="CZ66" s="62">
        <f t="shared" si="42"/>
        <v>254.09787950201044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>
        <f>EXP(-LN(2)/35)*DF65+(1-EXP(-LN(2)/35))/(LN(2)/35)*DB66*DC66*VLOOKUP('Données projet'!$B$13,Paramètres!$A$1:$I$89,3,0)*0.475*44/12</f>
        <v>0</v>
      </c>
      <c r="DG66" s="23">
        <f>EXP(-LN(2)/25)*DG65+(1-EXP(-LN(2)/25))/(LN(2)/25)*Calculateur!DB66*Calculateur!DD66*VLOOKUP('Données projet'!$B$13,Paramètres!$A$1:$I$89,3,0)*0.475*44/12</f>
        <v>0</v>
      </c>
      <c r="DH66" s="23">
        <f>EXP(-LN(2)/2)*DH65+(1-EXP(-LN(2)/2))/(LN(2)/2)*DB66*DE66*VLOOKUP('Données projet'!$B$13,Paramètres!$A$1:$I$89,3,0)*0.475*44/12</f>
        <v>0</v>
      </c>
      <c r="DI66" s="24">
        <f t="shared" si="15"/>
        <v>0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5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2">
        <f t="shared" si="32"/>
        <v>0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18.333333333333332</v>
      </c>
      <c r="H67" s="70">
        <f t="shared" si="1"/>
        <v>183.33333333333334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7.2</v>
      </c>
      <c r="N67" s="14">
        <f>IF('Données projet'!$A$36&gt;35,N66+M67-V66,IF(A67&lt;'Données projet'!$A$36,$K$205^A67,IF(A67='Données projet'!$A$36,'Données projet'!$B$36,N66+M67-V66)))</f>
        <v>221.79999999999993</v>
      </c>
      <c r="O67" s="14">
        <f>N67*VLOOKUP('Données projet'!$B$9,Paramètres!$A$1:$I$89,3,0)*VLOOKUP('Données projet'!$B$9,Paramètres!$A$1:$I$89,5,0)</f>
        <v>200.68463999999992</v>
      </c>
      <c r="P67" s="14">
        <f t="shared" si="33"/>
        <v>49.894600936700193</v>
      </c>
      <c r="Q67" s="22">
        <f t="shared" ref="Q67:Q98" si="54">(O67+P67)*0.475*44/12</f>
        <v>436.42551129808606</v>
      </c>
      <c r="R67" s="62">
        <f t="shared" ref="R67:R130" si="55">Q67+(I67+J67)*44/12</f>
        <v>699.84986345764082</v>
      </c>
      <c r="S67" s="62">
        <f ca="1">AVERAGE(OFFSET($R$3,0,0,'Données projet'!$E$9+1,1))-AVERAGE(OFFSET($H$3,0,0,'Données projet'!$E$9+1,1))</f>
        <v>469.67944008675863</v>
      </c>
      <c r="T67" s="62">
        <f t="shared" si="34"/>
        <v>266.11908070867173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0</v>
      </c>
      <c r="AA67" s="23">
        <f>EXP(-LN(2)/25)*AA66+(1-EXP(-LN(2)/25))/(LN(2)/25)*Calculateur!V67*Calculateur!X67*VLOOKUP('Données projet'!$B$9,Paramètres!$A$1:$I$89,3,0)*0.475*44/12</f>
        <v>0</v>
      </c>
      <c r="AB67" s="23">
        <f>EXP(-LN(2)/2)*AB66+(1-EXP(-LN(2)/2))/(LN(2)/2)*V67*Y67*VLOOKUP('Données projet'!$B$9,Paramètres!$A$1:$I$89,3,0)*0.475*44/12</f>
        <v>0</v>
      </c>
      <c r="AC67" s="24">
        <f t="shared" si="3"/>
        <v>0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4.6153846153846132</v>
      </c>
      <c r="AI67" s="14">
        <f>IF('Données projet'!$A$62&gt;35,AI66+AH67-AQ66,IF(A67&lt;'Données projet'!$A$62,$AF$205^A67,IF(A67='Données projet'!$A$62,'Données projet'!$B$62,AI66+AH67-AQ66)))</f>
        <v>203.71794871794856</v>
      </c>
      <c r="AJ67" s="14">
        <f>AI67*VLOOKUP('Données projet'!$B$10,Paramètres!$A$1:$I$89,3,0)*VLOOKUP('Données projet'!$B$10,Paramètres!$A$1:$I$89,5,0)</f>
        <v>193.85799999999983</v>
      </c>
      <c r="AK67" s="14">
        <f t="shared" si="35"/>
        <v>48.391901423898702</v>
      </c>
      <c r="AL67" s="22">
        <f t="shared" si="4"/>
        <v>421.91857831328997</v>
      </c>
      <c r="AM67" s="62">
        <f t="shared" si="5"/>
        <v>685.34293047284473</v>
      </c>
      <c r="AN67" s="62">
        <f ca="1">AVERAGE(OFFSET($AM$3,0,0,'Données projet'!$E$10+1,1))-AVERAGE(OFFSET($H$3,0,0,'Données projet'!$E$10+1,1))</f>
        <v>400.48230125343474</v>
      </c>
      <c r="AO67" s="62">
        <f t="shared" si="36"/>
        <v>275.67023303885048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0</v>
      </c>
      <c r="AV67" s="23">
        <f>EXP(-LN(2)/25)*AV66+(1-EXP(-LN(2)/25))/(LN(2)/25)*Calculateur!AQ67*Calculateur!AS67*VLOOKUP('Données projet'!$B$10,Paramètres!$A$1:$I$89,3,0)*0.475*44/12</f>
        <v>0</v>
      </c>
      <c r="AW67" s="23">
        <f>EXP(-LN(2)/2)*AW66+(1-EXP(-LN(2)/2))/(LN(2)/2)*AQ67*AT67*VLOOKUP('Données projet'!$B$10,Paramètres!$A$1:$I$89,3,0)*0.475*44/12</f>
        <v>0</v>
      </c>
      <c r="AX67" s="23">
        <f t="shared" si="6"/>
        <v>0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7.2</v>
      </c>
      <c r="BD67" s="13">
        <f>IF('Données projet'!$A$88&gt;35,BD66+BC67-BL66,IF(A67&lt;'Données projet'!$A$88,$BA$205^A67,IF(A67='Données projet'!$A$88,'Données projet'!$B$88,BD66+BC67-BL66)))</f>
        <v>221.79999999999993</v>
      </c>
      <c r="BE67" s="14">
        <f>BD67*VLOOKUP('Données projet'!$B$11,Paramètres!$A$1:$I$89,3,0)*VLOOKUP('Données projet'!$B$11,Paramètres!$A$1:$I$89,5,0)</f>
        <v>214.52495999999994</v>
      </c>
      <c r="BF67" s="14">
        <f t="shared" si="37"/>
        <v>52.923173099085716</v>
      </c>
      <c r="BG67" s="22">
        <f t="shared" si="7"/>
        <v>465.80549848090754</v>
      </c>
      <c r="BH67" s="62">
        <f t="shared" si="8"/>
        <v>729.22985064046225</v>
      </c>
      <c r="BI67" s="62">
        <f ca="1">AVERAGE(OFFSET($BH$3,0,0,'Données projet'!$E$11+1,1))-AVERAGE(OFFSET($H$3,0,0,'Données projet'!$E$11+1,1))</f>
        <v>496.33873798282525</v>
      </c>
      <c r="BJ67" s="62">
        <f t="shared" si="38"/>
        <v>280.25465074992246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>
        <f>EXP(-LN(2)/35)*BP66+(1-EXP(-LN(2)/35))/(LN(2)/35)*BL67*BM67*VLOOKUP('Données projet'!$B$11,Paramètres!$A$1:$I$89,3,0)*0.475*44/12</f>
        <v>0</v>
      </c>
      <c r="BQ67" s="23">
        <f>EXP(-LN(2)/25)*BQ66+(1-EXP(-LN(2)/25))/(LN(2)/25)*Calculateur!BL67*Calculateur!BN67*VLOOKUP('Données projet'!$B$11,Paramètres!$A$1:$I$89,3,0)*0.475*44/12</f>
        <v>0</v>
      </c>
      <c r="BR67" s="23">
        <f>EXP(-LN(2)/2)*BR66+(1-EXP(-LN(2)/2))/(LN(2)/2)*BL67*BO67*VLOOKUP('Données projet'!$B$11,Paramètres!$A$1:$I$89,3,0)*0.475*44/12</f>
        <v>0</v>
      </c>
      <c r="BS67" s="24">
        <f t="shared" si="9"/>
        <v>0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3.2</v>
      </c>
      <c r="BY67" s="13">
        <f>IF('Données projet'!$A$114&gt;35,BY66+BX67-CG66,IF(A67&lt;'Données projet'!$A$114,$BV$205^A67,IF(A67='Données projet'!$A$114,'Données projet'!$B$114,BY66+BX67-CG66)))</f>
        <v>207.7999999999999</v>
      </c>
      <c r="BZ67" s="14">
        <f>BY67*VLOOKUP('Données projet'!$B$12,Paramètres!$A$1:$I$89,3,0)*VLOOKUP('Données projet'!$B$12,Paramètres!$A$1:$I$89,5,0)</f>
        <v>181.53407999999993</v>
      </c>
      <c r="CA67" s="14">
        <f t="shared" si="39"/>
        <v>45.663321943731859</v>
      </c>
      <c r="CB67" s="22">
        <f t="shared" si="10"/>
        <v>395.70214171866616</v>
      </c>
      <c r="CC67" s="62">
        <f t="shared" si="11"/>
        <v>659.12649387822091</v>
      </c>
      <c r="CD67" s="62">
        <f ca="1">AVERAGE(OFFSET($CC$3,0,0,'Données projet'!$E$12+1,1))-AVERAGE(OFFSET($H$3,0,0,'Données projet'!$E$12+1,1))</f>
        <v>298.56812743477741</v>
      </c>
      <c r="CE67" s="62">
        <f t="shared" si="40"/>
        <v>276.01618888357268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>
        <f>EXP(-LN(2)/35)*CK66+(1-EXP(-LN(2)/35))/(LN(2)/35)*CG67*CH67*VLOOKUP('Données projet'!$B$12,Paramètres!$A$1:$I$89,3,0)*0.475*44/12</f>
        <v>0</v>
      </c>
      <c r="CL67" s="23">
        <f>EXP(-LN(2)/25)*CL66+(1-EXP(-LN(2)/25))/(LN(2)/25)*Calculateur!CG67*Calculateur!CI67*VLOOKUP('Données projet'!$B$12,Paramètres!$A$1:$I$89,3,0)*0.475*44/12</f>
        <v>0</v>
      </c>
      <c r="CM67" s="23">
        <f>EXP(-LN(2)/2)*CM66+(1-EXP(-LN(2)/2))/(LN(2)/2)*CG67*CJ67*VLOOKUP('Données projet'!$B$12,Paramètres!$A$1:$I$89,3,0)*0.475*44/12</f>
        <v>0</v>
      </c>
      <c r="CN67" s="24">
        <f t="shared" si="12"/>
        <v>0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5.1282051282051269</v>
      </c>
      <c r="CT67" s="13">
        <f>IF('Données projet'!$A$140&gt;35,CT66+CS67-DB66,IF(A67&lt;'Données projet'!$A$140,$CQ$205^A67,IF(A67='Données projet'!$A$140,'Données projet'!$B$140,CT66+CS67-DB66)))</f>
        <v>249.99999999999997</v>
      </c>
      <c r="CU67" s="18">
        <f>CT67*VLOOKUP('Données projet'!$B$13,Paramètres!$A$1:$I$89,3,0)*VLOOKUP('Données projet'!$B$13,Paramètres!$A$1:$I$89,5,0)</f>
        <v>167.7</v>
      </c>
      <c r="CV67" s="14">
        <f t="shared" si="41"/>
        <v>42.574492425097432</v>
      </c>
      <c r="CW67" s="22">
        <f t="shared" si="13"/>
        <v>366.22807430704466</v>
      </c>
      <c r="CX67" s="62">
        <f t="shared" si="14"/>
        <v>629.65242646659942</v>
      </c>
      <c r="CY67" s="62">
        <f ca="1">AVERAGE(OFFSET($CX$3,0,0,'Données projet'!$E$13+1,1))-AVERAGE(OFFSET($H$3,0,0,'Données projet'!$E$13+1,1))</f>
        <v>346.82725381974132</v>
      </c>
      <c r="CZ67" s="62">
        <f t="shared" si="42"/>
        <v>254.09787950201044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>
        <f>EXP(-LN(2)/35)*DF66+(1-EXP(-LN(2)/35))/(LN(2)/35)*DB67*DC67*VLOOKUP('Données projet'!$B$13,Paramètres!$A$1:$I$89,3,0)*0.475*44/12</f>
        <v>0</v>
      </c>
      <c r="DG67" s="23">
        <f>EXP(-LN(2)/25)*DG66+(1-EXP(-LN(2)/25))/(LN(2)/25)*Calculateur!DB67*Calculateur!DD67*VLOOKUP('Données projet'!$B$13,Paramètres!$A$1:$I$89,3,0)*0.475*44/12</f>
        <v>0</v>
      </c>
      <c r="DH67" s="23">
        <f>EXP(-LN(2)/2)*DH66+(1-EXP(-LN(2)/2))/(LN(2)/2)*DB67*DE67*VLOOKUP('Données projet'!$B$13,Paramètres!$A$1:$I$89,3,0)*0.475*44/12</f>
        <v>0</v>
      </c>
      <c r="DI67" s="24">
        <f t="shared" si="15"/>
        <v>0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5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2">
        <f t="shared" si="32"/>
        <v>0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18.333333333333332</v>
      </c>
      <c r="H68" s="70">
        <f t="shared" ref="H68:H131" si="56">(B68+E68+F68)*44/12+(C68+D68)*0.475*44/12</f>
        <v>183.33333333333334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>
        <f>VLOOKUP(A68,'Données projet'!$A$35:$I$55,2,0)</f>
        <v>229</v>
      </c>
      <c r="L68" s="13">
        <f>VLOOKUP(A68,'Données projet'!$A$35:$I$55,9,0)</f>
        <v>7.2</v>
      </c>
      <c r="M68" s="13">
        <f t="array" ref="M68">INDEX(L:L,MIN(IF(ISNUMBER(L68:L264),ROW(L68:L264),"")))</f>
        <v>7.2</v>
      </c>
      <c r="N68" s="14">
        <f>IF('Données projet'!$A$36&gt;35,N67+M68-V67,IF(A68&lt;'Données projet'!$A$36,$K$205^A68,IF(A68='Données projet'!$A$36,'Données projet'!$B$36,N67+M68-V67)))</f>
        <v>228.99999999999991</v>
      </c>
      <c r="O68" s="14">
        <f>N68*VLOOKUP('Données projet'!$B$9,Paramètres!$A$1:$I$89,3,0)*VLOOKUP('Données projet'!$B$9,Paramètres!$A$1:$I$89,5,0)</f>
        <v>207.19919999999991</v>
      </c>
      <c r="P68" s="14">
        <f t="shared" si="33"/>
        <v>51.3230629736655</v>
      </c>
      <c r="Q68" s="22">
        <f t="shared" si="54"/>
        <v>450.25960801246725</v>
      </c>
      <c r="R68" s="62">
        <f t="shared" si="55"/>
        <v>714.20281412892245</v>
      </c>
      <c r="S68" s="62">
        <f ca="1">AVERAGE(OFFSET($R$3,0,0,'Données projet'!$E$9+1,1))-AVERAGE(OFFSET($H$3,0,0,'Données projet'!$E$9+1,1))</f>
        <v>469.67944008675863</v>
      </c>
      <c r="T68" s="62">
        <f t="shared" si="34"/>
        <v>266.11908070867173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0</v>
      </c>
      <c r="AA68" s="23">
        <f>EXP(-LN(2)/25)*AA67+(1-EXP(-LN(2)/25))/(LN(2)/25)*Calculateur!V68*Calculateur!X68*VLOOKUP('Données projet'!$B$9,Paramètres!$A$1:$I$89,3,0)*0.475*44/12</f>
        <v>0</v>
      </c>
      <c r="AB68" s="23">
        <f>EXP(-LN(2)/2)*AB67+(1-EXP(-LN(2)/2))/(LN(2)/2)*V68*Y68*VLOOKUP('Données projet'!$B$9,Paramètres!$A$1:$I$89,3,0)*0.475*44/12</f>
        <v>0</v>
      </c>
      <c r="AC68" s="24">
        <f t="shared" ref="AC68:AC131" si="57">SUM(Z68:AB68)</f>
        <v>0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>
        <f>VLOOKUP(A68,'Données projet'!$A$61:$I$81,2,0)</f>
        <v>208.33333333333331</v>
      </c>
      <c r="AG68" s="13">
        <f>VLOOKUP(A68,'Données projet'!$A$61:$I$81,9,0)</f>
        <v>4.6153846153846132</v>
      </c>
      <c r="AH68" s="13">
        <f t="array" ref="AH68">INDEX(AG:AG,MIN(IF(ISNUMBER(AG68:AG264),ROW(AG68:AG264),"")))</f>
        <v>4.6153846153846132</v>
      </c>
      <c r="AI68" s="14">
        <f>IF('Données projet'!$A$62&gt;35,AI67+AH68-AQ67,IF(A68&lt;'Données projet'!$A$62,$AF$205^A68,IF(A68='Données projet'!$A$62,'Données projet'!$B$62,AI67+AH68-AQ67)))</f>
        <v>208.33333333333317</v>
      </c>
      <c r="AJ68" s="14">
        <f>AI68*VLOOKUP('Données projet'!$B$10,Paramètres!$A$1:$I$89,3,0)*VLOOKUP('Données projet'!$B$10,Paramètres!$A$1:$I$89,5,0)</f>
        <v>198.24999999999986</v>
      </c>
      <c r="AK68" s="14">
        <f t="shared" si="35"/>
        <v>49.359374195866835</v>
      </c>
      <c r="AL68" s="22">
        <f t="shared" ref="AL68:AL131" si="58">(AJ68+AK68)*0.475*44/12</f>
        <v>431.25299339113445</v>
      </c>
      <c r="AM68" s="62">
        <f t="shared" ref="AM68:AM131" si="59">AL68+(AD68+AE68)*44/12</f>
        <v>695.19619950758965</v>
      </c>
      <c r="AN68" s="62">
        <f ca="1">AVERAGE(OFFSET($AM$3,0,0,'Données projet'!$E$10+1,1))-AVERAGE(OFFSET($H$3,0,0,'Données projet'!$E$10+1,1))</f>
        <v>400.48230125343474</v>
      </c>
      <c r="AO68" s="62">
        <f t="shared" si="36"/>
        <v>275.67023303885048</v>
      </c>
      <c r="AP68" s="16">
        <f>IF(ISNA(VLOOKUP(A68,'Données projet'!$A$61:$I$81,3,0)),0,VLOOKUP(A68,'Données projet'!$A$61:$I$81,3,0))</f>
        <v>5</v>
      </c>
      <c r="AQ68" s="16">
        <f>IF(ISNA(VLOOKUP(A68,'Données projet'!$A$61:$I$81,4,0)),0,VLOOKUP(A68,'Données projet'!$A$61:$I$81,4,0))</f>
        <v>29.487179487179485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0</v>
      </c>
      <c r="AV68" s="23">
        <f>EXP(-LN(2)/25)*AV67+(1-EXP(-LN(2)/25))/(LN(2)/25)*Calculateur!AQ68*Calculateur!AS68*VLOOKUP('Données projet'!$B$10,Paramètres!$A$1:$I$89,3,0)*0.475*44/12</f>
        <v>0</v>
      </c>
      <c r="AW68" s="23">
        <f>EXP(-LN(2)/2)*AW67+(1-EXP(-LN(2)/2))/(LN(2)/2)*AQ68*AT68*VLOOKUP('Données projet'!$B$10,Paramètres!$A$1:$I$89,3,0)*0.475*44/12</f>
        <v>0</v>
      </c>
      <c r="AX68" s="23">
        <f t="shared" ref="AX68:AX131" si="60">SUM(AU68:AW68)</f>
        <v>0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>
        <f>VLOOKUP(A68,'Données projet'!$A$87:$I$107,2,0)</f>
        <v>229</v>
      </c>
      <c r="BB68" s="13">
        <f>VLOOKUP(A68,'Données projet'!$A$87:$I$107,9,0)</f>
        <v>7.2</v>
      </c>
      <c r="BC68" s="13">
        <f t="array" ref="BC68">INDEX(BB:BB,MIN(IF(ISNUMBER(BB68:BB264),ROW(BB68:BB264),"")))</f>
        <v>7.2</v>
      </c>
      <c r="BD68" s="13">
        <f>IF('Données projet'!$A$88&gt;35,BD67+BC68-BL67,IF(A68&lt;'Données projet'!$A$88,$BA$205^A68,IF(A68='Données projet'!$A$88,'Données projet'!$B$88,BD67+BC68-BL67)))</f>
        <v>228.99999999999991</v>
      </c>
      <c r="BE68" s="14">
        <f>BD68*VLOOKUP('Données projet'!$B$11,Paramètres!$A$1:$I$89,3,0)*VLOOKUP('Données projet'!$B$11,Paramètres!$A$1:$I$89,5,0)</f>
        <v>221.48879999999991</v>
      </c>
      <c r="BF68" s="14">
        <f t="shared" si="37"/>
        <v>54.43834191952984</v>
      </c>
      <c r="BG68" s="22">
        <f t="shared" ref="BG68:BG131" si="61">(BE68+BF68)*0.475*44/12</f>
        <v>480.57310550984766</v>
      </c>
      <c r="BH68" s="62">
        <f t="shared" ref="BH68:BH131" si="62">BG68+(AY68+AZ68)*44/12</f>
        <v>744.51631162630292</v>
      </c>
      <c r="BI68" s="62">
        <f ca="1">AVERAGE(OFFSET($BH$3,0,0,'Données projet'!$E$11+1,1))-AVERAGE(OFFSET($H$3,0,0,'Données projet'!$E$11+1,1))</f>
        <v>496.33873798282525</v>
      </c>
      <c r="BJ68" s="62">
        <f t="shared" si="38"/>
        <v>280.25465074992246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>
        <f>EXP(-LN(2)/35)*BP67+(1-EXP(-LN(2)/35))/(LN(2)/35)*BL68*BM68*VLOOKUP('Données projet'!$B$11,Paramètres!$A$1:$I$89,3,0)*0.475*44/12</f>
        <v>0</v>
      </c>
      <c r="BQ68" s="23">
        <f>EXP(-LN(2)/25)*BQ67+(1-EXP(-LN(2)/25))/(LN(2)/25)*Calculateur!BL68*Calculateur!BN68*VLOOKUP('Données projet'!$B$11,Paramètres!$A$1:$I$89,3,0)*0.475*44/12</f>
        <v>0</v>
      </c>
      <c r="BR68" s="23">
        <f>EXP(-LN(2)/2)*BR67+(1-EXP(-LN(2)/2))/(LN(2)/2)*BL68*BO68*VLOOKUP('Données projet'!$B$11,Paramètres!$A$1:$I$89,3,0)*0.475*44/12</f>
        <v>0</v>
      </c>
      <c r="BS68" s="24">
        <f t="shared" ref="BS68:BS131" si="63">SUM(BP68:BR68)</f>
        <v>0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>
        <f>VLOOKUP(A68,'Données projet'!$A$113:$I$133,2,0)</f>
        <v>211</v>
      </c>
      <c r="BW68" s="13">
        <f>VLOOKUP(A68,'Données projet'!$A$113:$I$133,9,0)</f>
        <v>3.2</v>
      </c>
      <c r="BX68" s="13">
        <f t="array" ref="BX68">INDEX(BW:BW,MIN(IF(ISNUMBER(BW68:BW264),ROW(BW68:BW264),"")))</f>
        <v>3.2</v>
      </c>
      <c r="BY68" s="13">
        <f>IF('Données projet'!$A$114&gt;35,BY67+BX68-CG67,IF(A68&lt;'Données projet'!$A$114,$BV$205^A68,IF(A68='Données projet'!$A$114,'Données projet'!$B$114,BY67+BX68-CG67)))</f>
        <v>210.99999999999989</v>
      </c>
      <c r="BZ68" s="14">
        <f>BY68*VLOOKUP('Données projet'!$B$12,Paramètres!$A$1:$I$89,3,0)*VLOOKUP('Données projet'!$B$12,Paramètres!$A$1:$I$89,5,0)</f>
        <v>184.32959999999994</v>
      </c>
      <c r="CA68" s="14">
        <f t="shared" si="39"/>
        <v>46.284105851003062</v>
      </c>
      <c r="CB68" s="22">
        <f t="shared" ref="CB68:CB131" si="64">(BZ68+CA68)*0.475*44/12</f>
        <v>401.65220435716355</v>
      </c>
      <c r="CC68" s="62">
        <f t="shared" ref="CC68:CC131" si="65">CB68+(BT68+BU68)*44/12</f>
        <v>665.59541047361881</v>
      </c>
      <c r="CD68" s="62">
        <f ca="1">AVERAGE(OFFSET($CC$3,0,0,'Données projet'!$E$12+1,1))-AVERAGE(OFFSET($H$3,0,0,'Données projet'!$E$12+1,1))</f>
        <v>298.56812743477741</v>
      </c>
      <c r="CE68" s="62">
        <f t="shared" si="40"/>
        <v>276.01618888357268</v>
      </c>
      <c r="CF68" s="16">
        <f>IF(ISNA(VLOOKUP(A68,'Données projet'!$A$113:$I$133,3,0)),0,VLOOKUP(A68,'Données projet'!$A$113:$I$133,3,0))</f>
        <v>5</v>
      </c>
      <c r="CG68" s="16">
        <f>IF(ISNA(VLOOKUP(A68,'Données projet'!$A$113:$I$133,4,0)),0,VLOOKUP(A68,'Données projet'!$A$113:$I$133,4,0))</f>
        <v>17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>
        <f>EXP(-LN(2)/35)*CK67+(1-EXP(-LN(2)/35))/(LN(2)/35)*CG68*CH68*VLOOKUP('Données projet'!$B$12,Paramètres!$A$1:$I$89,3,0)*0.475*44/12</f>
        <v>0</v>
      </c>
      <c r="CL68" s="23">
        <f>EXP(-LN(2)/25)*CL67+(1-EXP(-LN(2)/25))/(LN(2)/25)*Calculateur!CG68*Calculateur!CI68*VLOOKUP('Données projet'!$B$12,Paramètres!$A$1:$I$89,3,0)*0.475*44/12</f>
        <v>0</v>
      </c>
      <c r="CM68" s="23">
        <f>EXP(-LN(2)/2)*CM67+(1-EXP(-LN(2)/2))/(LN(2)/2)*CG68*CJ68*VLOOKUP('Données projet'!$B$12,Paramètres!$A$1:$I$89,3,0)*0.475*44/12</f>
        <v>0</v>
      </c>
      <c r="CN68" s="24">
        <f t="shared" ref="CN68:CN131" si="66">SUM(CK68:CM68)</f>
        <v>0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>
        <f>VLOOKUP(A68,'Données projet'!$A$139:$I$159,2,0)</f>
        <v>255.12820512820511</v>
      </c>
      <c r="CR68" s="13">
        <f>VLOOKUP(A68,'Données projet'!$A$139:$I$159,9,0)</f>
        <v>5.1282051282051269</v>
      </c>
      <c r="CS68" s="13">
        <f t="array" ref="CS68">INDEX(CR:CR,MIN(IF(ISNUMBER(CR68:CR264),ROW(CR68:CR264),"")))</f>
        <v>5.1282051282051269</v>
      </c>
      <c r="CT68" s="13">
        <f>IF('Données projet'!$A$140&gt;35,CT67+CS68-DB67,IF(A68&lt;'Données projet'!$A$140,$CQ$205^A68,IF(A68='Données projet'!$A$140,'Données projet'!$B$140,CT67+CS68-DB67)))</f>
        <v>255.12820512820511</v>
      </c>
      <c r="CU68" s="18">
        <f>CT68*VLOOKUP('Données projet'!$B$13,Paramètres!$A$1:$I$89,3,0)*VLOOKUP('Données projet'!$B$13,Paramètres!$A$1:$I$89,5,0)</f>
        <v>171.14</v>
      </c>
      <c r="CV68" s="14">
        <f t="shared" si="41"/>
        <v>43.345246262563791</v>
      </c>
      <c r="CW68" s="22">
        <f t="shared" ref="CW68:CW131" si="67">(CU68+CV68)*0.475*44/12</f>
        <v>373.56180390729855</v>
      </c>
      <c r="CX68" s="62">
        <f t="shared" ref="CX68:CX131" si="68">CW68+(CO68+CP68)*44/12</f>
        <v>637.50501002375381</v>
      </c>
      <c r="CY68" s="62">
        <f ca="1">AVERAGE(OFFSET($CX$3,0,0,'Données projet'!$E$13+1,1))-AVERAGE(OFFSET($H$3,0,0,'Données projet'!$E$13+1,1))</f>
        <v>346.82725381974132</v>
      </c>
      <c r="CZ68" s="62">
        <f t="shared" si="42"/>
        <v>254.09787950201044</v>
      </c>
      <c r="DA68" s="16">
        <f>IF(ISNA(VLOOKUP(A68,'Données projet'!$A$139:$I$159,3,0)),0,VLOOKUP(A68,'Données projet'!$A$139:$I$159,3,0))</f>
        <v>5</v>
      </c>
      <c r="DB68" s="16">
        <f>IF(ISNA(VLOOKUP(A68,'Données projet'!$A$139:$I$159,4,0)),0,VLOOKUP(A68,'Données projet'!$A$139:$I$159,4,0))</f>
        <v>28.205128205128204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>
        <f>EXP(-LN(2)/35)*DF67+(1-EXP(-LN(2)/35))/(LN(2)/35)*DB68*DC68*VLOOKUP('Données projet'!$B$13,Paramètres!$A$1:$I$89,3,0)*0.475*44/12</f>
        <v>0</v>
      </c>
      <c r="DG68" s="23">
        <f>EXP(-LN(2)/25)*DG67+(1-EXP(-LN(2)/25))/(LN(2)/25)*Calculateur!DB68*Calculateur!DD68*VLOOKUP('Données projet'!$B$13,Paramètres!$A$1:$I$89,3,0)*0.475*44/12</f>
        <v>0</v>
      </c>
      <c r="DH68" s="23">
        <f>EXP(-LN(2)/2)*DH67+(1-EXP(-LN(2)/2))/(LN(2)/2)*DB68*DE68*VLOOKUP('Données projet'!$B$13,Paramètres!$A$1:$I$89,3,0)*0.475*44/12</f>
        <v>0</v>
      </c>
      <c r="DI68" s="24">
        <f t="shared" ref="DI68:DI131" si="69">SUM(DF68:DH68)</f>
        <v>0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5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2">
        <f t="shared" ref="D69:D132" si="86">IFERROR(EXP(-1.0587+0.8836*LN(C69)+0.284),0)</f>
        <v>0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18.333333333333332</v>
      </c>
      <c r="H69" s="70">
        <f t="shared" si="56"/>
        <v>183.33333333333334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6.8</v>
      </c>
      <c r="N69" s="14">
        <f>IF('Données projet'!$A$36&gt;35,N68+M69-V68,IF(A69&lt;'Données projet'!$A$36,$K$205^A69,IF(A69='Données projet'!$A$36,'Données projet'!$B$36,N68+M69-V68)))</f>
        <v>235.79999999999993</v>
      </c>
      <c r="O69" s="14">
        <f>N69*VLOOKUP('Données projet'!$B$9,Paramètres!$A$1:$I$89,3,0)*VLOOKUP('Données projet'!$B$9,Paramètres!$A$1:$I$89,5,0)</f>
        <v>213.35183999999992</v>
      </c>
      <c r="P69" s="14">
        <f t="shared" ref="P69:P132" si="87">EXP(-1.0587+0.8836*LN(O69)+0.284)</f>
        <v>52.667370665417188</v>
      </c>
      <c r="Q69" s="22">
        <f t="shared" si="54"/>
        <v>463.31679190893482</v>
      </c>
      <c r="R69" s="62">
        <f t="shared" si="55"/>
        <v>727.76985102612184</v>
      </c>
      <c r="S69" s="62">
        <f ca="1">AVERAGE(OFFSET($R$3,0,0,'Données projet'!$E$9+1,1))-AVERAGE(OFFSET($H$3,0,0,'Données projet'!$E$9+1,1))</f>
        <v>469.67944008675863</v>
      </c>
      <c r="T69" s="62">
        <f t="shared" ref="T69:T132" si="88">$T$3</f>
        <v>266.11908070867173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0</v>
      </c>
      <c r="AA69" s="23">
        <f>EXP(-LN(2)/25)*AA68+(1-EXP(-LN(2)/25))/(LN(2)/25)*Calculateur!V69*Calculateur!X69*VLOOKUP('Données projet'!$B$9,Paramètres!$A$1:$I$89,3,0)*0.475*44/12</f>
        <v>0</v>
      </c>
      <c r="AB69" s="23">
        <f>EXP(-LN(2)/2)*AB68+(1-EXP(-LN(2)/2))/(LN(2)/2)*V69*Y69*VLOOKUP('Données projet'!$B$9,Paramètres!$A$1:$I$89,3,0)*0.475*44/12</f>
        <v>0</v>
      </c>
      <c r="AC69" s="24">
        <f t="shared" si="57"/>
        <v>0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4.3589743589743595</v>
      </c>
      <c r="AI69" s="14">
        <f>IF('Données projet'!$A$62&gt;35,AI68+AH69-AQ68,IF(A69&lt;'Données projet'!$A$62,$AF$205^A69,IF(A69='Données projet'!$A$62,'Données projet'!$B$62,AI68+AH69-AQ68)))</f>
        <v>183.20512820512806</v>
      </c>
      <c r="AJ69" s="14">
        <f>AI69*VLOOKUP('Données projet'!$B$10,Paramètres!$A$1:$I$89,3,0)*VLOOKUP('Données projet'!$B$10,Paramètres!$A$1:$I$89,5,0)</f>
        <v>174.33799999999988</v>
      </c>
      <c r="AK69" s="14">
        <f t="shared" ref="AK69:AK132" si="89">EXP(-1.0587+0.8836*LN(AJ69)+0.284)</f>
        <v>44.060161897107363</v>
      </c>
      <c r="AL69" s="22">
        <f t="shared" si="58"/>
        <v>380.37679863746172</v>
      </c>
      <c r="AM69" s="62">
        <f t="shared" si="59"/>
        <v>644.82985775464886</v>
      </c>
      <c r="AN69" s="62">
        <f ca="1">AVERAGE(OFFSET($AM$3,0,0,'Données projet'!$E$10+1,1))-AVERAGE(OFFSET($H$3,0,0,'Données projet'!$E$10+1,1))</f>
        <v>400.48230125343474</v>
      </c>
      <c r="AO69" s="62">
        <f t="shared" ref="AO69:AO132" si="90">$AO$3</f>
        <v>275.67023303885048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0</v>
      </c>
      <c r="AV69" s="23">
        <f>EXP(-LN(2)/25)*AV68+(1-EXP(-LN(2)/25))/(LN(2)/25)*Calculateur!AQ69*Calculateur!AS69*VLOOKUP('Données projet'!$B$10,Paramètres!$A$1:$I$89,3,0)*0.475*44/12</f>
        <v>0</v>
      </c>
      <c r="AW69" s="23">
        <f>EXP(-LN(2)/2)*AW68+(1-EXP(-LN(2)/2))/(LN(2)/2)*AQ69*AT69*VLOOKUP('Données projet'!$B$10,Paramètres!$A$1:$I$89,3,0)*0.475*44/12</f>
        <v>0</v>
      </c>
      <c r="AX69" s="23">
        <f t="shared" si="60"/>
        <v>0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6.8</v>
      </c>
      <c r="BD69" s="13">
        <f>IF('Données projet'!$A$88&gt;35,BD68+BC69-BL68,IF(A69&lt;'Données projet'!$A$88,$BA$205^A69,IF(A69='Données projet'!$A$88,'Données projet'!$B$88,BD68+BC69-BL68)))</f>
        <v>235.79999999999993</v>
      </c>
      <c r="BE69" s="14">
        <f>BD69*VLOOKUP('Données projet'!$B$11,Paramètres!$A$1:$I$89,3,0)*VLOOKUP('Données projet'!$B$11,Paramètres!$A$1:$I$89,5,0)</f>
        <v>228.06575999999993</v>
      </c>
      <c r="BF69" s="14">
        <f t="shared" ref="BF69:BF132" si="91">EXP(-1.0587+0.8836*LN(BE69)+0.284)</f>
        <v>55.864248276798108</v>
      </c>
      <c r="BG69" s="22">
        <f t="shared" si="61"/>
        <v>494.51143108208981</v>
      </c>
      <c r="BH69" s="62">
        <f t="shared" si="62"/>
        <v>758.96449019927695</v>
      </c>
      <c r="BI69" s="62">
        <f ca="1">AVERAGE(OFFSET($BH$3,0,0,'Données projet'!$E$11+1,1))-AVERAGE(OFFSET($H$3,0,0,'Données projet'!$E$11+1,1))</f>
        <v>496.33873798282525</v>
      </c>
      <c r="BJ69" s="62">
        <f t="shared" ref="BJ69:BJ132" si="92">$BJ$3</f>
        <v>280.25465074992246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>
        <f>EXP(-LN(2)/35)*BP68+(1-EXP(-LN(2)/35))/(LN(2)/35)*BL69*BM69*VLOOKUP('Données projet'!$B$11,Paramètres!$A$1:$I$89,3,0)*0.475*44/12</f>
        <v>0</v>
      </c>
      <c r="BQ69" s="23">
        <f>EXP(-LN(2)/25)*BQ68+(1-EXP(-LN(2)/25))/(LN(2)/25)*Calculateur!BL69*Calculateur!BN69*VLOOKUP('Données projet'!$B$11,Paramètres!$A$1:$I$89,3,0)*0.475*44/12</f>
        <v>0</v>
      </c>
      <c r="BR69" s="23">
        <f>EXP(-LN(2)/2)*BR68+(1-EXP(-LN(2)/2))/(LN(2)/2)*BL69*BO69*VLOOKUP('Données projet'!$B$11,Paramètres!$A$1:$I$89,3,0)*0.475*44/12</f>
        <v>0</v>
      </c>
      <c r="BS69" s="24">
        <f t="shared" si="63"/>
        <v>0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3</v>
      </c>
      <c r="BY69" s="13">
        <f>IF('Données projet'!$A$114&gt;35,BY68+BX69-CG68,IF(A69&lt;'Données projet'!$A$114,$BV$205^A69,IF(A69='Données projet'!$A$114,'Données projet'!$B$114,BY68+BX69-CG68)))</f>
        <v>196.99999999999989</v>
      </c>
      <c r="BZ69" s="14">
        <f>BY69*VLOOKUP('Données projet'!$B$12,Paramètres!$A$1:$I$89,3,0)*VLOOKUP('Données projet'!$B$12,Paramètres!$A$1:$I$89,5,0)</f>
        <v>172.09919999999994</v>
      </c>
      <c r="CA69" s="14">
        <f t="shared" ref="CA69:CA132" si="93">EXP(-1.0587+0.8836*LN(BZ69)+0.284)</f>
        <v>43.559838214506954</v>
      </c>
      <c r="CB69" s="22">
        <f t="shared" si="64"/>
        <v>375.60615822359949</v>
      </c>
      <c r="CC69" s="62">
        <f t="shared" si="65"/>
        <v>640.05921734078652</v>
      </c>
      <c r="CD69" s="62">
        <f ca="1">AVERAGE(OFFSET($CC$3,0,0,'Données projet'!$E$12+1,1))-AVERAGE(OFFSET($H$3,0,0,'Données projet'!$E$12+1,1))</f>
        <v>298.56812743477741</v>
      </c>
      <c r="CE69" s="62">
        <f t="shared" ref="CE69:CE132" si="94">$CE$3</f>
        <v>276.01618888357268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>
        <f>EXP(-LN(2)/35)*CK68+(1-EXP(-LN(2)/35))/(LN(2)/35)*CG69*CH69*VLOOKUP('Données projet'!$B$12,Paramètres!$A$1:$I$89,3,0)*0.475*44/12</f>
        <v>0</v>
      </c>
      <c r="CL69" s="23">
        <f>EXP(-LN(2)/25)*CL68+(1-EXP(-LN(2)/25))/(LN(2)/25)*Calculateur!CG69*Calculateur!CI69*VLOOKUP('Données projet'!$B$12,Paramètres!$A$1:$I$89,3,0)*0.475*44/12</f>
        <v>0</v>
      </c>
      <c r="CM69" s="23">
        <f>EXP(-LN(2)/2)*CM68+(1-EXP(-LN(2)/2))/(LN(2)/2)*CG69*CJ69*VLOOKUP('Données projet'!$B$12,Paramètres!$A$1:$I$89,3,0)*0.475*44/12</f>
        <v>0</v>
      </c>
      <c r="CN69" s="24">
        <f t="shared" si="66"/>
        <v>0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5</v>
      </c>
      <c r="CT69" s="13">
        <f>IF('Données projet'!$A$140&gt;35,CT68+CS69-DB68,IF(A69&lt;'Données projet'!$A$140,$CQ$205^A69,IF(A69='Données projet'!$A$140,'Données projet'!$B$140,CT68+CS69-DB68)))</f>
        <v>231.92307692307688</v>
      </c>
      <c r="CU69" s="18">
        <f>CT69*VLOOKUP('Données projet'!$B$13,Paramètres!$A$1:$I$89,3,0)*VLOOKUP('Données projet'!$B$13,Paramètres!$A$1:$I$89,5,0)</f>
        <v>155.57399999999998</v>
      </c>
      <c r="CV69" s="14">
        <f t="shared" ref="CV69:CV132" si="95">EXP(-1.0587+0.8836*LN(CU69)+0.284)</f>
        <v>39.842594745761488</v>
      </c>
      <c r="CW69" s="22">
        <f t="shared" si="67"/>
        <v>340.35056918220118</v>
      </c>
      <c r="CX69" s="62">
        <f t="shared" si="68"/>
        <v>604.80362829938827</v>
      </c>
      <c r="CY69" s="62">
        <f ca="1">AVERAGE(OFFSET($CX$3,0,0,'Données projet'!$E$13+1,1))-AVERAGE(OFFSET($H$3,0,0,'Données projet'!$E$13+1,1))</f>
        <v>346.82725381974132</v>
      </c>
      <c r="CZ69" s="62">
        <f t="shared" ref="CZ69:CZ132" si="96">$CZ$3</f>
        <v>254.09787950201044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>
        <f>EXP(-LN(2)/35)*DF68+(1-EXP(-LN(2)/35))/(LN(2)/35)*DB69*DC69*VLOOKUP('Données projet'!$B$13,Paramètres!$A$1:$I$89,3,0)*0.475*44/12</f>
        <v>0</v>
      </c>
      <c r="DG69" s="23">
        <f>EXP(-LN(2)/25)*DG68+(1-EXP(-LN(2)/25))/(LN(2)/25)*Calculateur!DB69*Calculateur!DD69*VLOOKUP('Données projet'!$B$13,Paramètres!$A$1:$I$89,3,0)*0.475*44/12</f>
        <v>0</v>
      </c>
      <c r="DH69" s="23">
        <f>EXP(-LN(2)/2)*DH68+(1-EXP(-LN(2)/2))/(LN(2)/2)*DB69*DE69*VLOOKUP('Données projet'!$B$13,Paramètres!$A$1:$I$89,3,0)*0.475*44/12</f>
        <v>0</v>
      </c>
      <c r="DI69" s="24">
        <f t="shared" si="69"/>
        <v>0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5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2">
        <f t="shared" si="86"/>
        <v>0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18.333333333333332</v>
      </c>
      <c r="H70" s="70">
        <f t="shared" si="56"/>
        <v>183.33333333333334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6.8</v>
      </c>
      <c r="N70" s="14">
        <f>IF('Données projet'!$A$36&gt;35,N69+M70-V69,IF(A70&lt;'Données projet'!$A$36,$K$205^A70,IF(A70='Données projet'!$A$36,'Données projet'!$B$36,N69+M70-V69)))</f>
        <v>242.59999999999994</v>
      </c>
      <c r="O70" s="14">
        <f>N70*VLOOKUP('Données projet'!$B$9,Paramètres!$A$1:$I$89,3,0)*VLOOKUP('Données projet'!$B$9,Paramètres!$A$1:$I$89,5,0)</f>
        <v>219.50447999999992</v>
      </c>
      <c r="P70" s="14">
        <f t="shared" si="87"/>
        <v>54.007172767040167</v>
      </c>
      <c r="Q70" s="22">
        <f t="shared" si="54"/>
        <v>476.36612856926143</v>
      </c>
      <c r="R70" s="62">
        <f t="shared" si="55"/>
        <v>741.32019587747834</v>
      </c>
      <c r="S70" s="62">
        <f ca="1">AVERAGE(OFFSET($R$3,0,0,'Données projet'!$E$9+1,1))-AVERAGE(OFFSET($H$3,0,0,'Données projet'!$E$9+1,1))</f>
        <v>469.67944008675863</v>
      </c>
      <c r="T70" s="62">
        <f t="shared" si="88"/>
        <v>266.11908070867173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0</v>
      </c>
      <c r="AA70" s="23">
        <f>EXP(-LN(2)/25)*AA69+(1-EXP(-LN(2)/25))/(LN(2)/25)*Calculateur!V70*Calculateur!X70*VLOOKUP('Données projet'!$B$9,Paramètres!$A$1:$I$89,3,0)*0.475*44/12</f>
        <v>0</v>
      </c>
      <c r="AB70" s="23">
        <f>EXP(-LN(2)/2)*AB69+(1-EXP(-LN(2)/2))/(LN(2)/2)*V70*Y70*VLOOKUP('Données projet'!$B$9,Paramètres!$A$1:$I$89,3,0)*0.475*44/12</f>
        <v>0</v>
      </c>
      <c r="AC70" s="24">
        <f t="shared" si="57"/>
        <v>0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4.3589743589743595</v>
      </c>
      <c r="AI70" s="14">
        <f>IF('Données projet'!$A$62&gt;35,AI69+AH70-AQ69,IF(A70&lt;'Données projet'!$A$62,$AF$205^A70,IF(A70='Données projet'!$A$62,'Données projet'!$B$62,AI69+AH70-AQ69)))</f>
        <v>187.56410256410243</v>
      </c>
      <c r="AJ70" s="14">
        <f>AI70*VLOOKUP('Données projet'!$B$10,Paramètres!$A$1:$I$89,3,0)*VLOOKUP('Données projet'!$B$10,Paramètres!$A$1:$I$89,5,0)</f>
        <v>178.48599999999988</v>
      </c>
      <c r="AK70" s="14">
        <f t="shared" si="89"/>
        <v>44.985183651187008</v>
      </c>
      <c r="AL70" s="22">
        <f t="shared" si="58"/>
        <v>389.21231152581714</v>
      </c>
      <c r="AM70" s="62">
        <f t="shared" si="59"/>
        <v>654.16637883403405</v>
      </c>
      <c r="AN70" s="62">
        <f ca="1">AVERAGE(OFFSET($AM$3,0,0,'Données projet'!$E$10+1,1))-AVERAGE(OFFSET($H$3,0,0,'Données projet'!$E$10+1,1))</f>
        <v>400.48230125343474</v>
      </c>
      <c r="AO70" s="62">
        <f t="shared" si="90"/>
        <v>275.67023303885048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0</v>
      </c>
      <c r="AV70" s="23">
        <f>EXP(-LN(2)/25)*AV69+(1-EXP(-LN(2)/25))/(LN(2)/25)*Calculateur!AQ70*Calculateur!AS70*VLOOKUP('Données projet'!$B$10,Paramètres!$A$1:$I$89,3,0)*0.475*44/12</f>
        <v>0</v>
      </c>
      <c r="AW70" s="23">
        <f>EXP(-LN(2)/2)*AW69+(1-EXP(-LN(2)/2))/(LN(2)/2)*AQ70*AT70*VLOOKUP('Données projet'!$B$10,Paramètres!$A$1:$I$89,3,0)*0.475*44/12</f>
        <v>0</v>
      </c>
      <c r="AX70" s="23">
        <f t="shared" si="60"/>
        <v>0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6.8</v>
      </c>
      <c r="BD70" s="13">
        <f>IF('Données projet'!$A$88&gt;35,BD69+BC70-BL69,IF(A70&lt;'Données projet'!$A$88,$BA$205^A70,IF(A70='Données projet'!$A$88,'Données projet'!$B$88,BD69+BC70-BL69)))</f>
        <v>242.59999999999994</v>
      </c>
      <c r="BE70" s="14">
        <f>BD70*VLOOKUP('Données projet'!$B$11,Paramètres!$A$1:$I$89,3,0)*VLOOKUP('Données projet'!$B$11,Paramètres!$A$1:$I$89,5,0)</f>
        <v>234.64271999999994</v>
      </c>
      <c r="BF70" s="14">
        <f t="shared" si="91"/>
        <v>57.285375557336316</v>
      </c>
      <c r="BG70" s="22">
        <f t="shared" si="61"/>
        <v>508.44143309569387</v>
      </c>
      <c r="BH70" s="62">
        <f t="shared" si="62"/>
        <v>773.39550040391077</v>
      </c>
      <c r="BI70" s="62">
        <f ca="1">AVERAGE(OFFSET($BH$3,0,0,'Données projet'!$E$11+1,1))-AVERAGE(OFFSET($H$3,0,0,'Données projet'!$E$11+1,1))</f>
        <v>496.33873798282525</v>
      </c>
      <c r="BJ70" s="62">
        <f t="shared" si="92"/>
        <v>280.25465074992246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>
        <f>EXP(-LN(2)/35)*BP69+(1-EXP(-LN(2)/35))/(LN(2)/35)*BL70*BM70*VLOOKUP('Données projet'!$B$11,Paramètres!$A$1:$I$89,3,0)*0.475*44/12</f>
        <v>0</v>
      </c>
      <c r="BQ70" s="23">
        <f>EXP(-LN(2)/25)*BQ69+(1-EXP(-LN(2)/25))/(LN(2)/25)*Calculateur!BL70*Calculateur!BN70*VLOOKUP('Données projet'!$B$11,Paramètres!$A$1:$I$89,3,0)*0.475*44/12</f>
        <v>0</v>
      </c>
      <c r="BR70" s="23">
        <f>EXP(-LN(2)/2)*BR69+(1-EXP(-LN(2)/2))/(LN(2)/2)*BL70*BO70*VLOOKUP('Données projet'!$B$11,Paramètres!$A$1:$I$89,3,0)*0.475*44/12</f>
        <v>0</v>
      </c>
      <c r="BS70" s="24">
        <f t="shared" si="63"/>
        <v>0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3</v>
      </c>
      <c r="BY70" s="13">
        <f>IF('Données projet'!$A$114&gt;35,BY69+BX70-CG69,IF(A70&lt;'Données projet'!$A$114,$BV$205^A70,IF(A70='Données projet'!$A$114,'Données projet'!$B$114,BY69+BX70-CG69)))</f>
        <v>199.99999999999989</v>
      </c>
      <c r="BZ70" s="14">
        <f>BY70*VLOOKUP('Données projet'!$B$12,Paramètres!$A$1:$I$89,3,0)*VLOOKUP('Données projet'!$B$12,Paramètres!$A$1:$I$89,5,0)</f>
        <v>174.71999999999991</v>
      </c>
      <c r="CA70" s="14">
        <f t="shared" si="93"/>
        <v>44.145455754865203</v>
      </c>
      <c r="CB70" s="22">
        <f t="shared" si="64"/>
        <v>381.19066877305676</v>
      </c>
      <c r="CC70" s="62">
        <f t="shared" si="65"/>
        <v>646.14473608127366</v>
      </c>
      <c r="CD70" s="62">
        <f ca="1">AVERAGE(OFFSET($CC$3,0,0,'Données projet'!$E$12+1,1))-AVERAGE(OFFSET($H$3,0,0,'Données projet'!$E$12+1,1))</f>
        <v>298.56812743477741</v>
      </c>
      <c r="CE70" s="62">
        <f t="shared" si="94"/>
        <v>276.01618888357268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>
        <f>EXP(-LN(2)/35)*CK69+(1-EXP(-LN(2)/35))/(LN(2)/35)*CG70*CH70*VLOOKUP('Données projet'!$B$12,Paramètres!$A$1:$I$89,3,0)*0.475*44/12</f>
        <v>0</v>
      </c>
      <c r="CL70" s="23">
        <f>EXP(-LN(2)/25)*CL69+(1-EXP(-LN(2)/25))/(LN(2)/25)*Calculateur!CG70*Calculateur!CI70*VLOOKUP('Données projet'!$B$12,Paramètres!$A$1:$I$89,3,0)*0.475*44/12</f>
        <v>0</v>
      </c>
      <c r="CM70" s="23">
        <f>EXP(-LN(2)/2)*CM69+(1-EXP(-LN(2)/2))/(LN(2)/2)*CG70*CJ70*VLOOKUP('Données projet'!$B$12,Paramètres!$A$1:$I$89,3,0)*0.475*44/12</f>
        <v>0</v>
      </c>
      <c r="CN70" s="24">
        <f t="shared" si="66"/>
        <v>0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5</v>
      </c>
      <c r="CT70" s="13">
        <f>IF('Données projet'!$A$140&gt;35,CT69+CS70-DB69,IF(A70&lt;'Données projet'!$A$140,$CQ$205^A70,IF(A70='Données projet'!$A$140,'Données projet'!$B$140,CT69+CS70-DB69)))</f>
        <v>236.92307692307688</v>
      </c>
      <c r="CU70" s="18">
        <f>CT70*VLOOKUP('Données projet'!$B$13,Paramètres!$A$1:$I$89,3,0)*VLOOKUP('Données projet'!$B$13,Paramètres!$A$1:$I$89,5,0)</f>
        <v>158.92799999999997</v>
      </c>
      <c r="CV70" s="14">
        <f t="shared" si="95"/>
        <v>40.600628293866855</v>
      </c>
      <c r="CW70" s="22">
        <f t="shared" si="67"/>
        <v>347.51236094515139</v>
      </c>
      <c r="CX70" s="62">
        <f t="shared" si="68"/>
        <v>612.46642825336835</v>
      </c>
      <c r="CY70" s="62">
        <f ca="1">AVERAGE(OFFSET($CX$3,0,0,'Données projet'!$E$13+1,1))-AVERAGE(OFFSET($H$3,0,0,'Données projet'!$E$13+1,1))</f>
        <v>346.82725381974132</v>
      </c>
      <c r="CZ70" s="62">
        <f t="shared" si="96"/>
        <v>254.09787950201044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>
        <f>EXP(-LN(2)/35)*DF69+(1-EXP(-LN(2)/35))/(LN(2)/35)*DB70*DC70*VLOOKUP('Données projet'!$B$13,Paramètres!$A$1:$I$89,3,0)*0.475*44/12</f>
        <v>0</v>
      </c>
      <c r="DG70" s="23">
        <f>EXP(-LN(2)/25)*DG69+(1-EXP(-LN(2)/25))/(LN(2)/25)*Calculateur!DB70*Calculateur!DD70*VLOOKUP('Données projet'!$B$13,Paramètres!$A$1:$I$89,3,0)*0.475*44/12</f>
        <v>0</v>
      </c>
      <c r="DH70" s="23">
        <f>EXP(-LN(2)/2)*DH69+(1-EXP(-LN(2)/2))/(LN(2)/2)*DB70*DE70*VLOOKUP('Données projet'!$B$13,Paramètres!$A$1:$I$89,3,0)*0.475*44/12</f>
        <v>0</v>
      </c>
      <c r="DI70" s="24">
        <f t="shared" si="69"/>
        <v>0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5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2">
        <f t="shared" si="86"/>
        <v>0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18.333333333333332</v>
      </c>
      <c r="H71" s="70">
        <f t="shared" si="56"/>
        <v>183.33333333333334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6.8</v>
      </c>
      <c r="N71" s="14">
        <f>IF('Données projet'!$A$36&gt;35,N70+M71-V70,IF(A71&lt;'Données projet'!$A$36,$K$205^A71,IF(A71='Données projet'!$A$36,'Données projet'!$B$36,N70+M71-V70)))</f>
        <v>249.39999999999995</v>
      </c>
      <c r="O71" s="14">
        <f>N71*VLOOKUP('Données projet'!$B$9,Paramètres!$A$1:$I$89,3,0)*VLOOKUP('Données projet'!$B$9,Paramètres!$A$1:$I$89,5,0)</f>
        <v>225.65711999999994</v>
      </c>
      <c r="P71" s="14">
        <f t="shared" si="87"/>
        <v>55.342610076561513</v>
      </c>
      <c r="Q71" s="22">
        <f t="shared" si="54"/>
        <v>489.40786321667775</v>
      </c>
      <c r="R71" s="62">
        <f t="shared" si="55"/>
        <v>754.85424734389653</v>
      </c>
      <c r="S71" s="62">
        <f ca="1">AVERAGE(OFFSET($R$3,0,0,'Données projet'!$E$9+1,1))-AVERAGE(OFFSET($H$3,0,0,'Données projet'!$E$9+1,1))</f>
        <v>469.67944008675863</v>
      </c>
      <c r="T71" s="62">
        <f t="shared" si="88"/>
        <v>266.11908070867173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0</v>
      </c>
      <c r="AA71" s="23">
        <f>EXP(-LN(2)/25)*AA70+(1-EXP(-LN(2)/25))/(LN(2)/25)*Calculateur!V71*Calculateur!X71*VLOOKUP('Données projet'!$B$9,Paramètres!$A$1:$I$89,3,0)*0.475*44/12</f>
        <v>0</v>
      </c>
      <c r="AB71" s="23">
        <f>EXP(-LN(2)/2)*AB70+(1-EXP(-LN(2)/2))/(LN(2)/2)*V71*Y71*VLOOKUP('Données projet'!$B$9,Paramètres!$A$1:$I$89,3,0)*0.475*44/12</f>
        <v>0</v>
      </c>
      <c r="AC71" s="24">
        <f t="shared" si="57"/>
        <v>0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4.3589743589743595</v>
      </c>
      <c r="AI71" s="14">
        <f>IF('Données projet'!$A$62&gt;35,AI70+AH71-AQ70,IF(A71&lt;'Données projet'!$A$62,$AF$205^A71,IF(A71='Données projet'!$A$62,'Données projet'!$B$62,AI70+AH71-AQ70)))</f>
        <v>191.92307692307679</v>
      </c>
      <c r="AJ71" s="14">
        <f>AI71*VLOOKUP('Données projet'!$B$10,Paramètres!$A$1:$I$89,3,0)*VLOOKUP('Données projet'!$B$10,Paramètres!$A$1:$I$89,5,0)</f>
        <v>182.63399999999987</v>
      </c>
      <c r="AK71" s="14">
        <f t="shared" si="89"/>
        <v>45.907706248155456</v>
      </c>
      <c r="AL71" s="22">
        <f t="shared" si="58"/>
        <v>398.04347171553718</v>
      </c>
      <c r="AM71" s="62">
        <f t="shared" si="59"/>
        <v>663.48985584275601</v>
      </c>
      <c r="AN71" s="62">
        <f ca="1">AVERAGE(OFFSET($AM$3,0,0,'Données projet'!$E$10+1,1))-AVERAGE(OFFSET($H$3,0,0,'Données projet'!$E$10+1,1))</f>
        <v>400.48230125343474</v>
      </c>
      <c r="AO71" s="62">
        <f t="shared" si="90"/>
        <v>275.67023303885048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0</v>
      </c>
      <c r="AV71" s="23">
        <f>EXP(-LN(2)/25)*AV70+(1-EXP(-LN(2)/25))/(LN(2)/25)*Calculateur!AQ71*Calculateur!AS71*VLOOKUP('Données projet'!$B$10,Paramètres!$A$1:$I$89,3,0)*0.475*44/12</f>
        <v>0</v>
      </c>
      <c r="AW71" s="23">
        <f>EXP(-LN(2)/2)*AW70+(1-EXP(-LN(2)/2))/(LN(2)/2)*AQ71*AT71*VLOOKUP('Données projet'!$B$10,Paramètres!$A$1:$I$89,3,0)*0.475*44/12</f>
        <v>0</v>
      </c>
      <c r="AX71" s="23">
        <f t="shared" si="60"/>
        <v>0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6.8</v>
      </c>
      <c r="BD71" s="13">
        <f>IF('Données projet'!$A$88&gt;35,BD70+BC71-BL70,IF(A71&lt;'Données projet'!$A$88,$BA$205^A71,IF(A71='Données projet'!$A$88,'Données projet'!$B$88,BD70+BC71-BL70)))</f>
        <v>249.39999999999995</v>
      </c>
      <c r="BE71" s="14">
        <f>BD71*VLOOKUP('Données projet'!$B$11,Paramètres!$A$1:$I$89,3,0)*VLOOKUP('Données projet'!$B$11,Paramètres!$A$1:$I$89,5,0)</f>
        <v>241.21967999999995</v>
      </c>
      <c r="BF71" s="14">
        <f t="shared" si="91"/>
        <v>58.701873105526744</v>
      </c>
      <c r="BG71" s="22">
        <f t="shared" si="61"/>
        <v>522.36337165879229</v>
      </c>
      <c r="BH71" s="62">
        <f t="shared" si="62"/>
        <v>787.80975578601112</v>
      </c>
      <c r="BI71" s="62">
        <f ca="1">AVERAGE(OFFSET($BH$3,0,0,'Données projet'!$E$11+1,1))-AVERAGE(OFFSET($H$3,0,0,'Données projet'!$E$11+1,1))</f>
        <v>496.33873798282525</v>
      </c>
      <c r="BJ71" s="62">
        <f t="shared" si="92"/>
        <v>280.25465074992246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>
        <f>EXP(-LN(2)/35)*BP70+(1-EXP(-LN(2)/35))/(LN(2)/35)*BL71*BM71*VLOOKUP('Données projet'!$B$11,Paramètres!$A$1:$I$89,3,0)*0.475*44/12</f>
        <v>0</v>
      </c>
      <c r="BQ71" s="23">
        <f>EXP(-LN(2)/25)*BQ70+(1-EXP(-LN(2)/25))/(LN(2)/25)*Calculateur!BL71*Calculateur!BN71*VLOOKUP('Données projet'!$B$11,Paramètres!$A$1:$I$89,3,0)*0.475*44/12</f>
        <v>0</v>
      </c>
      <c r="BR71" s="23">
        <f>EXP(-LN(2)/2)*BR70+(1-EXP(-LN(2)/2))/(LN(2)/2)*BL71*BO71*VLOOKUP('Données projet'!$B$11,Paramètres!$A$1:$I$89,3,0)*0.475*44/12</f>
        <v>0</v>
      </c>
      <c r="BS71" s="24">
        <f t="shared" si="63"/>
        <v>0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3</v>
      </c>
      <c r="BY71" s="13">
        <f>IF('Données projet'!$A$114&gt;35,BY70+BX71-CG70,IF(A71&lt;'Données projet'!$A$114,$BV$205^A71,IF(A71='Données projet'!$A$114,'Données projet'!$B$114,BY70+BX71-CG70)))</f>
        <v>202.99999999999989</v>
      </c>
      <c r="BZ71" s="14">
        <f>BY71*VLOOKUP('Données projet'!$B$12,Paramètres!$A$1:$I$89,3,0)*VLOOKUP('Données projet'!$B$12,Paramètres!$A$1:$I$89,5,0)</f>
        <v>177.34079999999992</v>
      </c>
      <c r="CA71" s="14">
        <f t="shared" si="93"/>
        <v>44.73005165860306</v>
      </c>
      <c r="CB71" s="22">
        <f t="shared" si="64"/>
        <v>386.7733999720669</v>
      </c>
      <c r="CC71" s="62">
        <f t="shared" si="65"/>
        <v>652.21978409928579</v>
      </c>
      <c r="CD71" s="62">
        <f ca="1">AVERAGE(OFFSET($CC$3,0,0,'Données projet'!$E$12+1,1))-AVERAGE(OFFSET($H$3,0,0,'Données projet'!$E$12+1,1))</f>
        <v>298.56812743477741</v>
      </c>
      <c r="CE71" s="62">
        <f t="shared" si="94"/>
        <v>276.01618888357268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>
        <f>EXP(-LN(2)/35)*CK70+(1-EXP(-LN(2)/35))/(LN(2)/35)*CG71*CH71*VLOOKUP('Données projet'!$B$12,Paramètres!$A$1:$I$89,3,0)*0.475*44/12</f>
        <v>0</v>
      </c>
      <c r="CL71" s="23">
        <f>EXP(-LN(2)/25)*CL70+(1-EXP(-LN(2)/25))/(LN(2)/25)*Calculateur!CG71*Calculateur!CI71*VLOOKUP('Données projet'!$B$12,Paramètres!$A$1:$I$89,3,0)*0.475*44/12</f>
        <v>0</v>
      </c>
      <c r="CM71" s="23">
        <f>EXP(-LN(2)/2)*CM70+(1-EXP(-LN(2)/2))/(LN(2)/2)*CG71*CJ71*VLOOKUP('Données projet'!$B$12,Paramètres!$A$1:$I$89,3,0)*0.475*44/12</f>
        <v>0</v>
      </c>
      <c r="CN71" s="24">
        <f t="shared" si="66"/>
        <v>0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5</v>
      </c>
      <c r="CT71" s="13">
        <f>IF('Données projet'!$A$140&gt;35,CT70+CS71-DB70,IF(A71&lt;'Données projet'!$A$140,$CQ$205^A71,IF(A71='Données projet'!$A$140,'Données projet'!$B$140,CT70+CS71-DB70)))</f>
        <v>241.92307692307688</v>
      </c>
      <c r="CU71" s="18">
        <f>CT71*VLOOKUP('Données projet'!$B$13,Paramètres!$A$1:$I$89,3,0)*VLOOKUP('Données projet'!$B$13,Paramètres!$A$1:$I$89,5,0)</f>
        <v>162.28199999999998</v>
      </c>
      <c r="CV71" s="14">
        <f t="shared" si="95"/>
        <v>41.356801876800624</v>
      </c>
      <c r="CW71" s="22">
        <f t="shared" si="67"/>
        <v>354.67091326876107</v>
      </c>
      <c r="CX71" s="62">
        <f t="shared" si="68"/>
        <v>620.1172973959799</v>
      </c>
      <c r="CY71" s="62">
        <f ca="1">AVERAGE(OFFSET($CX$3,0,0,'Données projet'!$E$13+1,1))-AVERAGE(OFFSET($H$3,0,0,'Données projet'!$E$13+1,1))</f>
        <v>346.82725381974132</v>
      </c>
      <c r="CZ71" s="62">
        <f t="shared" si="96"/>
        <v>254.09787950201044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>
        <f>EXP(-LN(2)/35)*DF70+(1-EXP(-LN(2)/35))/(LN(2)/35)*DB71*DC71*VLOOKUP('Données projet'!$B$13,Paramètres!$A$1:$I$89,3,0)*0.475*44/12</f>
        <v>0</v>
      </c>
      <c r="DG71" s="23">
        <f>EXP(-LN(2)/25)*DG70+(1-EXP(-LN(2)/25))/(LN(2)/25)*Calculateur!DB71*Calculateur!DD71*VLOOKUP('Données projet'!$B$13,Paramètres!$A$1:$I$89,3,0)*0.475*44/12</f>
        <v>0</v>
      </c>
      <c r="DH71" s="23">
        <f>EXP(-LN(2)/2)*DH70+(1-EXP(-LN(2)/2))/(LN(2)/2)*DB71*DE71*VLOOKUP('Données projet'!$B$13,Paramètres!$A$1:$I$89,3,0)*0.475*44/12</f>
        <v>0</v>
      </c>
      <c r="DI71" s="24">
        <f t="shared" si="69"/>
        <v>0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5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2">
        <f t="shared" si="86"/>
        <v>0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18.333333333333332</v>
      </c>
      <c r="H72" s="70">
        <f t="shared" si="56"/>
        <v>183.33333333333334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6.8</v>
      </c>
      <c r="N72" s="14">
        <f>IF('Données projet'!$A$36&gt;35,N71+M72-V71,IF(A72&lt;'Données projet'!$A$36,$K$205^A72,IF(A72='Données projet'!$A$36,'Données projet'!$B$36,N71+M72-V71)))</f>
        <v>256.19999999999993</v>
      </c>
      <c r="O72" s="14">
        <f>N72*VLOOKUP('Données projet'!$B$9,Paramètres!$A$1:$I$89,3,0)*VLOOKUP('Données projet'!$B$9,Paramètres!$A$1:$I$89,5,0)</f>
        <v>231.80975999999993</v>
      </c>
      <c r="P72" s="14">
        <f t="shared" si="87"/>
        <v>56.673815277159328</v>
      </c>
      <c r="Q72" s="22">
        <f t="shared" si="54"/>
        <v>502.44222694105241</v>
      </c>
      <c r="R72" s="62">
        <f t="shared" si="55"/>
        <v>768.37238729111891</v>
      </c>
      <c r="S72" s="62">
        <f ca="1">AVERAGE(OFFSET($R$3,0,0,'Données projet'!$E$9+1,1))-AVERAGE(OFFSET($H$3,0,0,'Données projet'!$E$9+1,1))</f>
        <v>469.67944008675863</v>
      </c>
      <c r="T72" s="62">
        <f t="shared" si="88"/>
        <v>266.11908070867173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0</v>
      </c>
      <c r="AA72" s="23">
        <f>EXP(-LN(2)/25)*AA71+(1-EXP(-LN(2)/25))/(LN(2)/25)*Calculateur!V72*Calculateur!X72*VLOOKUP('Données projet'!$B$9,Paramètres!$A$1:$I$89,3,0)*0.475*44/12</f>
        <v>0</v>
      </c>
      <c r="AB72" s="23">
        <f>EXP(-LN(2)/2)*AB71+(1-EXP(-LN(2)/2))/(LN(2)/2)*V72*Y72*VLOOKUP('Données projet'!$B$9,Paramètres!$A$1:$I$89,3,0)*0.475*44/12</f>
        <v>0</v>
      </c>
      <c r="AC72" s="24">
        <f t="shared" si="57"/>
        <v>0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4.3589743589743595</v>
      </c>
      <c r="AI72" s="14">
        <f>IF('Données projet'!$A$62&gt;35,AI71+AH72-AQ71,IF(A72&lt;'Données projet'!$A$62,$AF$205^A72,IF(A72='Données projet'!$A$62,'Données projet'!$B$62,AI71+AH72-AQ71)))</f>
        <v>196.28205128205116</v>
      </c>
      <c r="AJ72" s="14">
        <f>AI72*VLOOKUP('Données projet'!$B$10,Paramètres!$A$1:$I$89,3,0)*VLOOKUP('Données projet'!$B$10,Paramètres!$A$1:$I$89,5,0)</f>
        <v>186.78199999999987</v>
      </c>
      <c r="AK72" s="14">
        <f t="shared" si="89"/>
        <v>46.827792983393998</v>
      </c>
      <c r="AL72" s="22">
        <f t="shared" si="58"/>
        <v>406.87038944607758</v>
      </c>
      <c r="AM72" s="62">
        <f t="shared" si="59"/>
        <v>672.8005497961442</v>
      </c>
      <c r="AN72" s="62">
        <f ca="1">AVERAGE(OFFSET($AM$3,0,0,'Données projet'!$E$10+1,1))-AVERAGE(OFFSET($H$3,0,0,'Données projet'!$E$10+1,1))</f>
        <v>400.48230125343474</v>
      </c>
      <c r="AO72" s="62">
        <f t="shared" si="90"/>
        <v>275.67023303885048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0</v>
      </c>
      <c r="AV72" s="23">
        <f>EXP(-LN(2)/25)*AV71+(1-EXP(-LN(2)/25))/(LN(2)/25)*Calculateur!AQ72*Calculateur!AS72*VLOOKUP('Données projet'!$B$10,Paramètres!$A$1:$I$89,3,0)*0.475*44/12</f>
        <v>0</v>
      </c>
      <c r="AW72" s="23">
        <f>EXP(-LN(2)/2)*AW71+(1-EXP(-LN(2)/2))/(LN(2)/2)*AQ72*AT72*VLOOKUP('Données projet'!$B$10,Paramètres!$A$1:$I$89,3,0)*0.475*44/12</f>
        <v>0</v>
      </c>
      <c r="AX72" s="23">
        <f t="shared" si="60"/>
        <v>0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6.8</v>
      </c>
      <c r="BD72" s="13">
        <f>IF('Données projet'!$A$88&gt;35,BD71+BC72-BL71,IF(A72&lt;'Données projet'!$A$88,$BA$205^A72,IF(A72='Données projet'!$A$88,'Données projet'!$B$88,BD71+BC72-BL71)))</f>
        <v>256.19999999999993</v>
      </c>
      <c r="BE72" s="14">
        <f>BD72*VLOOKUP('Données projet'!$B$11,Paramètres!$A$1:$I$89,3,0)*VLOOKUP('Données projet'!$B$11,Paramètres!$A$1:$I$89,5,0)</f>
        <v>247.79663999999997</v>
      </c>
      <c r="BF72" s="14">
        <f t="shared" si="91"/>
        <v>60.113881658336368</v>
      </c>
      <c r="BG72" s="22">
        <f t="shared" si="61"/>
        <v>536.27749188826908</v>
      </c>
      <c r="BH72" s="62">
        <f t="shared" si="62"/>
        <v>802.20765223833564</v>
      </c>
      <c r="BI72" s="62">
        <f ca="1">AVERAGE(OFFSET($BH$3,0,0,'Données projet'!$E$11+1,1))-AVERAGE(OFFSET($H$3,0,0,'Données projet'!$E$11+1,1))</f>
        <v>496.33873798282525</v>
      </c>
      <c r="BJ72" s="62">
        <f t="shared" si="92"/>
        <v>280.25465074992246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>
        <f>EXP(-LN(2)/35)*BP71+(1-EXP(-LN(2)/35))/(LN(2)/35)*BL72*BM72*VLOOKUP('Données projet'!$B$11,Paramètres!$A$1:$I$89,3,0)*0.475*44/12</f>
        <v>0</v>
      </c>
      <c r="BQ72" s="23">
        <f>EXP(-LN(2)/25)*BQ71+(1-EXP(-LN(2)/25))/(LN(2)/25)*Calculateur!BL72*Calculateur!BN72*VLOOKUP('Données projet'!$B$11,Paramètres!$A$1:$I$89,3,0)*0.475*44/12</f>
        <v>0</v>
      </c>
      <c r="BR72" s="23">
        <f>EXP(-LN(2)/2)*BR71+(1-EXP(-LN(2)/2))/(LN(2)/2)*BL72*BO72*VLOOKUP('Données projet'!$B$11,Paramètres!$A$1:$I$89,3,0)*0.475*44/12</f>
        <v>0</v>
      </c>
      <c r="BS72" s="24">
        <f t="shared" si="63"/>
        <v>0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3</v>
      </c>
      <c r="BY72" s="13">
        <f>IF('Données projet'!$A$114&gt;35,BY71+BX72-CG71,IF(A72&lt;'Données projet'!$A$114,$BV$205^A72,IF(A72='Données projet'!$A$114,'Données projet'!$B$114,BY71+BX72-CG71)))</f>
        <v>205.99999999999989</v>
      </c>
      <c r="BZ72" s="14">
        <f>BY72*VLOOKUP('Données projet'!$B$12,Paramètres!$A$1:$I$89,3,0)*VLOOKUP('Données projet'!$B$12,Paramètres!$A$1:$I$89,5,0)</f>
        <v>179.96159999999992</v>
      </c>
      <c r="CA72" s="14">
        <f t="shared" si="93"/>
        <v>45.313642767960104</v>
      </c>
      <c r="CB72" s="22">
        <f t="shared" si="64"/>
        <v>392.35438115419703</v>
      </c>
      <c r="CC72" s="62">
        <f t="shared" si="65"/>
        <v>658.28454150426364</v>
      </c>
      <c r="CD72" s="62">
        <f ca="1">AVERAGE(OFFSET($CC$3,0,0,'Données projet'!$E$12+1,1))-AVERAGE(OFFSET($H$3,0,0,'Données projet'!$E$12+1,1))</f>
        <v>298.56812743477741</v>
      </c>
      <c r="CE72" s="62">
        <f t="shared" si="94"/>
        <v>276.01618888357268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>
        <f>EXP(-LN(2)/35)*CK71+(1-EXP(-LN(2)/35))/(LN(2)/35)*CG72*CH72*VLOOKUP('Données projet'!$B$12,Paramètres!$A$1:$I$89,3,0)*0.475*44/12</f>
        <v>0</v>
      </c>
      <c r="CL72" s="23">
        <f>EXP(-LN(2)/25)*CL71+(1-EXP(-LN(2)/25))/(LN(2)/25)*Calculateur!CG72*Calculateur!CI72*VLOOKUP('Données projet'!$B$12,Paramètres!$A$1:$I$89,3,0)*0.475*44/12</f>
        <v>0</v>
      </c>
      <c r="CM72" s="23">
        <f>EXP(-LN(2)/2)*CM71+(1-EXP(-LN(2)/2))/(LN(2)/2)*CG72*CJ72*VLOOKUP('Données projet'!$B$12,Paramètres!$A$1:$I$89,3,0)*0.475*44/12</f>
        <v>0</v>
      </c>
      <c r="CN72" s="24">
        <f t="shared" si="66"/>
        <v>0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5</v>
      </c>
      <c r="CT72" s="13">
        <f>IF('Données projet'!$A$140&gt;35,CT71+CS72-DB71,IF(A72&lt;'Données projet'!$A$140,$CQ$205^A72,IF(A72='Données projet'!$A$140,'Données projet'!$B$140,CT71+CS72-DB71)))</f>
        <v>246.92307692307688</v>
      </c>
      <c r="CU72" s="18">
        <f>CT72*VLOOKUP('Données projet'!$B$13,Paramètres!$A$1:$I$89,3,0)*VLOOKUP('Données projet'!$B$13,Paramètres!$A$1:$I$89,5,0)</f>
        <v>165.63599999999997</v>
      </c>
      <c r="CV72" s="14">
        <f t="shared" si="95"/>
        <v>42.111158364957326</v>
      </c>
      <c r="CW72" s="22">
        <f t="shared" si="67"/>
        <v>361.82630081896724</v>
      </c>
      <c r="CX72" s="62">
        <f t="shared" si="68"/>
        <v>627.75646116903386</v>
      </c>
      <c r="CY72" s="62">
        <f ca="1">AVERAGE(OFFSET($CX$3,0,0,'Données projet'!$E$13+1,1))-AVERAGE(OFFSET($H$3,0,0,'Données projet'!$E$13+1,1))</f>
        <v>346.82725381974132</v>
      </c>
      <c r="CZ72" s="62">
        <f t="shared" si="96"/>
        <v>254.09787950201044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>
        <f>EXP(-LN(2)/35)*DF71+(1-EXP(-LN(2)/35))/(LN(2)/35)*DB72*DC72*VLOOKUP('Données projet'!$B$13,Paramètres!$A$1:$I$89,3,0)*0.475*44/12</f>
        <v>0</v>
      </c>
      <c r="DG72" s="23">
        <f>EXP(-LN(2)/25)*DG71+(1-EXP(-LN(2)/25))/(LN(2)/25)*Calculateur!DB72*Calculateur!DD72*VLOOKUP('Données projet'!$B$13,Paramètres!$A$1:$I$89,3,0)*0.475*44/12</f>
        <v>0</v>
      </c>
      <c r="DH72" s="23">
        <f>EXP(-LN(2)/2)*DH71+(1-EXP(-LN(2)/2))/(LN(2)/2)*DB72*DE72*VLOOKUP('Données projet'!$B$13,Paramètres!$A$1:$I$89,3,0)*0.475*44/12</f>
        <v>0</v>
      </c>
      <c r="DI72" s="24">
        <f t="shared" si="69"/>
        <v>0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5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2">
        <f t="shared" si="86"/>
        <v>0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18.333333333333332</v>
      </c>
      <c r="H73" s="70">
        <f t="shared" si="56"/>
        <v>183.33333333333334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>
        <f>VLOOKUP(A73,'Données projet'!$A$35:$I$55,2,0)</f>
        <v>263</v>
      </c>
      <c r="L73" s="13">
        <f>VLOOKUP(A73,'Données projet'!$A$35:$I$55,9,0)</f>
        <v>6.8</v>
      </c>
      <c r="M73" s="13">
        <f t="array" ref="M73">INDEX(L:L,MIN(IF(ISNUMBER(L73:L269),ROW(L73:L269),"")))</f>
        <v>6.8</v>
      </c>
      <c r="N73" s="14">
        <f>IF('Données projet'!$A$36&gt;35,N72+M73-V72,IF(A73&lt;'Données projet'!$A$36,$K$205^A73,IF(A73='Données projet'!$A$36,'Données projet'!$B$36,N72+M73-V72)))</f>
        <v>262.99999999999994</v>
      </c>
      <c r="O73" s="14">
        <f>N73*VLOOKUP('Données projet'!$B$9,Paramètres!$A$1:$I$89,3,0)*VLOOKUP('Données projet'!$B$9,Paramètres!$A$1:$I$89,5,0)</f>
        <v>237.96239999999995</v>
      </c>
      <c r="P73" s="14">
        <f t="shared" si="87"/>
        <v>58.00091360766335</v>
      </c>
      <c r="Q73" s="22">
        <f t="shared" si="54"/>
        <v>515.4694378666801</v>
      </c>
      <c r="R73" s="62">
        <f t="shared" si="55"/>
        <v>781.87498200368964</v>
      </c>
      <c r="S73" s="62">
        <f ca="1">AVERAGE(OFFSET($R$3,0,0,'Données projet'!$E$9+1,1))-AVERAGE(OFFSET($H$3,0,0,'Données projet'!$E$9+1,1))</f>
        <v>469.67944008675863</v>
      </c>
      <c r="T73" s="62">
        <f t="shared" si="88"/>
        <v>266.11908070867173</v>
      </c>
      <c r="U73" s="16">
        <f>IF(ISNA(VLOOKUP(A73,'Données projet'!$A$35:$I$55,3,0)),0,VLOOKUP(A73,'Données projet'!$A$35:$I$55,3,0))</f>
        <v>5</v>
      </c>
      <c r="V73" s="16">
        <f>IF(ISNA(VLOOKUP(A73,'Données projet'!$A$35:$I$55,4,0)),0,VLOOKUP(A73,'Données projet'!$A$35:$I$55,4,0))</f>
        <v>42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0</v>
      </c>
      <c r="AA73" s="23">
        <f>EXP(-LN(2)/25)*AA72+(1-EXP(-LN(2)/25))/(LN(2)/25)*Calculateur!V73*Calculateur!X73*VLOOKUP('Données projet'!$B$9,Paramètres!$A$1:$I$89,3,0)*0.475*44/12</f>
        <v>0</v>
      </c>
      <c r="AB73" s="23">
        <f>EXP(-LN(2)/2)*AB72+(1-EXP(-LN(2)/2))/(LN(2)/2)*V73*Y73*VLOOKUP('Données projet'!$B$9,Paramètres!$A$1:$I$89,3,0)*0.475*44/12</f>
        <v>0</v>
      </c>
      <c r="AC73" s="24">
        <f t="shared" si="57"/>
        <v>0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>
        <f>VLOOKUP(A73,'Données projet'!$A$61:$I$81,2,0)</f>
        <v>200.64102564102564</v>
      </c>
      <c r="AG73" s="13">
        <f>VLOOKUP(A73,'Données projet'!$A$61:$I$81,9,0)</f>
        <v>4.3589743589743595</v>
      </c>
      <c r="AH73" s="13">
        <f t="array" ref="AH73">INDEX(AG:AG,MIN(IF(ISNUMBER(AG73:AG269),ROW(AG73:AG269),"")))</f>
        <v>4.3589743589743595</v>
      </c>
      <c r="AI73" s="14">
        <f>IF('Données projet'!$A$62&gt;35,AI72+AH73-AQ72,IF(A73&lt;'Données projet'!$A$62,$AF$205^A73,IF(A73='Données projet'!$A$62,'Données projet'!$B$62,AI72+AH73-AQ72)))</f>
        <v>200.64102564102552</v>
      </c>
      <c r="AJ73" s="14">
        <f>AI73*VLOOKUP('Données projet'!$B$10,Paramètres!$A$1:$I$89,3,0)*VLOOKUP('Données projet'!$B$10,Paramètres!$A$1:$I$89,5,0)</f>
        <v>190.92999999999989</v>
      </c>
      <c r="AK73" s="14">
        <f t="shared" si="89"/>
        <v>47.745504180483643</v>
      </c>
      <c r="AL73" s="22">
        <f t="shared" si="58"/>
        <v>415.69316978100875</v>
      </c>
      <c r="AM73" s="62">
        <f t="shared" si="59"/>
        <v>682.09871391801823</v>
      </c>
      <c r="AN73" s="62">
        <f ca="1">AVERAGE(OFFSET($AM$3,0,0,'Données projet'!$E$10+1,1))-AVERAGE(OFFSET($H$3,0,0,'Données projet'!$E$10+1,1))</f>
        <v>400.48230125343474</v>
      </c>
      <c r="AO73" s="62">
        <f t="shared" si="90"/>
        <v>275.67023303885048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0</v>
      </c>
      <c r="AV73" s="23">
        <f>EXP(-LN(2)/25)*AV72+(1-EXP(-LN(2)/25))/(LN(2)/25)*Calculateur!AQ73*Calculateur!AS73*VLOOKUP('Données projet'!$B$10,Paramètres!$A$1:$I$89,3,0)*0.475*44/12</f>
        <v>0</v>
      </c>
      <c r="AW73" s="23">
        <f>EXP(-LN(2)/2)*AW72+(1-EXP(-LN(2)/2))/(LN(2)/2)*AQ73*AT73*VLOOKUP('Données projet'!$B$10,Paramètres!$A$1:$I$89,3,0)*0.475*44/12</f>
        <v>0</v>
      </c>
      <c r="AX73" s="23">
        <f t="shared" si="60"/>
        <v>0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>
        <f>VLOOKUP(A73,'Données projet'!$A$87:$I$107,2,0)</f>
        <v>263</v>
      </c>
      <c r="BB73" s="13">
        <f>VLOOKUP(A73,'Données projet'!$A$87:$I$107,9,0)</f>
        <v>6.8</v>
      </c>
      <c r="BC73" s="13">
        <f t="array" ref="BC73">INDEX(BB:BB,MIN(IF(ISNUMBER(BB73:BB269),ROW(BB73:BB269),"")))</f>
        <v>6.8</v>
      </c>
      <c r="BD73" s="13">
        <f>IF('Données projet'!$A$88&gt;35,BD72+BC73-BL72,IF(A73&lt;'Données projet'!$A$88,$BA$205^A73,IF(A73='Données projet'!$A$88,'Données projet'!$B$88,BD72+BC73-BL72)))</f>
        <v>262.99999999999994</v>
      </c>
      <c r="BE73" s="14">
        <f>BD73*VLOOKUP('Données projet'!$B$11,Paramètres!$A$1:$I$89,3,0)*VLOOKUP('Données projet'!$B$11,Paramètres!$A$1:$I$89,5,0)</f>
        <v>254.37359999999998</v>
      </c>
      <c r="BF73" s="14">
        <f t="shared" si="91"/>
        <v>61.521534056516209</v>
      </c>
      <c r="BG73" s="22">
        <f t="shared" si="61"/>
        <v>550.1840251484324</v>
      </c>
      <c r="BH73" s="62">
        <f t="shared" si="62"/>
        <v>816.58956928544194</v>
      </c>
      <c r="BI73" s="62">
        <f ca="1">AVERAGE(OFFSET($BH$3,0,0,'Données projet'!$E$11+1,1))-AVERAGE(OFFSET($H$3,0,0,'Données projet'!$E$11+1,1))</f>
        <v>496.33873798282525</v>
      </c>
      <c r="BJ73" s="62">
        <f t="shared" si="92"/>
        <v>280.25465074992246</v>
      </c>
      <c r="BK73" s="16">
        <f>IF(ISNA(VLOOKUP(A73,'Données projet'!$A$87:$I$107,3,0)),0,VLOOKUP(A73,'Données projet'!$A$87:$I$107,3,0))</f>
        <v>5</v>
      </c>
      <c r="BL73" s="16">
        <f>IF(ISNA(VLOOKUP(A73,'Données projet'!$A$87:$I$107,4,0)),0,VLOOKUP(A73,'Données projet'!$A$87:$I$107,4,0))</f>
        <v>42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>
        <f>EXP(-LN(2)/35)*BP72+(1-EXP(-LN(2)/35))/(LN(2)/35)*BL73*BM73*VLOOKUP('Données projet'!$B$11,Paramètres!$A$1:$I$89,3,0)*0.475*44/12</f>
        <v>0</v>
      </c>
      <c r="BQ73" s="23">
        <f>EXP(-LN(2)/25)*BQ72+(1-EXP(-LN(2)/25))/(LN(2)/25)*Calculateur!BL73*Calculateur!BN73*VLOOKUP('Données projet'!$B$11,Paramètres!$A$1:$I$89,3,0)*0.475*44/12</f>
        <v>0</v>
      </c>
      <c r="BR73" s="23">
        <f>EXP(-LN(2)/2)*BR72+(1-EXP(-LN(2)/2))/(LN(2)/2)*BL73*BO73*VLOOKUP('Données projet'!$B$11,Paramètres!$A$1:$I$89,3,0)*0.475*44/12</f>
        <v>0</v>
      </c>
      <c r="BS73" s="24">
        <f t="shared" si="63"/>
        <v>0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>
        <f>VLOOKUP(A73,'Données projet'!$A$113:$I$133,2,0)</f>
        <v>209</v>
      </c>
      <c r="BW73" s="13">
        <f>VLOOKUP(A73,'Données projet'!$A$113:$I$133,9,0)</f>
        <v>3</v>
      </c>
      <c r="BX73" s="13">
        <f t="array" ref="BX73">INDEX(BW:BW,MIN(IF(ISNUMBER(BW73:BW269),ROW(BW73:BW269),"")))</f>
        <v>3</v>
      </c>
      <c r="BY73" s="13">
        <f>IF('Données projet'!$A$114&gt;35,BY72+BX73-CG72,IF(A73&lt;'Données projet'!$A$114,$BV$205^A73,IF(A73='Données projet'!$A$114,'Données projet'!$B$114,BY72+BX73-CG72)))</f>
        <v>208.99999999999989</v>
      </c>
      <c r="BZ73" s="14">
        <f>BY73*VLOOKUP('Données projet'!$B$12,Paramètres!$A$1:$I$89,3,0)*VLOOKUP('Données projet'!$B$12,Paramètres!$A$1:$I$89,5,0)</f>
        <v>182.58239999999992</v>
      </c>
      <c r="CA73" s="14">
        <f t="shared" si="93"/>
        <v>45.896245406460245</v>
      </c>
      <c r="CB73" s="22">
        <f t="shared" si="64"/>
        <v>397.93364074958481</v>
      </c>
      <c r="CC73" s="62">
        <f t="shared" si="65"/>
        <v>664.33918488659424</v>
      </c>
      <c r="CD73" s="62">
        <f ca="1">AVERAGE(OFFSET($CC$3,0,0,'Données projet'!$E$12+1,1))-AVERAGE(OFFSET($H$3,0,0,'Données projet'!$E$12+1,1))</f>
        <v>298.56812743477741</v>
      </c>
      <c r="CE73" s="62">
        <f t="shared" si="94"/>
        <v>276.01618888357268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>
        <f>EXP(-LN(2)/35)*CK72+(1-EXP(-LN(2)/35))/(LN(2)/35)*CG73*CH73*VLOOKUP('Données projet'!$B$12,Paramètres!$A$1:$I$89,3,0)*0.475*44/12</f>
        <v>0</v>
      </c>
      <c r="CL73" s="23">
        <f>EXP(-LN(2)/25)*CL72+(1-EXP(-LN(2)/25))/(LN(2)/25)*Calculateur!CG73*Calculateur!CI73*VLOOKUP('Données projet'!$B$12,Paramètres!$A$1:$I$89,3,0)*0.475*44/12</f>
        <v>0</v>
      </c>
      <c r="CM73" s="23">
        <f>EXP(-LN(2)/2)*CM72+(1-EXP(-LN(2)/2))/(LN(2)/2)*CG73*CJ73*VLOOKUP('Données projet'!$B$12,Paramètres!$A$1:$I$89,3,0)*0.475*44/12</f>
        <v>0</v>
      </c>
      <c r="CN73" s="24">
        <f t="shared" si="66"/>
        <v>0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>
        <f>VLOOKUP(A73,'Données projet'!$A$139:$I$159,2,0)</f>
        <v>251.92307692307691</v>
      </c>
      <c r="CR73" s="13">
        <f>VLOOKUP(A73,'Données projet'!$A$139:$I$159,9,0)</f>
        <v>5</v>
      </c>
      <c r="CS73" s="13">
        <f t="array" ref="CS73">INDEX(CR:CR,MIN(IF(ISNUMBER(CR73:CR269),ROW(CR73:CR269),"")))</f>
        <v>5</v>
      </c>
      <c r="CT73" s="13">
        <f>IF('Données projet'!$A$140&gt;35,CT72+CS73-DB72,IF(A73&lt;'Données projet'!$A$140,$CQ$205^A73,IF(A73='Données projet'!$A$140,'Données projet'!$B$140,CT72+CS73-DB72)))</f>
        <v>251.92307692307688</v>
      </c>
      <c r="CU73" s="18">
        <f>CT73*VLOOKUP('Données projet'!$B$13,Paramètres!$A$1:$I$89,3,0)*VLOOKUP('Données projet'!$B$13,Paramètres!$A$1:$I$89,5,0)</f>
        <v>168.98999999999998</v>
      </c>
      <c r="CV73" s="14">
        <f t="shared" si="95"/>
        <v>42.863738793288526</v>
      </c>
      <c r="CW73" s="22">
        <f t="shared" si="67"/>
        <v>368.97859506497747</v>
      </c>
      <c r="CX73" s="62">
        <f t="shared" si="68"/>
        <v>635.38413920198695</v>
      </c>
      <c r="CY73" s="62">
        <f ca="1">AVERAGE(OFFSET($CX$3,0,0,'Données projet'!$E$13+1,1))-AVERAGE(OFFSET($H$3,0,0,'Données projet'!$E$13+1,1))</f>
        <v>346.82725381974132</v>
      </c>
      <c r="CZ73" s="62">
        <f t="shared" si="96"/>
        <v>254.09787950201044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>
        <f>EXP(-LN(2)/35)*DF72+(1-EXP(-LN(2)/35))/(LN(2)/35)*DB73*DC73*VLOOKUP('Données projet'!$B$13,Paramètres!$A$1:$I$89,3,0)*0.475*44/12</f>
        <v>0</v>
      </c>
      <c r="DG73" s="23">
        <f>EXP(-LN(2)/25)*DG72+(1-EXP(-LN(2)/25))/(LN(2)/25)*Calculateur!DB73*Calculateur!DD73*VLOOKUP('Données projet'!$B$13,Paramètres!$A$1:$I$89,3,0)*0.475*44/12</f>
        <v>0</v>
      </c>
      <c r="DH73" s="23">
        <f>EXP(-LN(2)/2)*DH72+(1-EXP(-LN(2)/2))/(LN(2)/2)*DB73*DE73*VLOOKUP('Données projet'!$B$13,Paramètres!$A$1:$I$89,3,0)*0.475*44/12</f>
        <v>0</v>
      </c>
      <c r="DI73" s="24">
        <f t="shared" si="69"/>
        <v>0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5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2">
        <f t="shared" si="86"/>
        <v>0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18.333333333333332</v>
      </c>
      <c r="H74" s="70">
        <f t="shared" si="56"/>
        <v>183.33333333333334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6.2</v>
      </c>
      <c r="N74" s="14">
        <f>IF('Données projet'!$A$36&gt;35,N73+M74-V73,IF(A74&lt;'Données projet'!$A$36,$K$205^A74,IF(A74='Données projet'!$A$36,'Données projet'!$B$36,N73+M74-V73)))</f>
        <v>227.19999999999993</v>
      </c>
      <c r="O74" s="14">
        <f>N74*VLOOKUP('Données projet'!$B$9,Paramètres!$A$1:$I$89,3,0)*VLOOKUP('Données projet'!$B$9,Paramètres!$A$1:$I$89,5,0)</f>
        <v>205.57055999999994</v>
      </c>
      <c r="P74" s="14">
        <f t="shared" si="87"/>
        <v>50.966443946767392</v>
      </c>
      <c r="Q74" s="22">
        <f t="shared" si="54"/>
        <v>446.80194854061978</v>
      </c>
      <c r="R74" s="62">
        <f t="shared" si="55"/>
        <v>713.67462961866772</v>
      </c>
      <c r="S74" s="62">
        <f ca="1">AVERAGE(OFFSET($R$3,0,0,'Données projet'!$E$9+1,1))-AVERAGE(OFFSET($H$3,0,0,'Données projet'!$E$9+1,1))</f>
        <v>469.67944008675863</v>
      </c>
      <c r="T74" s="62">
        <f t="shared" si="88"/>
        <v>266.11908070867173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0</v>
      </c>
      <c r="AA74" s="23">
        <f>EXP(-LN(2)/25)*AA73+(1-EXP(-LN(2)/25))/(LN(2)/25)*Calculateur!V74*Calculateur!X74*VLOOKUP('Données projet'!$B$9,Paramètres!$A$1:$I$89,3,0)*0.475*44/12</f>
        <v>0</v>
      </c>
      <c r="AB74" s="23">
        <f>EXP(-LN(2)/2)*AB73+(1-EXP(-LN(2)/2))/(LN(2)/2)*V74*Y74*VLOOKUP('Données projet'!$B$9,Paramètres!$A$1:$I$89,3,0)*0.475*44/12</f>
        <v>0</v>
      </c>
      <c r="AC74" s="24">
        <f t="shared" si="57"/>
        <v>0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4.2307692307692317</v>
      </c>
      <c r="AI74" s="14">
        <f>IF('Données projet'!$A$62&gt;35,AI73+AH74-AQ73,IF(A74&lt;'Données projet'!$A$62,$AF$205^A74,IF(A74='Données projet'!$A$62,'Données projet'!$B$62,AI73+AH74-AQ73)))</f>
        <v>204.87179487179475</v>
      </c>
      <c r="AJ74" s="14">
        <f>AI74*VLOOKUP('Données projet'!$B$10,Paramètres!$A$1:$I$89,3,0)*VLOOKUP('Données projet'!$B$10,Paramètres!$A$1:$I$89,5,0)</f>
        <v>194.9559999999999</v>
      </c>
      <c r="AK74" s="14">
        <f t="shared" si="89"/>
        <v>48.634006626561394</v>
      </c>
      <c r="AL74" s="22">
        <f t="shared" si="58"/>
        <v>424.25259487459419</v>
      </c>
      <c r="AM74" s="62">
        <f t="shared" si="59"/>
        <v>691.12527595264214</v>
      </c>
      <c r="AN74" s="62">
        <f ca="1">AVERAGE(OFFSET($AM$3,0,0,'Données projet'!$E$10+1,1))-AVERAGE(OFFSET($H$3,0,0,'Données projet'!$E$10+1,1))</f>
        <v>400.48230125343474</v>
      </c>
      <c r="AO74" s="62">
        <f t="shared" si="90"/>
        <v>275.67023303885048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0</v>
      </c>
      <c r="AV74" s="23">
        <f>EXP(-LN(2)/25)*AV73+(1-EXP(-LN(2)/25))/(LN(2)/25)*Calculateur!AQ74*Calculateur!AS74*VLOOKUP('Données projet'!$B$10,Paramètres!$A$1:$I$89,3,0)*0.475*44/12</f>
        <v>0</v>
      </c>
      <c r="AW74" s="23">
        <f>EXP(-LN(2)/2)*AW73+(1-EXP(-LN(2)/2))/(LN(2)/2)*AQ74*AT74*VLOOKUP('Données projet'!$B$10,Paramètres!$A$1:$I$89,3,0)*0.475*44/12</f>
        <v>0</v>
      </c>
      <c r="AX74" s="23">
        <f t="shared" si="60"/>
        <v>0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6.2</v>
      </c>
      <c r="BD74" s="13">
        <f>IF('Données projet'!$A$88&gt;35,BD73+BC74-BL73,IF(A74&lt;'Données projet'!$A$88,$BA$205^A74,IF(A74='Données projet'!$A$88,'Données projet'!$B$88,BD73+BC74-BL73)))</f>
        <v>227.19999999999993</v>
      </c>
      <c r="BE74" s="14">
        <f>BD74*VLOOKUP('Données projet'!$B$11,Paramètres!$A$1:$I$89,3,0)*VLOOKUP('Données projet'!$B$11,Paramètres!$A$1:$I$89,5,0)</f>
        <v>219.74783999999994</v>
      </c>
      <c r="BF74" s="14">
        <f t="shared" si="91"/>
        <v>54.060076332940561</v>
      </c>
      <c r="BG74" s="22">
        <f t="shared" si="61"/>
        <v>476.88212094653812</v>
      </c>
      <c r="BH74" s="62">
        <f t="shared" si="62"/>
        <v>743.75480202458607</v>
      </c>
      <c r="BI74" s="62">
        <f ca="1">AVERAGE(OFFSET($BH$3,0,0,'Données projet'!$E$11+1,1))-AVERAGE(OFFSET($H$3,0,0,'Données projet'!$E$11+1,1))</f>
        <v>496.33873798282525</v>
      </c>
      <c r="BJ74" s="62">
        <f t="shared" si="92"/>
        <v>280.25465074992246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>
        <f>EXP(-LN(2)/35)*BP73+(1-EXP(-LN(2)/35))/(LN(2)/35)*BL74*BM74*VLOOKUP('Données projet'!$B$11,Paramètres!$A$1:$I$89,3,0)*0.475*44/12</f>
        <v>0</v>
      </c>
      <c r="BQ74" s="23">
        <f>EXP(-LN(2)/25)*BQ73+(1-EXP(-LN(2)/25))/(LN(2)/25)*Calculateur!BL74*Calculateur!BN74*VLOOKUP('Données projet'!$B$11,Paramètres!$A$1:$I$89,3,0)*0.475*44/12</f>
        <v>0</v>
      </c>
      <c r="BR74" s="23">
        <f>EXP(-LN(2)/2)*BR73+(1-EXP(-LN(2)/2))/(LN(2)/2)*BL74*BO74*VLOOKUP('Données projet'!$B$11,Paramètres!$A$1:$I$89,3,0)*0.475*44/12</f>
        <v>0</v>
      </c>
      <c r="BS74" s="24">
        <f t="shared" si="63"/>
        <v>0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2.6</v>
      </c>
      <c r="BY74" s="13">
        <f>IF('Données projet'!$A$114&gt;35,BY73+BX74-CG73,IF(A74&lt;'Données projet'!$A$114,$BV$205^A74,IF(A74='Données projet'!$A$114,'Données projet'!$B$114,BY73+BX74-CG73)))</f>
        <v>211.59999999999988</v>
      </c>
      <c r="BZ74" s="14">
        <f>BY74*VLOOKUP('Données projet'!$B$12,Paramètres!$A$1:$I$89,3,0)*VLOOKUP('Données projet'!$B$12,Paramètres!$A$1:$I$89,5,0)</f>
        <v>184.85375999999991</v>
      </c>
      <c r="CA74" s="14">
        <f t="shared" si="93"/>
        <v>46.400380376458166</v>
      </c>
      <c r="CB74" s="22">
        <f t="shared" si="64"/>
        <v>402.76762782233112</v>
      </c>
      <c r="CC74" s="62">
        <f t="shared" si="65"/>
        <v>669.64030890037907</v>
      </c>
      <c r="CD74" s="62">
        <f ca="1">AVERAGE(OFFSET($CC$3,0,0,'Données projet'!$E$12+1,1))-AVERAGE(OFFSET($H$3,0,0,'Données projet'!$E$12+1,1))</f>
        <v>298.56812743477741</v>
      </c>
      <c r="CE74" s="62">
        <f t="shared" si="94"/>
        <v>276.01618888357268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>
        <f>EXP(-LN(2)/35)*CK73+(1-EXP(-LN(2)/35))/(LN(2)/35)*CG74*CH74*VLOOKUP('Données projet'!$B$12,Paramètres!$A$1:$I$89,3,0)*0.475*44/12</f>
        <v>0</v>
      </c>
      <c r="CL74" s="23">
        <f>EXP(-LN(2)/25)*CL73+(1-EXP(-LN(2)/25))/(LN(2)/25)*Calculateur!CG74*Calculateur!CI74*VLOOKUP('Données projet'!$B$12,Paramètres!$A$1:$I$89,3,0)*0.475*44/12</f>
        <v>0</v>
      </c>
      <c r="CM74" s="23">
        <f>EXP(-LN(2)/2)*CM73+(1-EXP(-LN(2)/2))/(LN(2)/2)*CG74*CJ74*VLOOKUP('Données projet'!$B$12,Paramètres!$A$1:$I$89,3,0)*0.475*44/12</f>
        <v>0</v>
      </c>
      <c r="CN74" s="24">
        <f t="shared" si="66"/>
        <v>0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4.6153846153846185</v>
      </c>
      <c r="CT74" s="13">
        <f>IF('Données projet'!$A$140&gt;35,CT73+CS74-DB73,IF(A74&lt;'Données projet'!$A$140,$CQ$205^A74,IF(A74='Données projet'!$A$140,'Données projet'!$B$140,CT73+CS74-DB73)))</f>
        <v>256.53846153846149</v>
      </c>
      <c r="CU74" s="18">
        <f>CT74*VLOOKUP('Données projet'!$B$13,Paramètres!$A$1:$I$89,3,0)*VLOOKUP('Données projet'!$B$13,Paramètres!$A$1:$I$89,5,0)</f>
        <v>172.08599999999996</v>
      </c>
      <c r="CV74" s="14">
        <f t="shared" si="95"/>
        <v>43.556886060678053</v>
      </c>
      <c r="CW74" s="22">
        <f t="shared" si="67"/>
        <v>375.57802655568088</v>
      </c>
      <c r="CX74" s="62">
        <f t="shared" si="68"/>
        <v>642.45070763372883</v>
      </c>
      <c r="CY74" s="62">
        <f ca="1">AVERAGE(OFFSET($CX$3,0,0,'Données projet'!$E$13+1,1))-AVERAGE(OFFSET($H$3,0,0,'Données projet'!$E$13+1,1))</f>
        <v>346.82725381974132</v>
      </c>
      <c r="CZ74" s="62">
        <f t="shared" si="96"/>
        <v>254.09787950201044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>
        <f>EXP(-LN(2)/35)*DF73+(1-EXP(-LN(2)/35))/(LN(2)/35)*DB74*DC74*VLOOKUP('Données projet'!$B$13,Paramètres!$A$1:$I$89,3,0)*0.475*44/12</f>
        <v>0</v>
      </c>
      <c r="DG74" s="23">
        <f>EXP(-LN(2)/25)*DG73+(1-EXP(-LN(2)/25))/(LN(2)/25)*Calculateur!DB74*Calculateur!DD74*VLOOKUP('Données projet'!$B$13,Paramètres!$A$1:$I$89,3,0)*0.475*44/12</f>
        <v>0</v>
      </c>
      <c r="DH74" s="23">
        <f>EXP(-LN(2)/2)*DH73+(1-EXP(-LN(2)/2))/(LN(2)/2)*DB74*DE74*VLOOKUP('Données projet'!$B$13,Paramètres!$A$1:$I$89,3,0)*0.475*44/12</f>
        <v>0</v>
      </c>
      <c r="DI74" s="24">
        <f t="shared" si="69"/>
        <v>0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5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2">
        <f t="shared" si="86"/>
        <v>0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18.333333333333332</v>
      </c>
      <c r="H75" s="70">
        <f t="shared" si="56"/>
        <v>183.33333333333334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6.2</v>
      </c>
      <c r="N75" s="14">
        <f>IF('Données projet'!$A$36&gt;35,N74+M75-V74,IF(A75&lt;'Données projet'!$A$36,$K$205^A75,IF(A75='Données projet'!$A$36,'Données projet'!$B$36,N74+M75-V74)))</f>
        <v>233.39999999999992</v>
      </c>
      <c r="O75" s="14">
        <f>N75*VLOOKUP('Données projet'!$B$9,Paramètres!$A$1:$I$89,3,0)*VLOOKUP('Données projet'!$B$9,Paramètres!$A$1:$I$89,5,0)</f>
        <v>211.18031999999994</v>
      </c>
      <c r="P75" s="14">
        <f t="shared" si="87"/>
        <v>52.193431117443019</v>
      </c>
      <c r="Q75" s="22">
        <f t="shared" si="54"/>
        <v>458.70928319621316</v>
      </c>
      <c r="R75" s="62">
        <f t="shared" si="55"/>
        <v>726.04099743373422</v>
      </c>
      <c r="S75" s="62">
        <f ca="1">AVERAGE(OFFSET($R$3,0,0,'Données projet'!$E$9+1,1))-AVERAGE(OFFSET($H$3,0,0,'Données projet'!$E$9+1,1))</f>
        <v>469.67944008675863</v>
      </c>
      <c r="T75" s="62">
        <f t="shared" si="88"/>
        <v>266.11908070867173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0</v>
      </c>
      <c r="AA75" s="23">
        <f>EXP(-LN(2)/25)*AA74+(1-EXP(-LN(2)/25))/(LN(2)/25)*Calculateur!V75*Calculateur!X75*VLOOKUP('Données projet'!$B$9,Paramètres!$A$1:$I$89,3,0)*0.475*44/12</f>
        <v>0</v>
      </c>
      <c r="AB75" s="23">
        <f>EXP(-LN(2)/2)*AB74+(1-EXP(-LN(2)/2))/(LN(2)/2)*V75*Y75*VLOOKUP('Données projet'!$B$9,Paramètres!$A$1:$I$89,3,0)*0.475*44/12</f>
        <v>0</v>
      </c>
      <c r="AC75" s="24">
        <f t="shared" si="57"/>
        <v>0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4.2307692307692317</v>
      </c>
      <c r="AI75" s="14">
        <f>IF('Données projet'!$A$62&gt;35,AI74+AH75-AQ74,IF(A75&lt;'Données projet'!$A$62,$AF$205^A75,IF(A75='Données projet'!$A$62,'Données projet'!$B$62,AI74+AH75-AQ74)))</f>
        <v>209.10256410256397</v>
      </c>
      <c r="AJ75" s="14">
        <f>AI75*VLOOKUP('Données projet'!$B$10,Paramètres!$A$1:$I$89,3,0)*VLOOKUP('Données projet'!$B$10,Paramètres!$A$1:$I$89,5,0)</f>
        <v>198.98199999999989</v>
      </c>
      <c r="AK75" s="14">
        <f t="shared" si="89"/>
        <v>49.520375735280943</v>
      </c>
      <c r="AL75" s="22">
        <f t="shared" si="58"/>
        <v>432.80830440561408</v>
      </c>
      <c r="AM75" s="62">
        <f t="shared" si="59"/>
        <v>700.14001864313514</v>
      </c>
      <c r="AN75" s="62">
        <f ca="1">AVERAGE(OFFSET($AM$3,0,0,'Données projet'!$E$10+1,1))-AVERAGE(OFFSET($H$3,0,0,'Données projet'!$E$10+1,1))</f>
        <v>400.48230125343474</v>
      </c>
      <c r="AO75" s="62">
        <f t="shared" si="90"/>
        <v>275.67023303885048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0</v>
      </c>
      <c r="AV75" s="23">
        <f>EXP(-LN(2)/25)*AV74+(1-EXP(-LN(2)/25))/(LN(2)/25)*Calculateur!AQ75*Calculateur!AS75*VLOOKUP('Données projet'!$B$10,Paramètres!$A$1:$I$89,3,0)*0.475*44/12</f>
        <v>0</v>
      </c>
      <c r="AW75" s="23">
        <f>EXP(-LN(2)/2)*AW74+(1-EXP(-LN(2)/2))/(LN(2)/2)*AQ75*AT75*VLOOKUP('Données projet'!$B$10,Paramètres!$A$1:$I$89,3,0)*0.475*44/12</f>
        <v>0</v>
      </c>
      <c r="AX75" s="23">
        <f t="shared" si="60"/>
        <v>0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6.2</v>
      </c>
      <c r="BD75" s="13">
        <f>IF('Données projet'!$A$88&gt;35,BD74+BC75-BL74,IF(A75&lt;'Données projet'!$A$88,$BA$205^A75,IF(A75='Données projet'!$A$88,'Données projet'!$B$88,BD74+BC75-BL74)))</f>
        <v>233.39999999999992</v>
      </c>
      <c r="BE75" s="14">
        <f>BD75*VLOOKUP('Données projet'!$B$11,Paramètres!$A$1:$I$89,3,0)*VLOOKUP('Données projet'!$B$11,Paramètres!$A$1:$I$89,5,0)</f>
        <v>225.74447999999992</v>
      </c>
      <c r="BF75" s="14">
        <f t="shared" si="91"/>
        <v>55.36154088431374</v>
      </c>
      <c r="BG75" s="22">
        <f t="shared" si="61"/>
        <v>489.59298637351299</v>
      </c>
      <c r="BH75" s="62">
        <f t="shared" si="62"/>
        <v>756.92470061103404</v>
      </c>
      <c r="BI75" s="62">
        <f ca="1">AVERAGE(OFFSET($BH$3,0,0,'Données projet'!$E$11+1,1))-AVERAGE(OFFSET($H$3,0,0,'Données projet'!$E$11+1,1))</f>
        <v>496.33873798282525</v>
      </c>
      <c r="BJ75" s="62">
        <f t="shared" si="92"/>
        <v>280.25465074992246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>
        <f>EXP(-LN(2)/35)*BP74+(1-EXP(-LN(2)/35))/(LN(2)/35)*BL75*BM75*VLOOKUP('Données projet'!$B$11,Paramètres!$A$1:$I$89,3,0)*0.475*44/12</f>
        <v>0</v>
      </c>
      <c r="BQ75" s="23">
        <f>EXP(-LN(2)/25)*BQ74+(1-EXP(-LN(2)/25))/(LN(2)/25)*Calculateur!BL75*Calculateur!BN75*VLOOKUP('Données projet'!$B$11,Paramètres!$A$1:$I$89,3,0)*0.475*44/12</f>
        <v>0</v>
      </c>
      <c r="BR75" s="23">
        <f>EXP(-LN(2)/2)*BR74+(1-EXP(-LN(2)/2))/(LN(2)/2)*BL75*BO75*VLOOKUP('Données projet'!$B$11,Paramètres!$A$1:$I$89,3,0)*0.475*44/12</f>
        <v>0</v>
      </c>
      <c r="BS75" s="24">
        <f t="shared" si="63"/>
        <v>0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2.6</v>
      </c>
      <c r="BY75" s="13">
        <f>IF('Données projet'!$A$114&gt;35,BY74+BX75-CG74,IF(A75&lt;'Données projet'!$A$114,$BV$205^A75,IF(A75='Données projet'!$A$114,'Données projet'!$B$114,BY74+BX75-CG74)))</f>
        <v>214.19999999999987</v>
      </c>
      <c r="BZ75" s="14">
        <f>BY75*VLOOKUP('Données projet'!$B$12,Paramètres!$A$1:$I$89,3,0)*VLOOKUP('Données projet'!$B$12,Paramètres!$A$1:$I$89,5,0)</f>
        <v>187.12511999999992</v>
      </c>
      <c r="CA75" s="14">
        <f t="shared" si="93"/>
        <v>46.903794805770502</v>
      </c>
      <c r="CB75" s="22">
        <f t="shared" si="64"/>
        <v>407.60035995338347</v>
      </c>
      <c r="CC75" s="62">
        <f t="shared" si="65"/>
        <v>674.93207419090459</v>
      </c>
      <c r="CD75" s="62">
        <f ca="1">AVERAGE(OFFSET($CC$3,0,0,'Données projet'!$E$12+1,1))-AVERAGE(OFFSET($H$3,0,0,'Données projet'!$E$12+1,1))</f>
        <v>298.56812743477741</v>
      </c>
      <c r="CE75" s="62">
        <f t="shared" si="94"/>
        <v>276.01618888357268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>
        <f>EXP(-LN(2)/35)*CK74+(1-EXP(-LN(2)/35))/(LN(2)/35)*CG75*CH75*VLOOKUP('Données projet'!$B$12,Paramètres!$A$1:$I$89,3,0)*0.475*44/12</f>
        <v>0</v>
      </c>
      <c r="CL75" s="23">
        <f>EXP(-LN(2)/25)*CL74+(1-EXP(-LN(2)/25))/(LN(2)/25)*Calculateur!CG75*Calculateur!CI75*VLOOKUP('Données projet'!$B$12,Paramètres!$A$1:$I$89,3,0)*0.475*44/12</f>
        <v>0</v>
      </c>
      <c r="CM75" s="23">
        <f>EXP(-LN(2)/2)*CM74+(1-EXP(-LN(2)/2))/(LN(2)/2)*CG75*CJ75*VLOOKUP('Données projet'!$B$12,Paramètres!$A$1:$I$89,3,0)*0.475*44/12</f>
        <v>0</v>
      </c>
      <c r="CN75" s="24">
        <f t="shared" si="66"/>
        <v>0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4.6153846153846185</v>
      </c>
      <c r="CT75" s="13">
        <f>IF('Données projet'!$A$140&gt;35,CT74+CS75-DB74,IF(A75&lt;'Données projet'!$A$140,$CQ$205^A75,IF(A75='Données projet'!$A$140,'Données projet'!$B$140,CT74+CS75-DB74)))</f>
        <v>261.15384615384613</v>
      </c>
      <c r="CU75" s="18">
        <f>CT75*VLOOKUP('Données projet'!$B$13,Paramètres!$A$1:$I$89,3,0)*VLOOKUP('Données projet'!$B$13,Paramètres!$A$1:$I$89,5,0)</f>
        <v>175.18199999999999</v>
      </c>
      <c r="CV75" s="14">
        <f t="shared" si="95"/>
        <v>44.248583207820339</v>
      </c>
      <c r="CW75" s="22">
        <f t="shared" si="67"/>
        <v>382.17493242028701</v>
      </c>
      <c r="CX75" s="62">
        <f t="shared" si="68"/>
        <v>649.50664665780812</v>
      </c>
      <c r="CY75" s="62">
        <f ca="1">AVERAGE(OFFSET($CX$3,0,0,'Données projet'!$E$13+1,1))-AVERAGE(OFFSET($H$3,0,0,'Données projet'!$E$13+1,1))</f>
        <v>346.82725381974132</v>
      </c>
      <c r="CZ75" s="62">
        <f t="shared" si="96"/>
        <v>254.09787950201044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>
        <f>EXP(-LN(2)/35)*DF74+(1-EXP(-LN(2)/35))/(LN(2)/35)*DB75*DC75*VLOOKUP('Données projet'!$B$13,Paramètres!$A$1:$I$89,3,0)*0.475*44/12</f>
        <v>0</v>
      </c>
      <c r="DG75" s="23">
        <f>EXP(-LN(2)/25)*DG74+(1-EXP(-LN(2)/25))/(LN(2)/25)*Calculateur!DB75*Calculateur!DD75*VLOOKUP('Données projet'!$B$13,Paramètres!$A$1:$I$89,3,0)*0.475*44/12</f>
        <v>0</v>
      </c>
      <c r="DH75" s="23">
        <f>EXP(-LN(2)/2)*DH74+(1-EXP(-LN(2)/2))/(LN(2)/2)*DB75*DE75*VLOOKUP('Données projet'!$B$13,Paramètres!$A$1:$I$89,3,0)*0.475*44/12</f>
        <v>0</v>
      </c>
      <c r="DI75" s="24">
        <f t="shared" si="69"/>
        <v>0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5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2">
        <f t="shared" si="86"/>
        <v>0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18.333333333333332</v>
      </c>
      <c r="H76" s="70">
        <f t="shared" si="56"/>
        <v>183.33333333333334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6.2</v>
      </c>
      <c r="N76" s="14">
        <f>IF('Données projet'!$A$36&gt;35,N75+M76-V75,IF(A76&lt;'Données projet'!$A$36,$K$205^A76,IF(A76='Données projet'!$A$36,'Données projet'!$B$36,N75+M76-V75)))</f>
        <v>239.59999999999991</v>
      </c>
      <c r="O76" s="14">
        <f>N76*VLOOKUP('Données projet'!$B$9,Paramètres!$A$1:$I$89,3,0)*VLOOKUP('Données projet'!$B$9,Paramètres!$A$1:$I$89,5,0)</f>
        <v>216.7900799999999</v>
      </c>
      <c r="P76" s="14">
        <f t="shared" si="87"/>
        <v>53.416629794462551</v>
      </c>
      <c r="Q76" s="22">
        <f t="shared" si="54"/>
        <v>470.61001955868869</v>
      </c>
      <c r="R76" s="62">
        <f t="shared" si="55"/>
        <v>738.39280375661042</v>
      </c>
      <c r="S76" s="62">
        <f ca="1">AVERAGE(OFFSET($R$3,0,0,'Données projet'!$E$9+1,1))-AVERAGE(OFFSET($H$3,0,0,'Données projet'!$E$9+1,1))</f>
        <v>469.67944008675863</v>
      </c>
      <c r="T76" s="62">
        <f t="shared" si="88"/>
        <v>266.11908070867173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0</v>
      </c>
      <c r="AA76" s="23">
        <f>EXP(-LN(2)/25)*AA75+(1-EXP(-LN(2)/25))/(LN(2)/25)*Calculateur!V76*Calculateur!X76*VLOOKUP('Données projet'!$B$9,Paramètres!$A$1:$I$89,3,0)*0.475*44/12</f>
        <v>0</v>
      </c>
      <c r="AB76" s="23">
        <f>EXP(-LN(2)/2)*AB75+(1-EXP(-LN(2)/2))/(LN(2)/2)*V76*Y76*VLOOKUP('Données projet'!$B$9,Paramètres!$A$1:$I$89,3,0)*0.475*44/12</f>
        <v>0</v>
      </c>
      <c r="AC76" s="24">
        <f t="shared" si="57"/>
        <v>0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4.2307692307692317</v>
      </c>
      <c r="AI76" s="14">
        <f>IF('Données projet'!$A$62&gt;35,AI75+AH76-AQ75,IF(A76&lt;'Données projet'!$A$62,$AF$205^A76,IF(A76='Données projet'!$A$62,'Données projet'!$B$62,AI75+AH76-AQ75)))</f>
        <v>213.3333333333332</v>
      </c>
      <c r="AJ76" s="14">
        <f>AI76*VLOOKUP('Données projet'!$B$10,Paramètres!$A$1:$I$89,3,0)*VLOOKUP('Données projet'!$B$10,Paramètres!$A$1:$I$89,5,0)</f>
        <v>203.00799999999987</v>
      </c>
      <c r="AK76" s="14">
        <f t="shared" si="89"/>
        <v>50.404659644621184</v>
      </c>
      <c r="AL76" s="22">
        <f t="shared" si="58"/>
        <v>441.36038221438162</v>
      </c>
      <c r="AM76" s="62">
        <f t="shared" si="59"/>
        <v>709.14316641230334</v>
      </c>
      <c r="AN76" s="62">
        <f ca="1">AVERAGE(OFFSET($AM$3,0,0,'Données projet'!$E$10+1,1))-AVERAGE(OFFSET($H$3,0,0,'Données projet'!$E$10+1,1))</f>
        <v>400.48230125343474</v>
      </c>
      <c r="AO76" s="62">
        <f t="shared" si="90"/>
        <v>275.67023303885048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0</v>
      </c>
      <c r="AV76" s="23">
        <f>EXP(-LN(2)/25)*AV75+(1-EXP(-LN(2)/25))/(LN(2)/25)*Calculateur!AQ76*Calculateur!AS76*VLOOKUP('Données projet'!$B$10,Paramètres!$A$1:$I$89,3,0)*0.475*44/12</f>
        <v>0</v>
      </c>
      <c r="AW76" s="23">
        <f>EXP(-LN(2)/2)*AW75+(1-EXP(-LN(2)/2))/(LN(2)/2)*AQ76*AT76*VLOOKUP('Données projet'!$B$10,Paramètres!$A$1:$I$89,3,0)*0.475*44/12</f>
        <v>0</v>
      </c>
      <c r="AX76" s="23">
        <f t="shared" si="60"/>
        <v>0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6.2</v>
      </c>
      <c r="BD76" s="13">
        <f>IF('Données projet'!$A$88&gt;35,BD75+BC76-BL75,IF(A76&lt;'Données projet'!$A$88,$BA$205^A76,IF(A76='Données projet'!$A$88,'Données projet'!$B$88,BD75+BC76-BL75)))</f>
        <v>239.59999999999991</v>
      </c>
      <c r="BE76" s="14">
        <f>BD76*VLOOKUP('Données projet'!$B$11,Paramètres!$A$1:$I$89,3,0)*VLOOKUP('Données projet'!$B$11,Paramètres!$A$1:$I$89,5,0)</f>
        <v>231.74111999999991</v>
      </c>
      <c r="BF76" s="14">
        <f t="shared" si="91"/>
        <v>56.658986982752438</v>
      </c>
      <c r="BG76" s="22">
        <f t="shared" si="61"/>
        <v>502.29685299496032</v>
      </c>
      <c r="BH76" s="62">
        <f t="shared" si="62"/>
        <v>770.07963719288205</v>
      </c>
      <c r="BI76" s="62">
        <f ca="1">AVERAGE(OFFSET($BH$3,0,0,'Données projet'!$E$11+1,1))-AVERAGE(OFFSET($H$3,0,0,'Données projet'!$E$11+1,1))</f>
        <v>496.33873798282525</v>
      </c>
      <c r="BJ76" s="62">
        <f t="shared" si="92"/>
        <v>280.25465074992246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>
        <f>EXP(-LN(2)/35)*BP75+(1-EXP(-LN(2)/35))/(LN(2)/35)*BL76*BM76*VLOOKUP('Données projet'!$B$11,Paramètres!$A$1:$I$89,3,0)*0.475*44/12</f>
        <v>0</v>
      </c>
      <c r="BQ76" s="23">
        <f>EXP(-LN(2)/25)*BQ75+(1-EXP(-LN(2)/25))/(LN(2)/25)*Calculateur!BL76*Calculateur!BN76*VLOOKUP('Données projet'!$B$11,Paramètres!$A$1:$I$89,3,0)*0.475*44/12</f>
        <v>0</v>
      </c>
      <c r="BR76" s="23">
        <f>EXP(-LN(2)/2)*BR75+(1-EXP(-LN(2)/2))/(LN(2)/2)*BL76*BO76*VLOOKUP('Données projet'!$B$11,Paramètres!$A$1:$I$89,3,0)*0.475*44/12</f>
        <v>0</v>
      </c>
      <c r="BS76" s="24">
        <f t="shared" si="63"/>
        <v>0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2.6</v>
      </c>
      <c r="BY76" s="13">
        <f>IF('Données projet'!$A$114&gt;35,BY75+BX76-CG75,IF(A76&lt;'Données projet'!$A$114,$BV$205^A76,IF(A76='Données projet'!$A$114,'Données projet'!$B$114,BY75+BX76-CG75)))</f>
        <v>216.79999999999987</v>
      </c>
      <c r="BZ76" s="14">
        <f>BY76*VLOOKUP('Données projet'!$B$12,Paramètres!$A$1:$I$89,3,0)*VLOOKUP('Données projet'!$B$12,Paramètres!$A$1:$I$89,5,0)</f>
        <v>189.39647999999991</v>
      </c>
      <c r="CA76" s="14">
        <f t="shared" si="93"/>
        <v>47.406498452084506</v>
      </c>
      <c r="CB76" s="22">
        <f t="shared" si="64"/>
        <v>412.4318541373803</v>
      </c>
      <c r="CC76" s="62">
        <f t="shared" si="65"/>
        <v>680.21463833530208</v>
      </c>
      <c r="CD76" s="62">
        <f ca="1">AVERAGE(OFFSET($CC$3,0,0,'Données projet'!$E$12+1,1))-AVERAGE(OFFSET($H$3,0,0,'Données projet'!$E$12+1,1))</f>
        <v>298.56812743477741</v>
      </c>
      <c r="CE76" s="62">
        <f t="shared" si="94"/>
        <v>276.01618888357268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>
        <f>EXP(-LN(2)/35)*CK75+(1-EXP(-LN(2)/35))/(LN(2)/35)*CG76*CH76*VLOOKUP('Données projet'!$B$12,Paramètres!$A$1:$I$89,3,0)*0.475*44/12</f>
        <v>0</v>
      </c>
      <c r="CL76" s="23">
        <f>EXP(-LN(2)/25)*CL75+(1-EXP(-LN(2)/25))/(LN(2)/25)*Calculateur!CG76*Calculateur!CI76*VLOOKUP('Données projet'!$B$12,Paramètres!$A$1:$I$89,3,0)*0.475*44/12</f>
        <v>0</v>
      </c>
      <c r="CM76" s="23">
        <f>EXP(-LN(2)/2)*CM75+(1-EXP(-LN(2)/2))/(LN(2)/2)*CG76*CJ76*VLOOKUP('Données projet'!$B$12,Paramètres!$A$1:$I$89,3,0)*0.475*44/12</f>
        <v>0</v>
      </c>
      <c r="CN76" s="24">
        <f t="shared" si="66"/>
        <v>0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4.6153846153846185</v>
      </c>
      <c r="CT76" s="13">
        <f>IF('Données projet'!$A$140&gt;35,CT75+CS76-DB75,IF(A76&lt;'Données projet'!$A$140,$CQ$205^A76,IF(A76='Données projet'!$A$140,'Données projet'!$B$140,CT75+CS76-DB75)))</f>
        <v>265.76923076923077</v>
      </c>
      <c r="CU76" s="18">
        <f>CT76*VLOOKUP('Données projet'!$B$13,Paramètres!$A$1:$I$89,3,0)*VLOOKUP('Données projet'!$B$13,Paramètres!$A$1:$I$89,5,0)</f>
        <v>178.27800000000002</v>
      </c>
      <c r="CV76" s="14">
        <f t="shared" si="95"/>
        <v>44.938858819456854</v>
      </c>
      <c r="CW76" s="22">
        <f t="shared" si="67"/>
        <v>388.76936244388736</v>
      </c>
      <c r="CX76" s="62">
        <f t="shared" si="68"/>
        <v>656.55214664180914</v>
      </c>
      <c r="CY76" s="62">
        <f ca="1">AVERAGE(OFFSET($CX$3,0,0,'Données projet'!$E$13+1,1))-AVERAGE(OFFSET($H$3,0,0,'Données projet'!$E$13+1,1))</f>
        <v>346.82725381974132</v>
      </c>
      <c r="CZ76" s="62">
        <f t="shared" si="96"/>
        <v>254.09787950201044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>
        <f>EXP(-LN(2)/35)*DF75+(1-EXP(-LN(2)/35))/(LN(2)/35)*DB76*DC76*VLOOKUP('Données projet'!$B$13,Paramètres!$A$1:$I$89,3,0)*0.475*44/12</f>
        <v>0</v>
      </c>
      <c r="DG76" s="23">
        <f>EXP(-LN(2)/25)*DG75+(1-EXP(-LN(2)/25))/(LN(2)/25)*Calculateur!DB76*Calculateur!DD76*VLOOKUP('Données projet'!$B$13,Paramètres!$A$1:$I$89,3,0)*0.475*44/12</f>
        <v>0</v>
      </c>
      <c r="DH76" s="23">
        <f>EXP(-LN(2)/2)*DH75+(1-EXP(-LN(2)/2))/(LN(2)/2)*DB76*DE76*VLOOKUP('Données projet'!$B$13,Paramètres!$A$1:$I$89,3,0)*0.475*44/12</f>
        <v>0</v>
      </c>
      <c r="DI76" s="24">
        <f t="shared" si="69"/>
        <v>0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5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2">
        <f t="shared" si="86"/>
        <v>0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18.333333333333332</v>
      </c>
      <c r="H77" s="70">
        <f t="shared" si="56"/>
        <v>183.33333333333334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6.2</v>
      </c>
      <c r="N77" s="14">
        <f>IF('Données projet'!$A$36&gt;35,N76+M77-V76,IF(A77&lt;'Données projet'!$A$36,$K$205^A77,IF(A77='Données projet'!$A$36,'Données projet'!$B$36,N76+M77-V76)))</f>
        <v>245.7999999999999</v>
      </c>
      <c r="O77" s="14">
        <f>N77*VLOOKUP('Données projet'!$B$9,Paramètres!$A$1:$I$89,3,0)*VLOOKUP('Données projet'!$B$9,Paramètres!$A$1:$I$89,5,0)</f>
        <v>222.3998399999999</v>
      </c>
      <c r="P77" s="14">
        <f t="shared" si="87"/>
        <v>54.636149281681448</v>
      </c>
      <c r="Q77" s="22">
        <f t="shared" si="54"/>
        <v>482.50434799892832</v>
      </c>
      <c r="R77" s="62">
        <f t="shared" si="55"/>
        <v>750.73037710187918</v>
      </c>
      <c r="S77" s="62">
        <f ca="1">AVERAGE(OFFSET($R$3,0,0,'Données projet'!$E$9+1,1))-AVERAGE(OFFSET($H$3,0,0,'Données projet'!$E$9+1,1))</f>
        <v>469.67944008675863</v>
      </c>
      <c r="T77" s="62">
        <f t="shared" si="88"/>
        <v>266.11908070867173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0</v>
      </c>
      <c r="AA77" s="23">
        <f>EXP(-LN(2)/25)*AA76+(1-EXP(-LN(2)/25))/(LN(2)/25)*Calculateur!V77*Calculateur!X77*VLOOKUP('Données projet'!$B$9,Paramètres!$A$1:$I$89,3,0)*0.475*44/12</f>
        <v>0</v>
      </c>
      <c r="AB77" s="23">
        <f>EXP(-LN(2)/2)*AB76+(1-EXP(-LN(2)/2))/(LN(2)/2)*V77*Y77*VLOOKUP('Données projet'!$B$9,Paramètres!$A$1:$I$89,3,0)*0.475*44/12</f>
        <v>0</v>
      </c>
      <c r="AC77" s="24">
        <f t="shared" si="57"/>
        <v>0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4.2307692307692317</v>
      </c>
      <c r="AI77" s="14">
        <f>IF('Données projet'!$A$62&gt;35,AI76+AH77-AQ76,IF(A77&lt;'Données projet'!$A$62,$AF$205^A77,IF(A77='Données projet'!$A$62,'Données projet'!$B$62,AI76+AH77-AQ76)))</f>
        <v>217.56410256410243</v>
      </c>
      <c r="AJ77" s="14">
        <f>AI77*VLOOKUP('Données projet'!$B$10,Paramètres!$A$1:$I$89,3,0)*VLOOKUP('Données projet'!$B$10,Paramètres!$A$1:$I$89,5,0)</f>
        <v>207.03399999999988</v>
      </c>
      <c r="AK77" s="14">
        <f t="shared" si="89"/>
        <v>51.286904474053166</v>
      </c>
      <c r="AL77" s="22">
        <f t="shared" si="58"/>
        <v>449.90890862564243</v>
      </c>
      <c r="AM77" s="62">
        <f t="shared" si="59"/>
        <v>718.13493772859329</v>
      </c>
      <c r="AN77" s="62">
        <f ca="1">AVERAGE(OFFSET($AM$3,0,0,'Données projet'!$E$10+1,1))-AVERAGE(OFFSET($H$3,0,0,'Données projet'!$E$10+1,1))</f>
        <v>400.48230125343474</v>
      </c>
      <c r="AO77" s="62">
        <f t="shared" si="90"/>
        <v>275.67023303885048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0</v>
      </c>
      <c r="AV77" s="23">
        <f>EXP(-LN(2)/25)*AV76+(1-EXP(-LN(2)/25))/(LN(2)/25)*Calculateur!AQ77*Calculateur!AS77*VLOOKUP('Données projet'!$B$10,Paramètres!$A$1:$I$89,3,0)*0.475*44/12</f>
        <v>0</v>
      </c>
      <c r="AW77" s="23">
        <f>EXP(-LN(2)/2)*AW76+(1-EXP(-LN(2)/2))/(LN(2)/2)*AQ77*AT77*VLOOKUP('Données projet'!$B$10,Paramètres!$A$1:$I$89,3,0)*0.475*44/12</f>
        <v>0</v>
      </c>
      <c r="AX77" s="23">
        <f t="shared" si="60"/>
        <v>0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6.2</v>
      </c>
      <c r="BD77" s="13">
        <f>IF('Données projet'!$A$88&gt;35,BD76+BC77-BL76,IF(A77&lt;'Données projet'!$A$88,$BA$205^A77,IF(A77='Données projet'!$A$88,'Données projet'!$B$88,BD76+BC77-BL76)))</f>
        <v>245.7999999999999</v>
      </c>
      <c r="BE77" s="14">
        <f>BD77*VLOOKUP('Données projet'!$B$11,Paramètres!$A$1:$I$89,3,0)*VLOOKUP('Données projet'!$B$11,Paramètres!$A$1:$I$89,5,0)</f>
        <v>237.73775999999989</v>
      </c>
      <c r="BF77" s="14">
        <f t="shared" si="91"/>
        <v>57.952530566790166</v>
      </c>
      <c r="BG77" s="22">
        <f t="shared" si="61"/>
        <v>514.99392273715932</v>
      </c>
      <c r="BH77" s="62">
        <f t="shared" si="62"/>
        <v>783.21995184011018</v>
      </c>
      <c r="BI77" s="62">
        <f ca="1">AVERAGE(OFFSET($BH$3,0,0,'Données projet'!$E$11+1,1))-AVERAGE(OFFSET($H$3,0,0,'Données projet'!$E$11+1,1))</f>
        <v>496.33873798282525</v>
      </c>
      <c r="BJ77" s="62">
        <f t="shared" si="92"/>
        <v>280.25465074992246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>
        <f>EXP(-LN(2)/35)*BP76+(1-EXP(-LN(2)/35))/(LN(2)/35)*BL77*BM77*VLOOKUP('Données projet'!$B$11,Paramètres!$A$1:$I$89,3,0)*0.475*44/12</f>
        <v>0</v>
      </c>
      <c r="BQ77" s="23">
        <f>EXP(-LN(2)/25)*BQ76+(1-EXP(-LN(2)/25))/(LN(2)/25)*Calculateur!BL77*Calculateur!BN77*VLOOKUP('Données projet'!$B$11,Paramètres!$A$1:$I$89,3,0)*0.475*44/12</f>
        <v>0</v>
      </c>
      <c r="BR77" s="23">
        <f>EXP(-LN(2)/2)*BR76+(1-EXP(-LN(2)/2))/(LN(2)/2)*BL77*BO77*VLOOKUP('Données projet'!$B$11,Paramètres!$A$1:$I$89,3,0)*0.475*44/12</f>
        <v>0</v>
      </c>
      <c r="BS77" s="24">
        <f t="shared" si="63"/>
        <v>0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2.6</v>
      </c>
      <c r="BY77" s="13">
        <f>IF('Données projet'!$A$114&gt;35,BY76+BX77-CG76,IF(A77&lt;'Données projet'!$A$114,$BV$205^A77,IF(A77='Données projet'!$A$114,'Données projet'!$B$114,BY76+BX77-CG76)))</f>
        <v>219.39999999999986</v>
      </c>
      <c r="BZ77" s="14">
        <f>BY77*VLOOKUP('Données projet'!$B$12,Paramètres!$A$1:$I$89,3,0)*VLOOKUP('Données projet'!$B$12,Paramètres!$A$1:$I$89,5,0)</f>
        <v>191.6678399999999</v>
      </c>
      <c r="CA77" s="14">
        <f t="shared" si="93"/>
        <v>47.908500825580958</v>
      </c>
      <c r="CB77" s="22">
        <f t="shared" si="64"/>
        <v>417.26212693788665</v>
      </c>
      <c r="CC77" s="62">
        <f t="shared" si="65"/>
        <v>685.48815604083757</v>
      </c>
      <c r="CD77" s="62">
        <f ca="1">AVERAGE(OFFSET($CC$3,0,0,'Données projet'!$E$12+1,1))-AVERAGE(OFFSET($H$3,0,0,'Données projet'!$E$12+1,1))</f>
        <v>298.56812743477741</v>
      </c>
      <c r="CE77" s="62">
        <f t="shared" si="94"/>
        <v>276.01618888357268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>
        <f>EXP(-LN(2)/35)*CK76+(1-EXP(-LN(2)/35))/(LN(2)/35)*CG77*CH77*VLOOKUP('Données projet'!$B$12,Paramètres!$A$1:$I$89,3,0)*0.475*44/12</f>
        <v>0</v>
      </c>
      <c r="CL77" s="23">
        <f>EXP(-LN(2)/25)*CL76+(1-EXP(-LN(2)/25))/(LN(2)/25)*Calculateur!CG77*Calculateur!CI77*VLOOKUP('Données projet'!$B$12,Paramètres!$A$1:$I$89,3,0)*0.475*44/12</f>
        <v>0</v>
      </c>
      <c r="CM77" s="23">
        <f>EXP(-LN(2)/2)*CM76+(1-EXP(-LN(2)/2))/(LN(2)/2)*CG77*CJ77*VLOOKUP('Données projet'!$B$12,Paramètres!$A$1:$I$89,3,0)*0.475*44/12</f>
        <v>0</v>
      </c>
      <c r="CN77" s="24">
        <f t="shared" si="66"/>
        <v>0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4.6153846153846185</v>
      </c>
      <c r="CT77" s="13">
        <f>IF('Données projet'!$A$140&gt;35,CT76+CS77-DB76,IF(A77&lt;'Données projet'!$A$140,$CQ$205^A77,IF(A77='Données projet'!$A$140,'Données projet'!$B$140,CT76+CS77-DB76)))</f>
        <v>270.38461538461542</v>
      </c>
      <c r="CU77" s="18">
        <f>CT77*VLOOKUP('Données projet'!$B$13,Paramètres!$A$1:$I$89,3,0)*VLOOKUP('Données projet'!$B$13,Paramètres!$A$1:$I$89,5,0)</f>
        <v>181.37400000000002</v>
      </c>
      <c r="CV77" s="14">
        <f t="shared" si="95"/>
        <v>45.627740430637772</v>
      </c>
      <c r="CW77" s="22">
        <f t="shared" si="67"/>
        <v>395.36136458336085</v>
      </c>
      <c r="CX77" s="62">
        <f t="shared" si="68"/>
        <v>663.58739368631177</v>
      </c>
      <c r="CY77" s="62">
        <f ca="1">AVERAGE(OFFSET($CX$3,0,0,'Données projet'!$E$13+1,1))-AVERAGE(OFFSET($H$3,0,0,'Données projet'!$E$13+1,1))</f>
        <v>346.82725381974132</v>
      </c>
      <c r="CZ77" s="62">
        <f t="shared" si="96"/>
        <v>254.09787950201044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>
        <f>EXP(-LN(2)/35)*DF76+(1-EXP(-LN(2)/35))/(LN(2)/35)*DB77*DC77*VLOOKUP('Données projet'!$B$13,Paramètres!$A$1:$I$89,3,0)*0.475*44/12</f>
        <v>0</v>
      </c>
      <c r="DG77" s="23">
        <f>EXP(-LN(2)/25)*DG76+(1-EXP(-LN(2)/25))/(LN(2)/25)*Calculateur!DB77*Calculateur!DD77*VLOOKUP('Données projet'!$B$13,Paramètres!$A$1:$I$89,3,0)*0.475*44/12</f>
        <v>0</v>
      </c>
      <c r="DH77" s="23">
        <f>EXP(-LN(2)/2)*DH76+(1-EXP(-LN(2)/2))/(LN(2)/2)*DB77*DE77*VLOOKUP('Données projet'!$B$13,Paramètres!$A$1:$I$89,3,0)*0.475*44/12</f>
        <v>0</v>
      </c>
      <c r="DI77" s="24">
        <f t="shared" si="69"/>
        <v>0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5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2">
        <f t="shared" si="86"/>
        <v>0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18.333333333333332</v>
      </c>
      <c r="H78" s="70">
        <f t="shared" si="56"/>
        <v>183.33333333333334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>
        <f>VLOOKUP(A78,'Données projet'!$A$35:$I$55,2,0)</f>
        <v>252</v>
      </c>
      <c r="L78" s="13">
        <f>VLOOKUP(A78,'Données projet'!$A$35:$I$55,9,0)</f>
        <v>6.2</v>
      </c>
      <c r="M78" s="13">
        <f t="array" ref="M78">INDEX(L:L,MIN(IF(ISNUMBER(L78:L274),ROW(L78:L274),"")))</f>
        <v>6.2</v>
      </c>
      <c r="N78" s="14">
        <f>IF('Données projet'!$A$36&gt;35,N77+M78-V77,IF(A78&lt;'Données projet'!$A$36,$K$205^A78,IF(A78='Données projet'!$A$36,'Données projet'!$B$36,N77+M78-V77)))</f>
        <v>251.99999999999989</v>
      </c>
      <c r="O78" s="14">
        <f>N78*VLOOKUP('Données projet'!$B$9,Paramètres!$A$1:$I$89,3,0)*VLOOKUP('Données projet'!$B$9,Paramètres!$A$1:$I$89,5,0)</f>
        <v>228.00959999999986</v>
      </c>
      <c r="P78" s="14">
        <f t="shared" si="87"/>
        <v>55.852093054619779</v>
      </c>
      <c r="Q78" s="22">
        <f t="shared" si="54"/>
        <v>494.39244873679587</v>
      </c>
      <c r="R78" s="62">
        <f t="shared" si="55"/>
        <v>763.05403343662067</v>
      </c>
      <c r="S78" s="62">
        <f ca="1">AVERAGE(OFFSET($R$3,0,0,'Données projet'!$E$9+1,1))-AVERAGE(OFFSET($H$3,0,0,'Données projet'!$E$9+1,1))</f>
        <v>469.67944008675863</v>
      </c>
      <c r="T78" s="62">
        <f t="shared" si="88"/>
        <v>266.11908070867173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0</v>
      </c>
      <c r="AA78" s="23">
        <f>EXP(-LN(2)/25)*AA77+(1-EXP(-LN(2)/25))/(LN(2)/25)*Calculateur!V78*Calculateur!X78*VLOOKUP('Données projet'!$B$9,Paramètres!$A$1:$I$89,3,0)*0.475*44/12</f>
        <v>0</v>
      </c>
      <c r="AB78" s="23">
        <f>EXP(-LN(2)/2)*AB77+(1-EXP(-LN(2)/2))/(LN(2)/2)*V78*Y78*VLOOKUP('Données projet'!$B$9,Paramètres!$A$1:$I$89,3,0)*0.475*44/12</f>
        <v>0</v>
      </c>
      <c r="AC78" s="24">
        <f t="shared" si="57"/>
        <v>0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>
        <f>VLOOKUP(A78,'Données projet'!$A$61:$I$81,2,0)</f>
        <v>221.7948717948718</v>
      </c>
      <c r="AG78" s="13">
        <f>VLOOKUP(A78,'Données projet'!$A$61:$I$81,9,0)</f>
        <v>4.2307692307692317</v>
      </c>
      <c r="AH78" s="13">
        <f t="array" ref="AH78">INDEX(AG:AG,MIN(IF(ISNUMBER(AG78:AG274),ROW(AG78:AG274),"")))</f>
        <v>4.2307692307692317</v>
      </c>
      <c r="AI78" s="14">
        <f>IF('Données projet'!$A$62&gt;35,AI77+AH78-AQ77,IF(A78&lt;'Données projet'!$A$62,$AF$205^A78,IF(A78='Données projet'!$A$62,'Données projet'!$B$62,AI77+AH78-AQ77)))</f>
        <v>221.79487179487165</v>
      </c>
      <c r="AJ78" s="14">
        <f>AI78*VLOOKUP('Données projet'!$B$10,Paramètres!$A$1:$I$89,3,0)*VLOOKUP('Données projet'!$B$10,Paramètres!$A$1:$I$89,5,0)</f>
        <v>211.05999999999989</v>
      </c>
      <c r="AK78" s="14">
        <f t="shared" si="89"/>
        <v>52.167154446757742</v>
      </c>
      <c r="AL78" s="22">
        <f t="shared" si="58"/>
        <v>458.45396066143621</v>
      </c>
      <c r="AM78" s="62">
        <f t="shared" si="59"/>
        <v>727.11554536126096</v>
      </c>
      <c r="AN78" s="62">
        <f ca="1">AVERAGE(OFFSET($AM$3,0,0,'Données projet'!$E$10+1,1))-AVERAGE(OFFSET($H$3,0,0,'Données projet'!$E$10+1,1))</f>
        <v>400.48230125343474</v>
      </c>
      <c r="AO78" s="62">
        <f t="shared" si="90"/>
        <v>275.67023303885048</v>
      </c>
      <c r="AP78" s="16">
        <f>IF(ISNA(VLOOKUP(A78,'Données projet'!$A$61:$I$81,3,0)),0,VLOOKUP(A78,'Données projet'!$A$61:$I$81,3,0))</f>
        <v>6</v>
      </c>
      <c r="AQ78" s="16">
        <f>IF(ISNA(VLOOKUP(A78,'Données projet'!$A$61:$I$81,4,0)),0,VLOOKUP(A78,'Données projet'!$A$61:$I$81,4,0))</f>
        <v>28.205128205128204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0</v>
      </c>
      <c r="AV78" s="23">
        <f>EXP(-LN(2)/25)*AV77+(1-EXP(-LN(2)/25))/(LN(2)/25)*Calculateur!AQ78*Calculateur!AS78*VLOOKUP('Données projet'!$B$10,Paramètres!$A$1:$I$89,3,0)*0.475*44/12</f>
        <v>0</v>
      </c>
      <c r="AW78" s="23">
        <f>EXP(-LN(2)/2)*AW77+(1-EXP(-LN(2)/2))/(LN(2)/2)*AQ78*AT78*VLOOKUP('Données projet'!$B$10,Paramètres!$A$1:$I$89,3,0)*0.475*44/12</f>
        <v>0</v>
      </c>
      <c r="AX78" s="23">
        <f t="shared" si="60"/>
        <v>0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>
        <f>VLOOKUP(A78,'Données projet'!$A$87:$I$107,2,0)</f>
        <v>252</v>
      </c>
      <c r="BB78" s="13">
        <f>VLOOKUP(A78,'Données projet'!$A$87:$I$107,9,0)</f>
        <v>6.2</v>
      </c>
      <c r="BC78" s="13">
        <f t="array" ref="BC78">INDEX(BB:BB,MIN(IF(ISNUMBER(BB78:BB274),ROW(BB78:BB274),"")))</f>
        <v>6.2</v>
      </c>
      <c r="BD78" s="13">
        <f>IF('Données projet'!$A$88&gt;35,BD77+BC78-BL77,IF(A78&lt;'Données projet'!$A$88,$BA$205^A78,IF(A78='Données projet'!$A$88,'Données projet'!$B$88,BD77+BC78-BL77)))</f>
        <v>251.99999999999989</v>
      </c>
      <c r="BE78" s="14">
        <f>BD78*VLOOKUP('Données projet'!$B$11,Paramètres!$A$1:$I$89,3,0)*VLOOKUP('Données projet'!$B$11,Paramètres!$A$1:$I$89,5,0)</f>
        <v>243.73439999999988</v>
      </c>
      <c r="BF78" s="14">
        <f t="shared" si="91"/>
        <v>59.242281392848767</v>
      </c>
      <c r="BG78" s="22">
        <f t="shared" si="61"/>
        <v>527.68438675921141</v>
      </c>
      <c r="BH78" s="62">
        <f t="shared" si="62"/>
        <v>796.34597145903626</v>
      </c>
      <c r="BI78" s="62">
        <f ca="1">AVERAGE(OFFSET($BH$3,0,0,'Données projet'!$E$11+1,1))-AVERAGE(OFFSET($H$3,0,0,'Données projet'!$E$11+1,1))</f>
        <v>496.33873798282525</v>
      </c>
      <c r="BJ78" s="62">
        <f t="shared" si="92"/>
        <v>280.25465074992246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>
        <f>EXP(-LN(2)/35)*BP77+(1-EXP(-LN(2)/35))/(LN(2)/35)*BL78*BM78*VLOOKUP('Données projet'!$B$11,Paramètres!$A$1:$I$89,3,0)*0.475*44/12</f>
        <v>0</v>
      </c>
      <c r="BQ78" s="23">
        <f>EXP(-LN(2)/25)*BQ77+(1-EXP(-LN(2)/25))/(LN(2)/25)*Calculateur!BL78*Calculateur!BN78*VLOOKUP('Données projet'!$B$11,Paramètres!$A$1:$I$89,3,0)*0.475*44/12</f>
        <v>0</v>
      </c>
      <c r="BR78" s="23">
        <f>EXP(-LN(2)/2)*BR77+(1-EXP(-LN(2)/2))/(LN(2)/2)*BL78*BO78*VLOOKUP('Données projet'!$B$11,Paramètres!$A$1:$I$89,3,0)*0.475*44/12</f>
        <v>0</v>
      </c>
      <c r="BS78" s="24">
        <f t="shared" si="63"/>
        <v>0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>
        <f>VLOOKUP(A78,'Données projet'!$A$113:$I$133,2,0)</f>
        <v>222</v>
      </c>
      <c r="BW78" s="13">
        <f>VLOOKUP(A78,'Données projet'!$A$113:$I$133,9,0)</f>
        <v>2.6</v>
      </c>
      <c r="BX78" s="13">
        <f t="array" ref="BX78">INDEX(BW:BW,MIN(IF(ISNUMBER(BW78:BW274),ROW(BW78:BW274),"")))</f>
        <v>2.6</v>
      </c>
      <c r="BY78" s="13">
        <f>IF('Données projet'!$A$114&gt;35,BY77+BX78-CG77,IF(A78&lt;'Données projet'!$A$114,$BV$205^A78,IF(A78='Données projet'!$A$114,'Données projet'!$B$114,BY77+BX78-CG77)))</f>
        <v>221.99999999999986</v>
      </c>
      <c r="BZ78" s="14">
        <f>BY78*VLOOKUP('Données projet'!$B$12,Paramètres!$A$1:$I$89,3,0)*VLOOKUP('Données projet'!$B$12,Paramètres!$A$1:$I$89,5,0)</f>
        <v>193.93919999999991</v>
      </c>
      <c r="CA78" s="14">
        <f t="shared" si="93"/>
        <v>48.409811198069342</v>
      </c>
      <c r="CB78" s="22">
        <f t="shared" si="64"/>
        <v>422.091194503304</v>
      </c>
      <c r="CC78" s="62">
        <f t="shared" si="65"/>
        <v>690.75277920312874</v>
      </c>
      <c r="CD78" s="62">
        <f ca="1">AVERAGE(OFFSET($CC$3,0,0,'Données projet'!$E$12+1,1))-AVERAGE(OFFSET($H$3,0,0,'Données projet'!$E$12+1,1))</f>
        <v>298.56812743477741</v>
      </c>
      <c r="CE78" s="62">
        <f t="shared" si="94"/>
        <v>276.01618888357268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>
        <f>EXP(-LN(2)/35)*CK77+(1-EXP(-LN(2)/35))/(LN(2)/35)*CG78*CH78*VLOOKUP('Données projet'!$B$12,Paramètres!$A$1:$I$89,3,0)*0.475*44/12</f>
        <v>0</v>
      </c>
      <c r="CL78" s="23">
        <f>EXP(-LN(2)/25)*CL77+(1-EXP(-LN(2)/25))/(LN(2)/25)*Calculateur!CG78*Calculateur!CI78*VLOOKUP('Données projet'!$B$12,Paramètres!$A$1:$I$89,3,0)*0.475*44/12</f>
        <v>0</v>
      </c>
      <c r="CM78" s="23">
        <f>EXP(-LN(2)/2)*CM77+(1-EXP(-LN(2)/2))/(LN(2)/2)*CG78*CJ78*VLOOKUP('Données projet'!$B$12,Paramètres!$A$1:$I$89,3,0)*0.475*44/12</f>
        <v>0</v>
      </c>
      <c r="CN78" s="24">
        <f t="shared" si="66"/>
        <v>0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>
        <f>VLOOKUP(A78,'Données projet'!$A$139:$I$159,2,0)</f>
        <v>275</v>
      </c>
      <c r="CR78" s="13">
        <f>VLOOKUP(A78,'Données projet'!$A$139:$I$159,9,0)</f>
        <v>4.6153846153846185</v>
      </c>
      <c r="CS78" s="13">
        <f t="array" ref="CS78">INDEX(CR:CR,MIN(IF(ISNUMBER(CR78:CR274),ROW(CR78:CR274),"")))</f>
        <v>4.6153846153846185</v>
      </c>
      <c r="CT78" s="13">
        <f>IF('Données projet'!$A$140&gt;35,CT77+CS78-DB77,IF(A78&lt;'Données projet'!$A$140,$CQ$205^A78,IF(A78='Données projet'!$A$140,'Données projet'!$B$140,CT77+CS78-DB77)))</f>
        <v>275.00000000000006</v>
      </c>
      <c r="CU78" s="18">
        <f>CT78*VLOOKUP('Données projet'!$B$13,Paramètres!$A$1:$I$89,3,0)*VLOOKUP('Données projet'!$B$13,Paramètres!$A$1:$I$89,5,0)</f>
        <v>184.47000000000006</v>
      </c>
      <c r="CV78" s="14">
        <f t="shared" si="95"/>
        <v>46.315254582516594</v>
      </c>
      <c r="CW78" s="22">
        <f t="shared" si="67"/>
        <v>401.9509850645498</v>
      </c>
      <c r="CX78" s="62">
        <f t="shared" si="68"/>
        <v>670.6125697643746</v>
      </c>
      <c r="CY78" s="62">
        <f ca="1">AVERAGE(OFFSET($CX$3,0,0,'Données projet'!$E$13+1,1))-AVERAGE(OFFSET($H$3,0,0,'Données projet'!$E$13+1,1))</f>
        <v>346.82725381974132</v>
      </c>
      <c r="CZ78" s="62">
        <f t="shared" si="96"/>
        <v>254.09787950201044</v>
      </c>
      <c r="DA78" s="16">
        <f>IF(ISNA(VLOOKUP(A78,'Données projet'!$A$139:$I$159,3,0)),0,VLOOKUP(A78,'Données projet'!$A$139:$I$159,3,0))</f>
        <v>6</v>
      </c>
      <c r="DB78" s="16">
        <f>IF(ISNA(VLOOKUP(A78,'Données projet'!$A$139:$I$159,4,0)),0,VLOOKUP(A78,'Données projet'!$A$139:$I$159,4,0))</f>
        <v>27.564102564102562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>
        <f>EXP(-LN(2)/35)*DF77+(1-EXP(-LN(2)/35))/(LN(2)/35)*DB78*DC78*VLOOKUP('Données projet'!$B$13,Paramètres!$A$1:$I$89,3,0)*0.475*44/12</f>
        <v>0</v>
      </c>
      <c r="DG78" s="23">
        <f>EXP(-LN(2)/25)*DG77+(1-EXP(-LN(2)/25))/(LN(2)/25)*Calculateur!DB78*Calculateur!DD78*VLOOKUP('Données projet'!$B$13,Paramètres!$A$1:$I$89,3,0)*0.475*44/12</f>
        <v>0</v>
      </c>
      <c r="DH78" s="23">
        <f>EXP(-LN(2)/2)*DH77+(1-EXP(-LN(2)/2))/(LN(2)/2)*DB78*DE78*VLOOKUP('Données projet'!$B$13,Paramètres!$A$1:$I$89,3,0)*0.475*44/12</f>
        <v>0</v>
      </c>
      <c r="DI78" s="24">
        <f t="shared" si="69"/>
        <v>0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5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2">
        <f t="shared" si="86"/>
        <v>0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18.333333333333332</v>
      </c>
      <c r="H79" s="70">
        <f t="shared" si="56"/>
        <v>183.33333333333334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6</v>
      </c>
      <c r="N79" s="14">
        <f>IF('Données projet'!$A$36&gt;35,N78+M79-V78,IF(A79&lt;'Données projet'!$A$36,$K$205^A79,IF(A79='Données projet'!$A$36,'Données projet'!$B$36,N78+M79-V78)))</f>
        <v>257.99999999999989</v>
      </c>
      <c r="O79" s="14">
        <f>N79*VLOOKUP('Données projet'!$B$9,Paramètres!$A$1:$I$89,3,0)*VLOOKUP('Données projet'!$B$9,Paramètres!$A$1:$I$89,5,0)</f>
        <v>233.43839999999989</v>
      </c>
      <c r="P79" s="14">
        <f t="shared" si="87"/>
        <v>57.025500710931624</v>
      </c>
      <c r="Q79" s="22">
        <f t="shared" si="54"/>
        <v>505.89129373820577</v>
      </c>
      <c r="R79" s="62">
        <f t="shared" si="55"/>
        <v>774.98087811905521</v>
      </c>
      <c r="S79" s="62">
        <f ca="1">AVERAGE(OFFSET($R$3,0,0,'Données projet'!$E$9+1,1))-AVERAGE(OFFSET($H$3,0,0,'Données projet'!$E$9+1,1))</f>
        <v>469.67944008675863</v>
      </c>
      <c r="T79" s="62">
        <f t="shared" si="88"/>
        <v>266.11908070867173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0</v>
      </c>
      <c r="AA79" s="23">
        <f>EXP(-LN(2)/25)*AA78+(1-EXP(-LN(2)/25))/(LN(2)/25)*Calculateur!V79*Calculateur!X79*VLOOKUP('Données projet'!$B$9,Paramètres!$A$1:$I$89,3,0)*0.475*44/12</f>
        <v>0</v>
      </c>
      <c r="AB79" s="23">
        <f>EXP(-LN(2)/2)*AB78+(1-EXP(-LN(2)/2))/(LN(2)/2)*V79*Y79*VLOOKUP('Données projet'!$B$9,Paramètres!$A$1:$I$89,3,0)*0.475*44/12</f>
        <v>0</v>
      </c>
      <c r="AC79" s="24">
        <f t="shared" si="57"/>
        <v>0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3.9743589743589722</v>
      </c>
      <c r="AI79" s="14">
        <f>IF('Données projet'!$A$62&gt;35,AI78+AH79-AQ78,IF(A79&lt;'Données projet'!$A$62,$AF$205^A79,IF(A79='Données projet'!$A$62,'Données projet'!$B$62,AI78+AH79-AQ78)))</f>
        <v>197.56410256410243</v>
      </c>
      <c r="AJ79" s="14">
        <f>AI79*VLOOKUP('Données projet'!$B$10,Paramètres!$A$1:$I$89,3,0)*VLOOKUP('Données projet'!$B$10,Paramètres!$A$1:$I$89,5,0)</f>
        <v>188.00199999999987</v>
      </c>
      <c r="AK79" s="14">
        <f t="shared" si="89"/>
        <v>47.097952008610882</v>
      </c>
      <c r="AL79" s="22">
        <f t="shared" si="58"/>
        <v>409.46574974833038</v>
      </c>
      <c r="AM79" s="62">
        <f t="shared" si="59"/>
        <v>678.55533412917976</v>
      </c>
      <c r="AN79" s="62">
        <f ca="1">AVERAGE(OFFSET($AM$3,0,0,'Données projet'!$E$10+1,1))-AVERAGE(OFFSET($H$3,0,0,'Données projet'!$E$10+1,1))</f>
        <v>400.48230125343474</v>
      </c>
      <c r="AO79" s="62">
        <f t="shared" si="90"/>
        <v>275.67023303885048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0</v>
      </c>
      <c r="AV79" s="23">
        <f>EXP(-LN(2)/25)*AV78+(1-EXP(-LN(2)/25))/(LN(2)/25)*Calculateur!AQ79*Calculateur!AS79*VLOOKUP('Données projet'!$B$10,Paramètres!$A$1:$I$89,3,0)*0.475*44/12</f>
        <v>0</v>
      </c>
      <c r="AW79" s="23">
        <f>EXP(-LN(2)/2)*AW78+(1-EXP(-LN(2)/2))/(LN(2)/2)*AQ79*AT79*VLOOKUP('Données projet'!$B$10,Paramètres!$A$1:$I$89,3,0)*0.475*44/12</f>
        <v>0</v>
      </c>
      <c r="AX79" s="23">
        <f t="shared" si="60"/>
        <v>0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6</v>
      </c>
      <c r="BD79" s="13">
        <f>IF('Données projet'!$A$88&gt;35,BD78+BC79-BL78,IF(A79&lt;'Données projet'!$A$88,$BA$205^A79,IF(A79='Données projet'!$A$88,'Données projet'!$B$88,BD78+BC79-BL78)))</f>
        <v>257.99999999999989</v>
      </c>
      <c r="BE79" s="14">
        <f>BD79*VLOOKUP('Données projet'!$B$11,Paramètres!$A$1:$I$89,3,0)*VLOOKUP('Données projet'!$B$11,Paramètres!$A$1:$I$89,5,0)</f>
        <v>249.53759999999988</v>
      </c>
      <c r="BF79" s="14">
        <f t="shared" si="91"/>
        <v>60.486914185674671</v>
      </c>
      <c r="BG79" s="22">
        <f t="shared" si="61"/>
        <v>539.95936220671649</v>
      </c>
      <c r="BH79" s="62">
        <f t="shared" si="62"/>
        <v>809.04894658756598</v>
      </c>
      <c r="BI79" s="62">
        <f ca="1">AVERAGE(OFFSET($BH$3,0,0,'Données projet'!$E$11+1,1))-AVERAGE(OFFSET($H$3,0,0,'Données projet'!$E$11+1,1))</f>
        <v>496.33873798282525</v>
      </c>
      <c r="BJ79" s="62">
        <f t="shared" si="92"/>
        <v>280.25465074992246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>
        <f>EXP(-LN(2)/35)*BP78+(1-EXP(-LN(2)/35))/(LN(2)/35)*BL79*BM79*VLOOKUP('Données projet'!$B$11,Paramètres!$A$1:$I$89,3,0)*0.475*44/12</f>
        <v>0</v>
      </c>
      <c r="BQ79" s="23">
        <f>EXP(-LN(2)/25)*BQ78+(1-EXP(-LN(2)/25))/(LN(2)/25)*Calculateur!BL79*Calculateur!BN79*VLOOKUP('Données projet'!$B$11,Paramètres!$A$1:$I$89,3,0)*0.475*44/12</f>
        <v>0</v>
      </c>
      <c r="BR79" s="23">
        <f>EXP(-LN(2)/2)*BR78+(1-EXP(-LN(2)/2))/(LN(2)/2)*BL79*BO79*VLOOKUP('Données projet'!$B$11,Paramètres!$A$1:$I$89,3,0)*0.475*44/12</f>
        <v>0</v>
      </c>
      <c r="BS79" s="24">
        <f t="shared" si="63"/>
        <v>0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2.4</v>
      </c>
      <c r="BY79" s="13">
        <f>IF('Données projet'!$A$114&gt;35,BY78+BX79-CG78,IF(A79&lt;'Données projet'!$A$114,$BV$205^A79,IF(A79='Données projet'!$A$114,'Données projet'!$B$114,BY78+BX79-CG78)))</f>
        <v>224.39999999999986</v>
      </c>
      <c r="BZ79" s="14">
        <f>BY79*VLOOKUP('Données projet'!$B$12,Paramètres!$A$1:$I$89,3,0)*VLOOKUP('Données projet'!$B$12,Paramètres!$A$1:$I$89,5,0)</f>
        <v>196.03583999999989</v>
      </c>
      <c r="CA79" s="14">
        <f t="shared" si="93"/>
        <v>48.871952855623412</v>
      </c>
      <c r="CB79" s="22">
        <f t="shared" si="64"/>
        <v>426.54773922354394</v>
      </c>
      <c r="CC79" s="62">
        <f t="shared" si="65"/>
        <v>695.63732360439337</v>
      </c>
      <c r="CD79" s="62">
        <f ca="1">AVERAGE(OFFSET($CC$3,0,0,'Données projet'!$E$12+1,1))-AVERAGE(OFFSET($H$3,0,0,'Données projet'!$E$12+1,1))</f>
        <v>298.56812743477741</v>
      </c>
      <c r="CE79" s="62">
        <f t="shared" si="94"/>
        <v>276.01618888357268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>
        <f>EXP(-LN(2)/35)*CK78+(1-EXP(-LN(2)/35))/(LN(2)/35)*CG79*CH79*VLOOKUP('Données projet'!$B$12,Paramètres!$A$1:$I$89,3,0)*0.475*44/12</f>
        <v>0</v>
      </c>
      <c r="CL79" s="23">
        <f>EXP(-LN(2)/25)*CL78+(1-EXP(-LN(2)/25))/(LN(2)/25)*Calculateur!CG79*Calculateur!CI79*VLOOKUP('Données projet'!$B$12,Paramètres!$A$1:$I$89,3,0)*0.475*44/12</f>
        <v>0</v>
      </c>
      <c r="CM79" s="23">
        <f>EXP(-LN(2)/2)*CM78+(1-EXP(-LN(2)/2))/(LN(2)/2)*CG79*CJ79*VLOOKUP('Données projet'!$B$12,Paramètres!$A$1:$I$89,3,0)*0.475*44/12</f>
        <v>0</v>
      </c>
      <c r="CN79" s="24">
        <f t="shared" si="66"/>
        <v>0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4.2307692307692317</v>
      </c>
      <c r="CT79" s="13">
        <f>IF('Données projet'!$A$140&gt;35,CT78+CS79-DB78,IF(A79&lt;'Données projet'!$A$140,$CQ$205^A79,IF(A79='Données projet'!$A$140,'Données projet'!$B$140,CT78+CS79-DB78)))</f>
        <v>251.66666666666671</v>
      </c>
      <c r="CU79" s="18">
        <f>CT79*VLOOKUP('Données projet'!$B$13,Paramètres!$A$1:$I$89,3,0)*VLOOKUP('Données projet'!$B$13,Paramètres!$A$1:$I$89,5,0)</f>
        <v>168.81800000000004</v>
      </c>
      <c r="CV79" s="14">
        <f t="shared" si="95"/>
        <v>42.825187501685285</v>
      </c>
      <c r="CW79" s="22">
        <f t="shared" si="67"/>
        <v>368.61188489876866</v>
      </c>
      <c r="CX79" s="62">
        <f t="shared" si="68"/>
        <v>637.7014692796181</v>
      </c>
      <c r="CY79" s="62">
        <f ca="1">AVERAGE(OFFSET($CX$3,0,0,'Données projet'!$E$13+1,1))-AVERAGE(OFFSET($H$3,0,0,'Données projet'!$E$13+1,1))</f>
        <v>346.82725381974132</v>
      </c>
      <c r="CZ79" s="62">
        <f t="shared" si="96"/>
        <v>254.09787950201044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>
        <f>EXP(-LN(2)/35)*DF78+(1-EXP(-LN(2)/35))/(LN(2)/35)*DB79*DC79*VLOOKUP('Données projet'!$B$13,Paramètres!$A$1:$I$89,3,0)*0.475*44/12</f>
        <v>0</v>
      </c>
      <c r="DG79" s="23">
        <f>EXP(-LN(2)/25)*DG78+(1-EXP(-LN(2)/25))/(LN(2)/25)*Calculateur!DB79*Calculateur!DD79*VLOOKUP('Données projet'!$B$13,Paramètres!$A$1:$I$89,3,0)*0.475*44/12</f>
        <v>0</v>
      </c>
      <c r="DH79" s="23">
        <f>EXP(-LN(2)/2)*DH78+(1-EXP(-LN(2)/2))/(LN(2)/2)*DB79*DE79*VLOOKUP('Données projet'!$B$13,Paramètres!$A$1:$I$89,3,0)*0.475*44/12</f>
        <v>0</v>
      </c>
      <c r="DI79" s="24">
        <f t="shared" si="69"/>
        <v>0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5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2">
        <f t="shared" si="86"/>
        <v>0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18.333333333333332</v>
      </c>
      <c r="H80" s="70">
        <f t="shared" si="56"/>
        <v>183.33333333333334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6</v>
      </c>
      <c r="N80" s="14">
        <f>IF('Données projet'!$A$36&gt;35,N79+M80-V79,IF(A80&lt;'Données projet'!$A$36,$K$205^A80,IF(A80='Données projet'!$A$36,'Données projet'!$B$36,N79+M80-V79)))</f>
        <v>263.99999999999989</v>
      </c>
      <c r="O80" s="14">
        <f>N80*VLOOKUP('Données projet'!$B$9,Paramètres!$A$1:$I$89,3,0)*VLOOKUP('Données projet'!$B$9,Paramètres!$A$1:$I$89,5,0)</f>
        <v>238.86719999999988</v>
      </c>
      <c r="P80" s="14">
        <f t="shared" si="87"/>
        <v>58.195735973104156</v>
      </c>
      <c r="Q80" s="22">
        <f t="shared" si="54"/>
        <v>517.38461348648957</v>
      </c>
      <c r="R80" s="62">
        <f t="shared" si="55"/>
        <v>786.8947727107618</v>
      </c>
      <c r="S80" s="62">
        <f ca="1">AVERAGE(OFFSET($R$3,0,0,'Données projet'!$E$9+1,1))-AVERAGE(OFFSET($H$3,0,0,'Données projet'!$E$9+1,1))</f>
        <v>469.67944008675863</v>
      </c>
      <c r="T80" s="62">
        <f t="shared" si="88"/>
        <v>266.11908070867173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0</v>
      </c>
      <c r="AA80" s="23">
        <f>EXP(-LN(2)/25)*AA79+(1-EXP(-LN(2)/25))/(LN(2)/25)*Calculateur!V80*Calculateur!X80*VLOOKUP('Données projet'!$B$9,Paramètres!$A$1:$I$89,3,0)*0.475*44/12</f>
        <v>0</v>
      </c>
      <c r="AB80" s="23">
        <f>EXP(-LN(2)/2)*AB79+(1-EXP(-LN(2)/2))/(LN(2)/2)*V80*Y80*VLOOKUP('Données projet'!$B$9,Paramètres!$A$1:$I$89,3,0)*0.475*44/12</f>
        <v>0</v>
      </c>
      <c r="AC80" s="24">
        <f t="shared" si="57"/>
        <v>0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3.9743589743589722</v>
      </c>
      <c r="AI80" s="14">
        <f>IF('Données projet'!$A$62&gt;35,AI79+AH80-AQ79,IF(A80&lt;'Données projet'!$A$62,$AF$205^A80,IF(A80='Données projet'!$A$62,'Données projet'!$B$62,AI79+AH80-AQ79)))</f>
        <v>201.53846153846141</v>
      </c>
      <c r="AJ80" s="14">
        <f>AI80*VLOOKUP('Données projet'!$B$10,Paramètres!$A$1:$I$89,3,0)*VLOOKUP('Données projet'!$B$10,Paramètres!$A$1:$I$89,5,0)</f>
        <v>191.78399999999988</v>
      </c>
      <c r="AK80" s="14">
        <f t="shared" si="89"/>
        <v>47.934155134948412</v>
      </c>
      <c r="AL80" s="22">
        <f t="shared" si="58"/>
        <v>417.50912019336829</v>
      </c>
      <c r="AM80" s="62">
        <f t="shared" si="59"/>
        <v>687.01927941764052</v>
      </c>
      <c r="AN80" s="62">
        <f ca="1">AVERAGE(OFFSET($AM$3,0,0,'Données projet'!$E$10+1,1))-AVERAGE(OFFSET($H$3,0,0,'Données projet'!$E$10+1,1))</f>
        <v>400.48230125343474</v>
      </c>
      <c r="AO80" s="62">
        <f t="shared" si="90"/>
        <v>275.67023303885048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0</v>
      </c>
      <c r="AV80" s="23">
        <f>EXP(-LN(2)/25)*AV79+(1-EXP(-LN(2)/25))/(LN(2)/25)*Calculateur!AQ80*Calculateur!AS80*VLOOKUP('Données projet'!$B$10,Paramètres!$A$1:$I$89,3,0)*0.475*44/12</f>
        <v>0</v>
      </c>
      <c r="AW80" s="23">
        <f>EXP(-LN(2)/2)*AW79+(1-EXP(-LN(2)/2))/(LN(2)/2)*AQ80*AT80*VLOOKUP('Données projet'!$B$10,Paramètres!$A$1:$I$89,3,0)*0.475*44/12</f>
        <v>0</v>
      </c>
      <c r="AX80" s="23">
        <f t="shared" si="60"/>
        <v>0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6</v>
      </c>
      <c r="BD80" s="13">
        <f>IF('Données projet'!$A$88&gt;35,BD79+BC80-BL79,IF(A80&lt;'Données projet'!$A$88,$BA$205^A80,IF(A80='Données projet'!$A$88,'Données projet'!$B$88,BD79+BC80-BL79)))</f>
        <v>263.99999999999989</v>
      </c>
      <c r="BE80" s="14">
        <f>BD80*VLOOKUP('Données projet'!$B$11,Paramètres!$A$1:$I$89,3,0)*VLOOKUP('Données projet'!$B$11,Paramètres!$A$1:$I$89,5,0)</f>
        <v>255.34079999999989</v>
      </c>
      <c r="BF80" s="14">
        <f t="shared" si="91"/>
        <v>61.728182021951895</v>
      </c>
      <c r="BG80" s="22">
        <f t="shared" si="61"/>
        <v>552.22847702156594</v>
      </c>
      <c r="BH80" s="62">
        <f t="shared" si="62"/>
        <v>821.73863624583828</v>
      </c>
      <c r="BI80" s="62">
        <f ca="1">AVERAGE(OFFSET($BH$3,0,0,'Données projet'!$E$11+1,1))-AVERAGE(OFFSET($H$3,0,0,'Données projet'!$E$11+1,1))</f>
        <v>496.33873798282525</v>
      </c>
      <c r="BJ80" s="62">
        <f t="shared" si="92"/>
        <v>280.25465074992246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>
        <f>EXP(-LN(2)/35)*BP79+(1-EXP(-LN(2)/35))/(LN(2)/35)*BL80*BM80*VLOOKUP('Données projet'!$B$11,Paramètres!$A$1:$I$89,3,0)*0.475*44/12</f>
        <v>0</v>
      </c>
      <c r="BQ80" s="23">
        <f>EXP(-LN(2)/25)*BQ79+(1-EXP(-LN(2)/25))/(LN(2)/25)*Calculateur!BL80*Calculateur!BN80*VLOOKUP('Données projet'!$B$11,Paramètres!$A$1:$I$89,3,0)*0.475*44/12</f>
        <v>0</v>
      </c>
      <c r="BR80" s="23">
        <f>EXP(-LN(2)/2)*BR79+(1-EXP(-LN(2)/2))/(LN(2)/2)*BL80*BO80*VLOOKUP('Données projet'!$B$11,Paramètres!$A$1:$I$89,3,0)*0.475*44/12</f>
        <v>0</v>
      </c>
      <c r="BS80" s="24">
        <f t="shared" si="63"/>
        <v>0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2.4</v>
      </c>
      <c r="BY80" s="13">
        <f>IF('Données projet'!$A$114&gt;35,BY79+BX80-CG79,IF(A80&lt;'Données projet'!$A$114,$BV$205^A80,IF(A80='Données projet'!$A$114,'Données projet'!$B$114,BY79+BX80-CG79)))</f>
        <v>226.79999999999987</v>
      </c>
      <c r="BZ80" s="14">
        <f>BY80*VLOOKUP('Données projet'!$B$12,Paramètres!$A$1:$I$89,3,0)*VLOOKUP('Données projet'!$B$12,Paramètres!$A$1:$I$89,5,0)</f>
        <v>198.1324799999999</v>
      </c>
      <c r="CA80" s="14">
        <f t="shared" si="93"/>
        <v>49.333519530262052</v>
      </c>
      <c r="CB80" s="22">
        <f t="shared" si="64"/>
        <v>431.00328251520631</v>
      </c>
      <c r="CC80" s="62">
        <f t="shared" si="65"/>
        <v>700.51344173947859</v>
      </c>
      <c r="CD80" s="62">
        <f ca="1">AVERAGE(OFFSET($CC$3,0,0,'Données projet'!$E$12+1,1))-AVERAGE(OFFSET($H$3,0,0,'Données projet'!$E$12+1,1))</f>
        <v>298.56812743477741</v>
      </c>
      <c r="CE80" s="62">
        <f t="shared" si="94"/>
        <v>276.01618888357268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>
        <f>EXP(-LN(2)/35)*CK79+(1-EXP(-LN(2)/35))/(LN(2)/35)*CG80*CH80*VLOOKUP('Données projet'!$B$12,Paramètres!$A$1:$I$89,3,0)*0.475*44/12</f>
        <v>0</v>
      </c>
      <c r="CL80" s="23">
        <f>EXP(-LN(2)/25)*CL79+(1-EXP(-LN(2)/25))/(LN(2)/25)*Calculateur!CG80*Calculateur!CI80*VLOOKUP('Données projet'!$B$12,Paramètres!$A$1:$I$89,3,0)*0.475*44/12</f>
        <v>0</v>
      </c>
      <c r="CM80" s="23">
        <f>EXP(-LN(2)/2)*CM79+(1-EXP(-LN(2)/2))/(LN(2)/2)*CG80*CJ80*VLOOKUP('Données projet'!$B$12,Paramètres!$A$1:$I$89,3,0)*0.475*44/12</f>
        <v>0</v>
      </c>
      <c r="CN80" s="24">
        <f t="shared" si="66"/>
        <v>0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4.2307692307692317</v>
      </c>
      <c r="CT80" s="13">
        <f>IF('Données projet'!$A$140&gt;35,CT79+CS80-DB79,IF(A80&lt;'Données projet'!$A$140,$CQ$205^A80,IF(A80='Données projet'!$A$140,'Données projet'!$B$140,CT79+CS80-DB79)))</f>
        <v>255.89743589743594</v>
      </c>
      <c r="CU80" s="18">
        <f>CT80*VLOOKUP('Données projet'!$B$13,Paramètres!$A$1:$I$89,3,0)*VLOOKUP('Données projet'!$B$13,Paramètres!$A$1:$I$89,5,0)</f>
        <v>171.65600000000003</v>
      </c>
      <c r="CV80" s="14">
        <f t="shared" si="95"/>
        <v>43.460702985278566</v>
      </c>
      <c r="CW80" s="22">
        <f t="shared" si="67"/>
        <v>374.66159103269359</v>
      </c>
      <c r="CX80" s="62">
        <f t="shared" si="68"/>
        <v>644.17175025696588</v>
      </c>
      <c r="CY80" s="62">
        <f ca="1">AVERAGE(OFFSET($CX$3,0,0,'Données projet'!$E$13+1,1))-AVERAGE(OFFSET($H$3,0,0,'Données projet'!$E$13+1,1))</f>
        <v>346.82725381974132</v>
      </c>
      <c r="CZ80" s="62">
        <f t="shared" si="96"/>
        <v>254.09787950201044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>
        <f>EXP(-LN(2)/35)*DF79+(1-EXP(-LN(2)/35))/(LN(2)/35)*DB80*DC80*VLOOKUP('Données projet'!$B$13,Paramètres!$A$1:$I$89,3,0)*0.475*44/12</f>
        <v>0</v>
      </c>
      <c r="DG80" s="23">
        <f>EXP(-LN(2)/25)*DG79+(1-EXP(-LN(2)/25))/(LN(2)/25)*Calculateur!DB80*Calculateur!DD80*VLOOKUP('Données projet'!$B$13,Paramètres!$A$1:$I$89,3,0)*0.475*44/12</f>
        <v>0</v>
      </c>
      <c r="DH80" s="23">
        <f>EXP(-LN(2)/2)*DH79+(1-EXP(-LN(2)/2))/(LN(2)/2)*DB80*DE80*VLOOKUP('Données projet'!$B$13,Paramètres!$A$1:$I$89,3,0)*0.475*44/12</f>
        <v>0</v>
      </c>
      <c r="DI80" s="24">
        <f t="shared" si="69"/>
        <v>0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5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2">
        <f t="shared" si="86"/>
        <v>0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18.333333333333332</v>
      </c>
      <c r="H81" s="70">
        <f t="shared" si="56"/>
        <v>183.33333333333334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6</v>
      </c>
      <c r="N81" s="14">
        <f>IF('Données projet'!$A$36&gt;35,N80+M81-V80,IF(A81&lt;'Données projet'!$A$36,$K$205^A81,IF(A81='Données projet'!$A$36,'Données projet'!$B$36,N80+M81-V80)))</f>
        <v>269.99999999999989</v>
      </c>
      <c r="O81" s="14">
        <f>N81*VLOOKUP('Données projet'!$B$9,Paramètres!$A$1:$I$89,3,0)*VLOOKUP('Données projet'!$B$9,Paramètres!$A$1:$I$89,5,0)</f>
        <v>244.29599999999991</v>
      </c>
      <c r="P81" s="14">
        <f t="shared" si="87"/>
        <v>59.362879241040318</v>
      </c>
      <c r="Q81" s="22">
        <f t="shared" si="54"/>
        <v>528.87254801147833</v>
      </c>
      <c r="R81" s="62">
        <f t="shared" si="55"/>
        <v>798.79598604590456</v>
      </c>
      <c r="S81" s="62">
        <f ca="1">AVERAGE(OFFSET($R$3,0,0,'Données projet'!$E$9+1,1))-AVERAGE(OFFSET($H$3,0,0,'Données projet'!$E$9+1,1))</f>
        <v>469.67944008675863</v>
      </c>
      <c r="T81" s="62">
        <f t="shared" si="88"/>
        <v>266.11908070867173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0</v>
      </c>
      <c r="AA81" s="23">
        <f>EXP(-LN(2)/25)*AA80+(1-EXP(-LN(2)/25))/(LN(2)/25)*Calculateur!V81*Calculateur!X81*VLOOKUP('Données projet'!$B$9,Paramètres!$A$1:$I$89,3,0)*0.475*44/12</f>
        <v>0</v>
      </c>
      <c r="AB81" s="23">
        <f>EXP(-LN(2)/2)*AB80+(1-EXP(-LN(2)/2))/(LN(2)/2)*V81*Y81*VLOOKUP('Données projet'!$B$9,Paramètres!$A$1:$I$89,3,0)*0.475*44/12</f>
        <v>0</v>
      </c>
      <c r="AC81" s="24">
        <f t="shared" si="57"/>
        <v>0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3.9743589743589722</v>
      </c>
      <c r="AI81" s="14">
        <f>IF('Données projet'!$A$62&gt;35,AI80+AH81-AQ80,IF(A81&lt;'Données projet'!$A$62,$AF$205^A81,IF(A81='Données projet'!$A$62,'Données projet'!$B$62,AI80+AH81-AQ80)))</f>
        <v>205.51282051282038</v>
      </c>
      <c r="AJ81" s="14">
        <f>AI81*VLOOKUP('Données projet'!$B$10,Paramètres!$A$1:$I$89,3,0)*VLOOKUP('Données projet'!$B$10,Paramètres!$A$1:$I$89,5,0)</f>
        <v>195.56599999999989</v>
      </c>
      <c r="AK81" s="14">
        <f t="shared" si="89"/>
        <v>48.768440893940046</v>
      </c>
      <c r="AL81" s="22">
        <f t="shared" si="58"/>
        <v>425.549151223612</v>
      </c>
      <c r="AM81" s="62">
        <f t="shared" si="59"/>
        <v>695.47258925803817</v>
      </c>
      <c r="AN81" s="62">
        <f ca="1">AVERAGE(OFFSET($AM$3,0,0,'Données projet'!$E$10+1,1))-AVERAGE(OFFSET($H$3,0,0,'Données projet'!$E$10+1,1))</f>
        <v>400.48230125343474</v>
      </c>
      <c r="AO81" s="62">
        <f t="shared" si="90"/>
        <v>275.67023303885048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0</v>
      </c>
      <c r="AV81" s="23">
        <f>EXP(-LN(2)/25)*AV80+(1-EXP(-LN(2)/25))/(LN(2)/25)*Calculateur!AQ81*Calculateur!AS81*VLOOKUP('Données projet'!$B$10,Paramètres!$A$1:$I$89,3,0)*0.475*44/12</f>
        <v>0</v>
      </c>
      <c r="AW81" s="23">
        <f>EXP(-LN(2)/2)*AW80+(1-EXP(-LN(2)/2))/(LN(2)/2)*AQ81*AT81*VLOOKUP('Données projet'!$B$10,Paramètres!$A$1:$I$89,3,0)*0.475*44/12</f>
        <v>0</v>
      </c>
      <c r="AX81" s="23">
        <f t="shared" si="60"/>
        <v>0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6</v>
      </c>
      <c r="BD81" s="13">
        <f>IF('Données projet'!$A$88&gt;35,BD80+BC81-BL80,IF(A81&lt;'Données projet'!$A$88,$BA$205^A81,IF(A81='Données projet'!$A$88,'Données projet'!$B$88,BD80+BC81-BL80)))</f>
        <v>269.99999999999989</v>
      </c>
      <c r="BE81" s="14">
        <f>BD81*VLOOKUP('Données projet'!$B$11,Paramètres!$A$1:$I$89,3,0)*VLOOKUP('Données projet'!$B$11,Paramètres!$A$1:$I$89,5,0)</f>
        <v>261.14399999999989</v>
      </c>
      <c r="BF81" s="14">
        <f t="shared" si="91"/>
        <v>62.966170181808813</v>
      </c>
      <c r="BG81" s="22">
        <f t="shared" si="61"/>
        <v>564.49187973331675</v>
      </c>
      <c r="BH81" s="62">
        <f t="shared" si="62"/>
        <v>834.41531776774298</v>
      </c>
      <c r="BI81" s="62">
        <f ca="1">AVERAGE(OFFSET($BH$3,0,0,'Données projet'!$E$11+1,1))-AVERAGE(OFFSET($H$3,0,0,'Données projet'!$E$11+1,1))</f>
        <v>496.33873798282525</v>
      </c>
      <c r="BJ81" s="62">
        <f t="shared" si="92"/>
        <v>280.25465074992246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>
        <f>EXP(-LN(2)/35)*BP80+(1-EXP(-LN(2)/35))/(LN(2)/35)*BL81*BM81*VLOOKUP('Données projet'!$B$11,Paramètres!$A$1:$I$89,3,0)*0.475*44/12</f>
        <v>0</v>
      </c>
      <c r="BQ81" s="23">
        <f>EXP(-LN(2)/25)*BQ80+(1-EXP(-LN(2)/25))/(LN(2)/25)*Calculateur!BL81*Calculateur!BN81*VLOOKUP('Données projet'!$B$11,Paramètres!$A$1:$I$89,3,0)*0.475*44/12</f>
        <v>0</v>
      </c>
      <c r="BR81" s="23">
        <f>EXP(-LN(2)/2)*BR80+(1-EXP(-LN(2)/2))/(LN(2)/2)*BL81*BO81*VLOOKUP('Données projet'!$B$11,Paramètres!$A$1:$I$89,3,0)*0.475*44/12</f>
        <v>0</v>
      </c>
      <c r="BS81" s="24">
        <f t="shared" si="63"/>
        <v>0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2.4</v>
      </c>
      <c r="BY81" s="13">
        <f>IF('Données projet'!$A$114&gt;35,BY80+BX81-CG80,IF(A81&lt;'Données projet'!$A$114,$BV$205^A81,IF(A81='Données projet'!$A$114,'Données projet'!$B$114,BY80+BX81-CG80)))</f>
        <v>229.19999999999987</v>
      </c>
      <c r="BZ81" s="14">
        <f>BY81*VLOOKUP('Données projet'!$B$12,Paramètres!$A$1:$I$89,3,0)*VLOOKUP('Données projet'!$B$12,Paramètres!$A$1:$I$89,5,0)</f>
        <v>200.22911999999994</v>
      </c>
      <c r="CA81" s="14">
        <f t="shared" si="93"/>
        <v>49.794518010766353</v>
      </c>
      <c r="CB81" s="22">
        <f t="shared" si="64"/>
        <v>435.45783620208459</v>
      </c>
      <c r="CC81" s="62">
        <f t="shared" si="65"/>
        <v>705.38127423651076</v>
      </c>
      <c r="CD81" s="62">
        <f ca="1">AVERAGE(OFFSET($CC$3,0,0,'Données projet'!$E$12+1,1))-AVERAGE(OFFSET($H$3,0,0,'Données projet'!$E$12+1,1))</f>
        <v>298.56812743477741</v>
      </c>
      <c r="CE81" s="62">
        <f t="shared" si="94"/>
        <v>276.01618888357268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>
        <f>EXP(-LN(2)/35)*CK80+(1-EXP(-LN(2)/35))/(LN(2)/35)*CG81*CH81*VLOOKUP('Données projet'!$B$12,Paramètres!$A$1:$I$89,3,0)*0.475*44/12</f>
        <v>0</v>
      </c>
      <c r="CL81" s="23">
        <f>EXP(-LN(2)/25)*CL80+(1-EXP(-LN(2)/25))/(LN(2)/25)*Calculateur!CG81*Calculateur!CI81*VLOOKUP('Données projet'!$B$12,Paramètres!$A$1:$I$89,3,0)*0.475*44/12</f>
        <v>0</v>
      </c>
      <c r="CM81" s="23">
        <f>EXP(-LN(2)/2)*CM80+(1-EXP(-LN(2)/2))/(LN(2)/2)*CG81*CJ81*VLOOKUP('Données projet'!$B$12,Paramètres!$A$1:$I$89,3,0)*0.475*44/12</f>
        <v>0</v>
      </c>
      <c r="CN81" s="24">
        <f t="shared" si="66"/>
        <v>0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4.2307692307692317</v>
      </c>
      <c r="CT81" s="13">
        <f>IF('Données projet'!$A$140&gt;35,CT80+CS81-DB80,IF(A81&lt;'Données projet'!$A$140,$CQ$205^A81,IF(A81='Données projet'!$A$140,'Données projet'!$B$140,CT80+CS81-DB80)))</f>
        <v>260.1282051282052</v>
      </c>
      <c r="CU81" s="18">
        <f>CT81*VLOOKUP('Données projet'!$B$13,Paramètres!$A$1:$I$89,3,0)*VLOOKUP('Données projet'!$B$13,Paramètres!$A$1:$I$89,5,0)</f>
        <v>174.49400000000006</v>
      </c>
      <c r="CV81" s="14">
        <f t="shared" si="95"/>
        <v>44.094996569009169</v>
      </c>
      <c r="CW81" s="22">
        <f t="shared" si="67"/>
        <v>380.70916902435778</v>
      </c>
      <c r="CX81" s="62">
        <f t="shared" si="68"/>
        <v>650.63260705878406</v>
      </c>
      <c r="CY81" s="62">
        <f ca="1">AVERAGE(OFFSET($CX$3,0,0,'Données projet'!$E$13+1,1))-AVERAGE(OFFSET($H$3,0,0,'Données projet'!$E$13+1,1))</f>
        <v>346.82725381974132</v>
      </c>
      <c r="CZ81" s="62">
        <f t="shared" si="96"/>
        <v>254.09787950201044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>
        <f>EXP(-LN(2)/35)*DF80+(1-EXP(-LN(2)/35))/(LN(2)/35)*DB81*DC81*VLOOKUP('Données projet'!$B$13,Paramètres!$A$1:$I$89,3,0)*0.475*44/12</f>
        <v>0</v>
      </c>
      <c r="DG81" s="23">
        <f>EXP(-LN(2)/25)*DG80+(1-EXP(-LN(2)/25))/(LN(2)/25)*Calculateur!DB81*Calculateur!DD81*VLOOKUP('Données projet'!$B$13,Paramètres!$A$1:$I$89,3,0)*0.475*44/12</f>
        <v>0</v>
      </c>
      <c r="DH81" s="23">
        <f>EXP(-LN(2)/2)*DH80+(1-EXP(-LN(2)/2))/(LN(2)/2)*DB81*DE81*VLOOKUP('Données projet'!$B$13,Paramètres!$A$1:$I$89,3,0)*0.475*44/12</f>
        <v>0</v>
      </c>
      <c r="DI81" s="24">
        <f t="shared" si="69"/>
        <v>0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5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2">
        <f t="shared" si="86"/>
        <v>0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18.333333333333332</v>
      </c>
      <c r="H82" s="70">
        <f t="shared" si="56"/>
        <v>183.33333333333334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6</v>
      </c>
      <c r="N82" s="14">
        <f>IF('Données projet'!$A$36&gt;35,N81+M82-V81,IF(A82&lt;'Données projet'!$A$36,$K$205^A82,IF(A82='Données projet'!$A$36,'Données projet'!$B$36,N81+M82-V81)))</f>
        <v>275.99999999999989</v>
      </c>
      <c r="O82" s="14">
        <f>N82*VLOOKUP('Données projet'!$B$9,Paramètres!$A$1:$I$89,3,0)*VLOOKUP('Données projet'!$B$9,Paramètres!$A$1:$I$89,5,0)</f>
        <v>249.7247999999999</v>
      </c>
      <c r="P82" s="14">
        <f t="shared" si="87"/>
        <v>60.527007137298092</v>
      </c>
      <c r="Q82" s="22">
        <f t="shared" si="54"/>
        <v>540.35523076412733</v>
      </c>
      <c r="R82" s="62">
        <f t="shared" si="55"/>
        <v>810.68477814530434</v>
      </c>
      <c r="S82" s="62">
        <f ca="1">AVERAGE(OFFSET($R$3,0,0,'Données projet'!$E$9+1,1))-AVERAGE(OFFSET($H$3,0,0,'Données projet'!$E$9+1,1))</f>
        <v>469.67944008675863</v>
      </c>
      <c r="T82" s="62">
        <f t="shared" si="88"/>
        <v>266.11908070867173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0</v>
      </c>
      <c r="AA82" s="23">
        <f>EXP(-LN(2)/25)*AA81+(1-EXP(-LN(2)/25))/(LN(2)/25)*Calculateur!V82*Calculateur!X82*VLOOKUP('Données projet'!$B$9,Paramètres!$A$1:$I$89,3,0)*0.475*44/12</f>
        <v>0</v>
      </c>
      <c r="AB82" s="23">
        <f>EXP(-LN(2)/2)*AB81+(1-EXP(-LN(2)/2))/(LN(2)/2)*V82*Y82*VLOOKUP('Données projet'!$B$9,Paramètres!$A$1:$I$89,3,0)*0.475*44/12</f>
        <v>0</v>
      </c>
      <c r="AC82" s="24">
        <f t="shared" si="57"/>
        <v>0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3.9743589743589722</v>
      </c>
      <c r="AI82" s="14">
        <f>IF('Données projet'!$A$62&gt;35,AI81+AH82-AQ81,IF(A82&lt;'Données projet'!$A$62,$AF$205^A82,IF(A82='Données projet'!$A$62,'Données projet'!$B$62,AI81+AH82-AQ81)))</f>
        <v>209.48717948717936</v>
      </c>
      <c r="AJ82" s="14">
        <f>AI82*VLOOKUP('Données projet'!$B$10,Paramètres!$A$1:$I$89,3,0)*VLOOKUP('Données projet'!$B$10,Paramètres!$A$1:$I$89,5,0)</f>
        <v>199.34799999999987</v>
      </c>
      <c r="AK82" s="14">
        <f t="shared" si="89"/>
        <v>49.600850639748636</v>
      </c>
      <c r="AL82" s="22">
        <f t="shared" si="58"/>
        <v>433.58591486422864</v>
      </c>
      <c r="AM82" s="62">
        <f t="shared" si="59"/>
        <v>703.91546224540559</v>
      </c>
      <c r="AN82" s="62">
        <f ca="1">AVERAGE(OFFSET($AM$3,0,0,'Données projet'!$E$10+1,1))-AVERAGE(OFFSET($H$3,0,0,'Données projet'!$E$10+1,1))</f>
        <v>400.48230125343474</v>
      </c>
      <c r="AO82" s="62">
        <f t="shared" si="90"/>
        <v>275.67023303885048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0</v>
      </c>
      <c r="AV82" s="23">
        <f>EXP(-LN(2)/25)*AV81+(1-EXP(-LN(2)/25))/(LN(2)/25)*Calculateur!AQ82*Calculateur!AS82*VLOOKUP('Données projet'!$B$10,Paramètres!$A$1:$I$89,3,0)*0.475*44/12</f>
        <v>0</v>
      </c>
      <c r="AW82" s="23">
        <f>EXP(-LN(2)/2)*AW81+(1-EXP(-LN(2)/2))/(LN(2)/2)*AQ82*AT82*VLOOKUP('Données projet'!$B$10,Paramètres!$A$1:$I$89,3,0)*0.475*44/12</f>
        <v>0</v>
      </c>
      <c r="AX82" s="23">
        <f t="shared" si="60"/>
        <v>0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6</v>
      </c>
      <c r="BD82" s="13">
        <f>IF('Données projet'!$A$88&gt;35,BD81+BC82-BL81,IF(A82&lt;'Données projet'!$A$88,$BA$205^A82,IF(A82='Données projet'!$A$88,'Données projet'!$B$88,BD81+BC82-BL81)))</f>
        <v>275.99999999999989</v>
      </c>
      <c r="BE82" s="14">
        <f>BD82*VLOOKUP('Données projet'!$B$11,Paramètres!$A$1:$I$89,3,0)*VLOOKUP('Données projet'!$B$11,Paramètres!$A$1:$I$89,5,0)</f>
        <v>266.9471999999999</v>
      </c>
      <c r="BF82" s="14">
        <f t="shared" si="91"/>
        <v>64.200959938746379</v>
      </c>
      <c r="BG82" s="22">
        <f t="shared" si="61"/>
        <v>576.74971189331643</v>
      </c>
      <c r="BH82" s="62">
        <f t="shared" si="62"/>
        <v>847.07925927449332</v>
      </c>
      <c r="BI82" s="62">
        <f ca="1">AVERAGE(OFFSET($BH$3,0,0,'Données projet'!$E$11+1,1))-AVERAGE(OFFSET($H$3,0,0,'Données projet'!$E$11+1,1))</f>
        <v>496.33873798282525</v>
      </c>
      <c r="BJ82" s="62">
        <f t="shared" si="92"/>
        <v>280.25465074992246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>
        <f>EXP(-LN(2)/35)*BP81+(1-EXP(-LN(2)/35))/(LN(2)/35)*BL82*BM82*VLOOKUP('Données projet'!$B$11,Paramètres!$A$1:$I$89,3,0)*0.475*44/12</f>
        <v>0</v>
      </c>
      <c r="BQ82" s="23">
        <f>EXP(-LN(2)/25)*BQ81+(1-EXP(-LN(2)/25))/(LN(2)/25)*Calculateur!BL82*Calculateur!BN82*VLOOKUP('Données projet'!$B$11,Paramètres!$A$1:$I$89,3,0)*0.475*44/12</f>
        <v>0</v>
      </c>
      <c r="BR82" s="23">
        <f>EXP(-LN(2)/2)*BR81+(1-EXP(-LN(2)/2))/(LN(2)/2)*BL82*BO82*VLOOKUP('Données projet'!$B$11,Paramètres!$A$1:$I$89,3,0)*0.475*44/12</f>
        <v>0</v>
      </c>
      <c r="BS82" s="24">
        <f t="shared" si="63"/>
        <v>0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2.4</v>
      </c>
      <c r="BY82" s="13">
        <f>IF('Données projet'!$A$114&gt;35,BY81+BX82-CG81,IF(A82&lt;'Données projet'!$A$114,$BV$205^A82,IF(A82='Données projet'!$A$114,'Données projet'!$B$114,BY81+BX82-CG81)))</f>
        <v>231.59999999999988</v>
      </c>
      <c r="BZ82" s="14">
        <f>BY82*VLOOKUP('Données projet'!$B$12,Paramètres!$A$1:$I$89,3,0)*VLOOKUP('Données projet'!$B$12,Paramètres!$A$1:$I$89,5,0)</f>
        <v>202.32575999999992</v>
      </c>
      <c r="CA82" s="14">
        <f t="shared" si="93"/>
        <v>50.254954935552895</v>
      </c>
      <c r="CB82" s="22">
        <f t="shared" si="64"/>
        <v>439.91141184608779</v>
      </c>
      <c r="CC82" s="62">
        <f t="shared" si="65"/>
        <v>710.24095922726474</v>
      </c>
      <c r="CD82" s="62">
        <f ca="1">AVERAGE(OFFSET($CC$3,0,0,'Données projet'!$E$12+1,1))-AVERAGE(OFFSET($H$3,0,0,'Données projet'!$E$12+1,1))</f>
        <v>298.56812743477741</v>
      </c>
      <c r="CE82" s="62">
        <f t="shared" si="94"/>
        <v>276.01618888357268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>
        <f>EXP(-LN(2)/35)*CK81+(1-EXP(-LN(2)/35))/(LN(2)/35)*CG82*CH82*VLOOKUP('Données projet'!$B$12,Paramètres!$A$1:$I$89,3,0)*0.475*44/12</f>
        <v>0</v>
      </c>
      <c r="CL82" s="23">
        <f>EXP(-LN(2)/25)*CL81+(1-EXP(-LN(2)/25))/(LN(2)/25)*Calculateur!CG82*Calculateur!CI82*VLOOKUP('Données projet'!$B$12,Paramètres!$A$1:$I$89,3,0)*0.475*44/12</f>
        <v>0</v>
      </c>
      <c r="CM82" s="23">
        <f>EXP(-LN(2)/2)*CM81+(1-EXP(-LN(2)/2))/(LN(2)/2)*CG82*CJ82*VLOOKUP('Données projet'!$B$12,Paramètres!$A$1:$I$89,3,0)*0.475*44/12</f>
        <v>0</v>
      </c>
      <c r="CN82" s="24">
        <f t="shared" si="66"/>
        <v>0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4.2307692307692317</v>
      </c>
      <c r="CT82" s="13">
        <f>IF('Données projet'!$A$140&gt;35,CT81+CS82-DB81,IF(A82&lt;'Données projet'!$A$140,$CQ$205^A82,IF(A82='Données projet'!$A$140,'Données projet'!$B$140,CT81+CS82-DB81)))</f>
        <v>264.35897435897442</v>
      </c>
      <c r="CU82" s="18">
        <f>CT82*VLOOKUP('Données projet'!$B$13,Paramètres!$A$1:$I$89,3,0)*VLOOKUP('Données projet'!$B$13,Paramètres!$A$1:$I$89,5,0)</f>
        <v>177.33200000000005</v>
      </c>
      <c r="CV82" s="14">
        <f t="shared" si="95"/>
        <v>44.728090420283614</v>
      </c>
      <c r="CW82" s="22">
        <f t="shared" si="67"/>
        <v>386.75465748199412</v>
      </c>
      <c r="CX82" s="62">
        <f t="shared" si="68"/>
        <v>657.08420486317107</v>
      </c>
      <c r="CY82" s="62">
        <f ca="1">AVERAGE(OFFSET($CX$3,0,0,'Données projet'!$E$13+1,1))-AVERAGE(OFFSET($H$3,0,0,'Données projet'!$E$13+1,1))</f>
        <v>346.82725381974132</v>
      </c>
      <c r="CZ82" s="62">
        <f t="shared" si="96"/>
        <v>254.09787950201044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>
        <f>EXP(-LN(2)/35)*DF81+(1-EXP(-LN(2)/35))/(LN(2)/35)*DB82*DC82*VLOOKUP('Données projet'!$B$13,Paramètres!$A$1:$I$89,3,0)*0.475*44/12</f>
        <v>0</v>
      </c>
      <c r="DG82" s="23">
        <f>EXP(-LN(2)/25)*DG81+(1-EXP(-LN(2)/25))/(LN(2)/25)*Calculateur!DB82*Calculateur!DD82*VLOOKUP('Données projet'!$B$13,Paramètres!$A$1:$I$89,3,0)*0.475*44/12</f>
        <v>0</v>
      </c>
      <c r="DH82" s="23">
        <f>EXP(-LN(2)/2)*DH81+(1-EXP(-LN(2)/2))/(LN(2)/2)*DB82*DE82*VLOOKUP('Données projet'!$B$13,Paramètres!$A$1:$I$89,3,0)*0.475*44/12</f>
        <v>0</v>
      </c>
      <c r="DI82" s="24">
        <f t="shared" si="69"/>
        <v>0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5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2">
        <f t="shared" si="86"/>
        <v>0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18.333333333333332</v>
      </c>
      <c r="H83" s="70">
        <f t="shared" si="56"/>
        <v>183.33333333333334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>
        <f>VLOOKUP(A83,'Données projet'!$A$35:$I$55,2,0)</f>
        <v>282</v>
      </c>
      <c r="L83" s="13">
        <f>VLOOKUP(A83,'Données projet'!$A$35:$I$55,9,0)</f>
        <v>6</v>
      </c>
      <c r="M83" s="13">
        <f t="array" ref="M83">INDEX(L:L,MIN(IF(ISNUMBER(L83:L279),ROW(L83:L279),"")))</f>
        <v>6</v>
      </c>
      <c r="N83" s="14">
        <f>IF('Données projet'!$A$36&gt;35,N82+M83-V82,IF(A83&lt;'Données projet'!$A$36,$K$205^A83,IF(A83='Données projet'!$A$36,'Données projet'!$B$36,N82+M83-V82)))</f>
        <v>281.99999999999989</v>
      </c>
      <c r="O83" s="14">
        <f>N83*VLOOKUP('Données projet'!$B$9,Paramètres!$A$1:$I$89,3,0)*VLOOKUP('Données projet'!$B$9,Paramètres!$A$1:$I$89,5,0)</f>
        <v>255.15359999999987</v>
      </c>
      <c r="P83" s="14">
        <f t="shared" si="87"/>
        <v>61.688192762754376</v>
      </c>
      <c r="Q83" s="22">
        <f t="shared" si="54"/>
        <v>551.83278906179692</v>
      </c>
      <c r="R83" s="62">
        <f t="shared" si="55"/>
        <v>822.56140070048309</v>
      </c>
      <c r="S83" s="62">
        <f ca="1">AVERAGE(OFFSET($R$3,0,0,'Données projet'!$E$9+1,1))-AVERAGE(OFFSET($H$3,0,0,'Données projet'!$E$9+1,1))</f>
        <v>469.67944008675863</v>
      </c>
      <c r="T83" s="62">
        <f t="shared" si="88"/>
        <v>266.11908070867173</v>
      </c>
      <c r="U83" s="16">
        <f>IF(ISNA(VLOOKUP(A83,'Données projet'!$A$35:$I$55,3,0)),0,VLOOKUP(A83,'Données projet'!$A$35:$I$55,3,0))</f>
        <v>6</v>
      </c>
      <c r="V83" s="16">
        <f>IF(ISNA(VLOOKUP(A83,'Données projet'!$A$35:$I$55,4,0)),0,VLOOKUP(A83,'Données projet'!$A$35:$I$55,4,0))</f>
        <v>42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0</v>
      </c>
      <c r="AA83" s="23">
        <f>EXP(-LN(2)/25)*AA82+(1-EXP(-LN(2)/25))/(LN(2)/25)*Calculateur!V83*Calculateur!X83*VLOOKUP('Données projet'!$B$9,Paramètres!$A$1:$I$89,3,0)*0.475*44/12</f>
        <v>0</v>
      </c>
      <c r="AB83" s="23">
        <f>EXP(-LN(2)/2)*AB82+(1-EXP(-LN(2)/2))/(LN(2)/2)*V83*Y83*VLOOKUP('Données projet'!$B$9,Paramètres!$A$1:$I$89,3,0)*0.475*44/12</f>
        <v>0</v>
      </c>
      <c r="AC83" s="24">
        <f t="shared" si="57"/>
        <v>0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>
        <f>VLOOKUP(A83,'Données projet'!$A$61:$I$81,2,0)</f>
        <v>213.46153846153845</v>
      </c>
      <c r="AG83" s="13">
        <f>VLOOKUP(A83,'Données projet'!$A$61:$I$81,9,0)</f>
        <v>3.9743589743589722</v>
      </c>
      <c r="AH83" s="13">
        <f t="array" ref="AH83">INDEX(AG:AG,MIN(IF(ISNUMBER(AG83:AG279),ROW(AG83:AG279),"")))</f>
        <v>3.9743589743589722</v>
      </c>
      <c r="AI83" s="14">
        <f>IF('Données projet'!$A$62&gt;35,AI82+AH83-AQ82,IF(A83&lt;'Données projet'!$A$62,$AF$205^A83,IF(A83='Données projet'!$A$62,'Données projet'!$B$62,AI82+AH83-AQ82)))</f>
        <v>213.46153846153834</v>
      </c>
      <c r="AJ83" s="14">
        <f>AI83*VLOOKUP('Données projet'!$B$10,Paramètres!$A$1:$I$89,3,0)*VLOOKUP('Données projet'!$B$10,Paramètres!$A$1:$I$89,5,0)</f>
        <v>203.12999999999991</v>
      </c>
      <c r="AK83" s="14">
        <f t="shared" si="89"/>
        <v>50.431424067617797</v>
      </c>
      <c r="AL83" s="22">
        <f t="shared" si="58"/>
        <v>441.61948025110081</v>
      </c>
      <c r="AM83" s="62">
        <f t="shared" si="59"/>
        <v>712.34809188978693</v>
      </c>
      <c r="AN83" s="62">
        <f ca="1">AVERAGE(OFFSET($AM$3,0,0,'Données projet'!$E$10+1,1))-AVERAGE(OFFSET($H$3,0,0,'Données projet'!$E$10+1,1))</f>
        <v>400.48230125343474</v>
      </c>
      <c r="AO83" s="62">
        <f t="shared" si="90"/>
        <v>275.67023303885048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0</v>
      </c>
      <c r="AV83" s="23">
        <f>EXP(-LN(2)/25)*AV82+(1-EXP(-LN(2)/25))/(LN(2)/25)*Calculateur!AQ83*Calculateur!AS83*VLOOKUP('Données projet'!$B$10,Paramètres!$A$1:$I$89,3,0)*0.475*44/12</f>
        <v>0</v>
      </c>
      <c r="AW83" s="23">
        <f>EXP(-LN(2)/2)*AW82+(1-EXP(-LN(2)/2))/(LN(2)/2)*AQ83*AT83*VLOOKUP('Données projet'!$B$10,Paramètres!$A$1:$I$89,3,0)*0.475*44/12</f>
        <v>0</v>
      </c>
      <c r="AX83" s="23">
        <f t="shared" si="60"/>
        <v>0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>
        <f>VLOOKUP(A83,'Données projet'!$A$87:$I$107,2,0)</f>
        <v>282</v>
      </c>
      <c r="BB83" s="13">
        <f>VLOOKUP(A83,'Données projet'!$A$87:$I$107,9,0)</f>
        <v>6</v>
      </c>
      <c r="BC83" s="13">
        <f t="array" ref="BC83">INDEX(BB:BB,MIN(IF(ISNUMBER(BB83:BB279),ROW(BB83:BB279),"")))</f>
        <v>6</v>
      </c>
      <c r="BD83" s="13">
        <f>IF('Données projet'!$A$88&gt;35,BD82+BC83-BL82,IF(A83&lt;'Données projet'!$A$88,$BA$205^A83,IF(A83='Données projet'!$A$88,'Données projet'!$B$88,BD82+BC83-BL82)))</f>
        <v>281.99999999999989</v>
      </c>
      <c r="BE83" s="14">
        <f>BD83*VLOOKUP('Données projet'!$B$11,Paramètres!$A$1:$I$89,3,0)*VLOOKUP('Données projet'!$B$11,Paramètres!$A$1:$I$89,5,0)</f>
        <v>272.7503999999999</v>
      </c>
      <c r="BF83" s="14">
        <f t="shared" si="91"/>
        <v>65.432628830820633</v>
      </c>
      <c r="BG83" s="22">
        <f t="shared" si="61"/>
        <v>589.00210854701243</v>
      </c>
      <c r="BH83" s="62">
        <f t="shared" si="62"/>
        <v>859.7307201856986</v>
      </c>
      <c r="BI83" s="62">
        <f ca="1">AVERAGE(OFFSET($BH$3,0,0,'Données projet'!$E$11+1,1))-AVERAGE(OFFSET($H$3,0,0,'Données projet'!$E$11+1,1))</f>
        <v>496.33873798282525</v>
      </c>
      <c r="BJ83" s="62">
        <f t="shared" si="92"/>
        <v>280.25465074992246</v>
      </c>
      <c r="BK83" s="16">
        <f>IF(ISNA(VLOOKUP(A83,'Données projet'!$A$87:$I$107,3,0)),0,VLOOKUP(A83,'Données projet'!$A$87:$I$107,3,0))</f>
        <v>6</v>
      </c>
      <c r="BL83" s="23">
        <f>IF(ISNA(VLOOKUP(A83,'Données projet'!$A$87:$I$107,4,0)),0,VLOOKUP(A83,'Données projet'!$A$87:$I$107,4,0))</f>
        <v>42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>
        <f>EXP(-LN(2)/35)*BP82+(1-EXP(-LN(2)/35))/(LN(2)/35)*BL83*BM83*VLOOKUP('Données projet'!$B$11,Paramètres!$A$1:$I$89,3,0)*0.475*44/12</f>
        <v>0</v>
      </c>
      <c r="BQ83" s="23">
        <f>EXP(-LN(2)/25)*BQ82+(1-EXP(-LN(2)/25))/(LN(2)/25)*Calculateur!BL83*Calculateur!BN83*VLOOKUP('Données projet'!$B$11,Paramètres!$A$1:$I$89,3,0)*0.475*44/12</f>
        <v>0</v>
      </c>
      <c r="BR83" s="23">
        <f>EXP(-LN(2)/2)*BR82+(1-EXP(-LN(2)/2))/(LN(2)/2)*BL83*BO83*VLOOKUP('Données projet'!$B$11,Paramètres!$A$1:$I$89,3,0)*0.475*44/12</f>
        <v>0</v>
      </c>
      <c r="BS83" s="24">
        <f t="shared" si="63"/>
        <v>0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>
        <f>VLOOKUP(A83,'Données projet'!$A$113:$I$133,2,0)</f>
        <v>234</v>
      </c>
      <c r="BW83" s="13">
        <f>VLOOKUP(A83,'Données projet'!$A$113:$I$133,9,0)</f>
        <v>2.4</v>
      </c>
      <c r="BX83" s="13">
        <f t="array" ref="BX83">INDEX(BW:BW,MIN(IF(ISNUMBER(BW83:BW279),ROW(BW83:BW279),"")))</f>
        <v>2.4</v>
      </c>
      <c r="BY83" s="13">
        <f>IF('Données projet'!$A$114&gt;35,BY82+BX83-CG82,IF(A83&lt;'Données projet'!$A$114,$BV$205^A83,IF(A83='Données projet'!$A$114,'Données projet'!$B$114,BY82+BX83-CG82)))</f>
        <v>233.99999999999989</v>
      </c>
      <c r="BZ83" s="14">
        <f>BY83*VLOOKUP('Données projet'!$B$12,Paramètres!$A$1:$I$89,3,0)*VLOOKUP('Données projet'!$B$12,Paramètres!$A$1:$I$89,5,0)</f>
        <v>204.4223999999999</v>
      </c>
      <c r="CA83" s="14">
        <f t="shared" si="93"/>
        <v>50.714836797527262</v>
      </c>
      <c r="CB83" s="22">
        <f t="shared" si="64"/>
        <v>444.36402075569316</v>
      </c>
      <c r="CC83" s="62">
        <f t="shared" si="65"/>
        <v>715.09263239437928</v>
      </c>
      <c r="CD83" s="62">
        <f ca="1">AVERAGE(OFFSET($CC$3,0,0,'Données projet'!$E$12+1,1))-AVERAGE(OFFSET($H$3,0,0,'Données projet'!$E$12+1,1))</f>
        <v>298.56812743477741</v>
      </c>
      <c r="CE83" s="62">
        <f t="shared" si="94"/>
        <v>276.01618888357268</v>
      </c>
      <c r="CF83" s="16">
        <f>IF(ISNA(VLOOKUP(A83,'Données projet'!$A$113:$I$133,3,0)),0,VLOOKUP(A83,'Données projet'!$A$113:$I$133,3,0))</f>
        <v>6</v>
      </c>
      <c r="CG83" s="16">
        <f>IF(ISNA(VLOOKUP(A83,'Données projet'!$A$113:$I$133,4,0)),0,VLOOKUP(A83,'Données projet'!$A$113:$I$133,4,0))</f>
        <v>234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>
        <f>EXP(-LN(2)/35)*CK82+(1-EXP(-LN(2)/35))/(LN(2)/35)*CG83*CH83*VLOOKUP('Données projet'!$B$12,Paramètres!$A$1:$I$89,3,0)*0.475*44/12</f>
        <v>0</v>
      </c>
      <c r="CL83" s="23">
        <f>EXP(-LN(2)/25)*CL82+(1-EXP(-LN(2)/25))/(LN(2)/25)*Calculateur!CG83*Calculateur!CI83*VLOOKUP('Données projet'!$B$12,Paramètres!$A$1:$I$89,3,0)*0.475*44/12</f>
        <v>0</v>
      </c>
      <c r="CM83" s="23">
        <f>EXP(-LN(2)/2)*CM82+(1-EXP(-LN(2)/2))/(LN(2)/2)*CG83*CJ83*VLOOKUP('Données projet'!$B$12,Paramètres!$A$1:$I$89,3,0)*0.475*44/12</f>
        <v>0</v>
      </c>
      <c r="CN83" s="24">
        <f t="shared" si="66"/>
        <v>0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>
        <f>VLOOKUP(A83,'Données projet'!$A$139:$I$159,2,0)</f>
        <v>268.58974358974359</v>
      </c>
      <c r="CR83" s="13">
        <f>VLOOKUP(A83,'Données projet'!$A$139:$I$159,9,0)</f>
        <v>4.2307692307692317</v>
      </c>
      <c r="CS83" s="13">
        <f t="array" ref="CS83">INDEX(CR:CR,MIN(IF(ISNUMBER(CR83:CR279),ROW(CR83:CR279),"")))</f>
        <v>4.2307692307692317</v>
      </c>
      <c r="CT83" s="13">
        <f>IF('Données projet'!$A$140&gt;35,CT82+CS83-DB82,IF(A83&lt;'Données projet'!$A$140,$CQ$205^A83,IF(A83='Données projet'!$A$140,'Données projet'!$B$140,CT82+CS83-DB82)))</f>
        <v>268.58974358974365</v>
      </c>
      <c r="CU83" s="18">
        <f>CT83*VLOOKUP('Données projet'!$B$13,Paramètres!$A$1:$I$89,3,0)*VLOOKUP('Données projet'!$B$13,Paramètres!$A$1:$I$89,5,0)</f>
        <v>180.17000000000004</v>
      </c>
      <c r="CV83" s="14">
        <f t="shared" si="95"/>
        <v>45.36000595628817</v>
      </c>
      <c r="CW83" s="22">
        <f t="shared" si="67"/>
        <v>392.79809370720199</v>
      </c>
      <c r="CX83" s="62">
        <f t="shared" si="68"/>
        <v>663.5267053458881</v>
      </c>
      <c r="CY83" s="62">
        <f ca="1">AVERAGE(OFFSET($CX$3,0,0,'Données projet'!$E$13+1,1))-AVERAGE(OFFSET($H$3,0,0,'Données projet'!$E$13+1,1))</f>
        <v>346.82725381974132</v>
      </c>
      <c r="CZ83" s="62">
        <f t="shared" si="96"/>
        <v>254.09787950201044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>
        <f>EXP(-LN(2)/35)*DF82+(1-EXP(-LN(2)/35))/(LN(2)/35)*DB83*DC83*VLOOKUP('Données projet'!$B$13,Paramètres!$A$1:$I$89,3,0)*0.475*44/12</f>
        <v>0</v>
      </c>
      <c r="DG83" s="23">
        <f>EXP(-LN(2)/25)*DG82+(1-EXP(-LN(2)/25))/(LN(2)/25)*Calculateur!DB83*Calculateur!DD83*VLOOKUP('Données projet'!$B$13,Paramètres!$A$1:$I$89,3,0)*0.475*44/12</f>
        <v>0</v>
      </c>
      <c r="DH83" s="23">
        <f>EXP(-LN(2)/2)*DH82+(1-EXP(-LN(2)/2))/(LN(2)/2)*DB83*DE83*VLOOKUP('Données projet'!$B$13,Paramètres!$A$1:$I$89,3,0)*0.475*44/12</f>
        <v>0</v>
      </c>
      <c r="DI83" s="24">
        <f t="shared" si="69"/>
        <v>0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5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2">
        <f t="shared" si="86"/>
        <v>0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18.333333333333332</v>
      </c>
      <c r="H84" s="70">
        <f t="shared" si="56"/>
        <v>183.33333333333334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5.6</v>
      </c>
      <c r="N84" s="14">
        <f>IF('Données projet'!$A$36&gt;35,N83+M84-V83,IF(A84&lt;'Données projet'!$A$36,$K$205^A84,IF(A84='Données projet'!$A$36,'Données projet'!$B$36,N83+M84-V83)))</f>
        <v>245.59999999999991</v>
      </c>
      <c r="O84" s="14">
        <f>N84*VLOOKUP('Données projet'!$B$9,Paramètres!$A$1:$I$89,3,0)*VLOOKUP('Données projet'!$B$9,Paramètres!$A$1:$I$89,5,0)</f>
        <v>222.21887999999993</v>
      </c>
      <c r="P84" s="14">
        <f t="shared" si="87"/>
        <v>54.596866296848852</v>
      </c>
      <c r="Q84" s="22">
        <f t="shared" si="54"/>
        <v>482.12075813367829</v>
      </c>
      <c r="R84" s="62">
        <f t="shared" si="55"/>
        <v>753.24151115717973</v>
      </c>
      <c r="S84" s="62">
        <f ca="1">AVERAGE(OFFSET($R$3,0,0,'Données projet'!$E$9+1,1))-AVERAGE(OFFSET($H$3,0,0,'Données projet'!$E$9+1,1))</f>
        <v>469.67944008675863</v>
      </c>
      <c r="T84" s="62">
        <f t="shared" si="88"/>
        <v>266.11908070867173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0</v>
      </c>
      <c r="AA84" s="23">
        <f>EXP(-LN(2)/25)*AA83+(1-EXP(-LN(2)/25))/(LN(2)/25)*Calculateur!V84*Calculateur!X84*VLOOKUP('Données projet'!$B$9,Paramètres!$A$1:$I$89,3,0)*0.475*44/12</f>
        <v>0</v>
      </c>
      <c r="AB84" s="23">
        <f>EXP(-LN(2)/2)*AB83+(1-EXP(-LN(2)/2))/(LN(2)/2)*V84*Y84*VLOOKUP('Données projet'!$B$9,Paramètres!$A$1:$I$89,3,0)*0.475*44/12</f>
        <v>0</v>
      </c>
      <c r="AC84" s="24">
        <f t="shared" si="57"/>
        <v>0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3.8461538461538454</v>
      </c>
      <c r="AI84" s="14">
        <f>IF('Données projet'!$A$62&gt;35,AI83+AH84-AQ83,IF(A84&lt;'Données projet'!$A$62,$AF$205^A84,IF(A84='Données projet'!$A$62,'Données projet'!$B$62,AI83+AH84-AQ83)))</f>
        <v>217.30769230769218</v>
      </c>
      <c r="AJ84" s="14">
        <f>AI84*VLOOKUP('Données projet'!$B$10,Paramètres!$A$1:$I$89,3,0)*VLOOKUP('Données projet'!$B$10,Paramètres!$A$1:$I$89,5,0)</f>
        <v>206.78999999999991</v>
      </c>
      <c r="AK84" s="14">
        <f t="shared" si="89"/>
        <v>51.233492313143493</v>
      </c>
      <c r="AL84" s="22">
        <f t="shared" si="58"/>
        <v>449.39091577872472</v>
      </c>
      <c r="AM84" s="62">
        <f t="shared" si="59"/>
        <v>720.51166880222615</v>
      </c>
      <c r="AN84" s="62">
        <f ca="1">AVERAGE(OFFSET($AM$3,0,0,'Données projet'!$E$10+1,1))-AVERAGE(OFFSET($H$3,0,0,'Données projet'!$E$10+1,1))</f>
        <v>400.48230125343474</v>
      </c>
      <c r="AO84" s="62">
        <f t="shared" si="90"/>
        <v>275.67023303885048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0</v>
      </c>
      <c r="AV84" s="23">
        <f>EXP(-LN(2)/25)*AV83+(1-EXP(-LN(2)/25))/(LN(2)/25)*Calculateur!AQ84*Calculateur!AS84*VLOOKUP('Données projet'!$B$10,Paramètres!$A$1:$I$89,3,0)*0.475*44/12</f>
        <v>0</v>
      </c>
      <c r="AW84" s="23">
        <f>EXP(-LN(2)/2)*AW83+(1-EXP(-LN(2)/2))/(LN(2)/2)*AQ84*AT84*VLOOKUP('Données projet'!$B$10,Paramètres!$A$1:$I$89,3,0)*0.475*44/12</f>
        <v>0</v>
      </c>
      <c r="AX84" s="23">
        <f t="shared" si="60"/>
        <v>0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5.6</v>
      </c>
      <c r="BD84" s="13">
        <f>IF('Données projet'!$A$88&gt;35,BD83+BC84-BL83,IF(A84&lt;'Données projet'!$A$88,$BA$205^A84,IF(A84='Données projet'!$A$88,'Données projet'!$B$88,BD83+BC84-BL83)))</f>
        <v>245.59999999999991</v>
      </c>
      <c r="BE84" s="14">
        <f>BD84*VLOOKUP('Données projet'!$B$11,Paramètres!$A$1:$I$89,3,0)*VLOOKUP('Données projet'!$B$11,Paramètres!$A$1:$I$89,5,0)</f>
        <v>237.54431999999991</v>
      </c>
      <c r="BF84" s="14">
        <f t="shared" si="91"/>
        <v>57.910863128487989</v>
      </c>
      <c r="BG84" s="22">
        <f t="shared" si="61"/>
        <v>514.58444394878302</v>
      </c>
      <c r="BH84" s="62">
        <f t="shared" si="62"/>
        <v>785.70519697228451</v>
      </c>
      <c r="BI84" s="62">
        <f ca="1">AVERAGE(OFFSET($BH$3,0,0,'Données projet'!$E$11+1,1))-AVERAGE(OFFSET($H$3,0,0,'Données projet'!$E$11+1,1))</f>
        <v>496.33873798282525</v>
      </c>
      <c r="BJ84" s="62">
        <f t="shared" si="92"/>
        <v>280.25465074992246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>
        <f>EXP(-LN(2)/35)*BP83+(1-EXP(-LN(2)/35))/(LN(2)/35)*BL84*BM84*VLOOKUP('Données projet'!$B$11,Paramètres!$A$1:$I$89,3,0)*0.475*44/12</f>
        <v>0</v>
      </c>
      <c r="BQ84" s="23">
        <f>EXP(-LN(2)/25)*BQ83+(1-EXP(-LN(2)/25))/(LN(2)/25)*Calculateur!BL84*Calculateur!BN84*VLOOKUP('Données projet'!$B$11,Paramètres!$A$1:$I$89,3,0)*0.475*44/12</f>
        <v>0</v>
      </c>
      <c r="BR84" s="23">
        <f>EXP(-LN(2)/2)*BR83+(1-EXP(-LN(2)/2))/(LN(2)/2)*BL84*BO84*VLOOKUP('Données projet'!$B$11,Paramètres!$A$1:$I$89,3,0)*0.475*44/12</f>
        <v>0</v>
      </c>
      <c r="BS84" s="24">
        <f t="shared" si="63"/>
        <v>0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-1.1368683772161603E-13</v>
      </c>
      <c r="BZ84" s="14">
        <f>BY84*VLOOKUP('Données projet'!$B$12,Paramètres!$A$1:$I$89,3,0)*VLOOKUP('Données projet'!$B$12,Paramètres!$A$1:$I$89,5,0)</f>
        <v>-9.9316821433603781E-14</v>
      </c>
      <c r="CA84" s="14" t="e">
        <f t="shared" si="93"/>
        <v>#NUM!</v>
      </c>
      <c r="CB84" s="22" t="e">
        <f t="shared" si="64"/>
        <v>#NUM!</v>
      </c>
      <c r="CC84" s="62" t="e">
        <f t="shared" si="65"/>
        <v>#NUM!</v>
      </c>
      <c r="CD84" s="62">
        <f ca="1">AVERAGE(OFFSET($CC$3,0,0,'Données projet'!$E$12+1,1))-AVERAGE(OFFSET($H$3,0,0,'Données projet'!$E$12+1,1))</f>
        <v>298.56812743477741</v>
      </c>
      <c r="CE84" s="62">
        <f t="shared" si="94"/>
        <v>276.01618888357268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>
        <f>EXP(-LN(2)/35)*CK83+(1-EXP(-LN(2)/35))/(LN(2)/35)*CG84*CH84*VLOOKUP('Données projet'!$B$12,Paramètres!$A$1:$I$89,3,0)*0.475*44/12</f>
        <v>0</v>
      </c>
      <c r="CL84" s="23">
        <f>EXP(-LN(2)/25)*CL83+(1-EXP(-LN(2)/25))/(LN(2)/25)*Calculateur!CG84*Calculateur!CI84*VLOOKUP('Données projet'!$B$12,Paramètres!$A$1:$I$89,3,0)*0.475*44/12</f>
        <v>0</v>
      </c>
      <c r="CM84" s="23">
        <f>EXP(-LN(2)/2)*CM83+(1-EXP(-LN(2)/2))/(LN(2)/2)*CG84*CJ84*VLOOKUP('Données projet'!$B$12,Paramètres!$A$1:$I$89,3,0)*0.475*44/12</f>
        <v>0</v>
      </c>
      <c r="CN84" s="24">
        <f t="shared" si="66"/>
        <v>0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4.1025641025640995</v>
      </c>
      <c r="CT84" s="13">
        <f>IF('Données projet'!$A$140&gt;35,CT83+CS84-DB83,IF(A84&lt;'Données projet'!$A$140,$CQ$205^A84,IF(A84='Données projet'!$A$140,'Données projet'!$B$140,CT83+CS84-DB83)))</f>
        <v>272.69230769230774</v>
      </c>
      <c r="CU84" s="18">
        <f>CT84*VLOOKUP('Données projet'!$B$13,Paramètres!$A$1:$I$89,3,0)*VLOOKUP('Données projet'!$B$13,Paramètres!$A$1:$I$89,5,0)</f>
        <v>182.92200000000003</v>
      </c>
      <c r="CV84" s="14">
        <f t="shared" si="95"/>
        <v>45.971666817546797</v>
      </c>
      <c r="CW84" s="22">
        <f t="shared" si="67"/>
        <v>398.65646970722736</v>
      </c>
      <c r="CX84" s="62">
        <f t="shared" si="68"/>
        <v>669.77722273072879</v>
      </c>
      <c r="CY84" s="62">
        <f ca="1">AVERAGE(OFFSET($CX$3,0,0,'Données projet'!$E$13+1,1))-AVERAGE(OFFSET($H$3,0,0,'Données projet'!$E$13+1,1))</f>
        <v>346.82725381974132</v>
      </c>
      <c r="CZ84" s="62">
        <f t="shared" si="96"/>
        <v>254.09787950201044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>
        <f>EXP(-LN(2)/35)*DF83+(1-EXP(-LN(2)/35))/(LN(2)/35)*DB84*DC84*VLOOKUP('Données projet'!$B$13,Paramètres!$A$1:$I$89,3,0)*0.475*44/12</f>
        <v>0</v>
      </c>
      <c r="DG84" s="23">
        <f>EXP(-LN(2)/25)*DG83+(1-EXP(-LN(2)/25))/(LN(2)/25)*Calculateur!DB84*Calculateur!DD84*VLOOKUP('Données projet'!$B$13,Paramètres!$A$1:$I$89,3,0)*0.475*44/12</f>
        <v>0</v>
      </c>
      <c r="DH84" s="23">
        <f>EXP(-LN(2)/2)*DH83+(1-EXP(-LN(2)/2))/(LN(2)/2)*DB84*DE84*VLOOKUP('Données projet'!$B$13,Paramètres!$A$1:$I$89,3,0)*0.475*44/12</f>
        <v>0</v>
      </c>
      <c r="DI84" s="24">
        <f t="shared" si="69"/>
        <v>0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5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2">
        <f t="shared" si="86"/>
        <v>0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18.333333333333332</v>
      </c>
      <c r="H85" s="70">
        <f t="shared" si="56"/>
        <v>183.33333333333334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5.6</v>
      </c>
      <c r="N85" s="14">
        <f>IF('Données projet'!$A$36&gt;35,N84+M85-V84,IF(A85&lt;'Données projet'!$A$36,$K$205^A85,IF(A85='Données projet'!$A$36,'Données projet'!$B$36,N84+M85-V84)))</f>
        <v>251.1999999999999</v>
      </c>
      <c r="O85" s="14">
        <f>N85*VLOOKUP('Données projet'!$B$9,Paramètres!$A$1:$I$89,3,0)*VLOOKUP('Données projet'!$B$9,Paramètres!$A$1:$I$89,5,0)</f>
        <v>227.28575999999993</v>
      </c>
      <c r="P85" s="14">
        <f t="shared" si="87"/>
        <v>55.695394520076327</v>
      </c>
      <c r="Q85" s="22">
        <f t="shared" si="54"/>
        <v>492.85884412246605</v>
      </c>
      <c r="R85" s="62">
        <f t="shared" si="55"/>
        <v>764.36493575445309</v>
      </c>
      <c r="S85" s="62">
        <f ca="1">AVERAGE(OFFSET($R$3,0,0,'Données projet'!$E$9+1,1))-AVERAGE(OFFSET($H$3,0,0,'Données projet'!$E$9+1,1))</f>
        <v>469.67944008675863</v>
      </c>
      <c r="T85" s="62">
        <f t="shared" si="88"/>
        <v>266.11908070867173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0</v>
      </c>
      <c r="AA85" s="23">
        <f>EXP(-LN(2)/25)*AA84+(1-EXP(-LN(2)/25))/(LN(2)/25)*Calculateur!V85*Calculateur!X85*VLOOKUP('Données projet'!$B$9,Paramètres!$A$1:$I$89,3,0)*0.475*44/12</f>
        <v>0</v>
      </c>
      <c r="AB85" s="23">
        <f>EXP(-LN(2)/2)*AB84+(1-EXP(-LN(2)/2))/(LN(2)/2)*V85*Y85*VLOOKUP('Données projet'!$B$9,Paramètres!$A$1:$I$89,3,0)*0.475*44/12</f>
        <v>0</v>
      </c>
      <c r="AC85" s="24">
        <f t="shared" si="57"/>
        <v>0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3.8461538461538454</v>
      </c>
      <c r="AI85" s="14">
        <f>IF('Données projet'!$A$62&gt;35,AI84+AH85-AQ84,IF(A85&lt;'Données projet'!$A$62,$AF$205^A85,IF(A85='Données projet'!$A$62,'Données projet'!$B$62,AI84+AH85-AQ84)))</f>
        <v>221.15384615384602</v>
      </c>
      <c r="AJ85" s="14">
        <f>AI85*VLOOKUP('Données projet'!$B$10,Paramètres!$A$1:$I$89,3,0)*VLOOKUP('Données projet'!$B$10,Paramètres!$A$1:$I$89,5,0)</f>
        <v>210.44999999999987</v>
      </c>
      <c r="AK85" s="14">
        <f t="shared" si="89"/>
        <v>52.033909765960338</v>
      </c>
      <c r="AL85" s="22">
        <f t="shared" si="58"/>
        <v>457.15947617571402</v>
      </c>
      <c r="AM85" s="62">
        <f t="shared" si="59"/>
        <v>728.66556780770111</v>
      </c>
      <c r="AN85" s="62">
        <f ca="1">AVERAGE(OFFSET($AM$3,0,0,'Données projet'!$E$10+1,1))-AVERAGE(OFFSET($H$3,0,0,'Données projet'!$E$10+1,1))</f>
        <v>400.48230125343474</v>
      </c>
      <c r="AO85" s="62">
        <f t="shared" si="90"/>
        <v>275.67023303885048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0</v>
      </c>
      <c r="AV85" s="23">
        <f>EXP(-LN(2)/25)*AV84+(1-EXP(-LN(2)/25))/(LN(2)/25)*Calculateur!AQ85*Calculateur!AS85*VLOOKUP('Données projet'!$B$10,Paramètres!$A$1:$I$89,3,0)*0.475*44/12</f>
        <v>0</v>
      </c>
      <c r="AW85" s="23">
        <f>EXP(-LN(2)/2)*AW84+(1-EXP(-LN(2)/2))/(LN(2)/2)*AQ85*AT85*VLOOKUP('Données projet'!$B$10,Paramètres!$A$1:$I$89,3,0)*0.475*44/12</f>
        <v>0</v>
      </c>
      <c r="AX85" s="23">
        <f t="shared" si="60"/>
        <v>0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5.6</v>
      </c>
      <c r="BD85" s="13">
        <f>IF('Données projet'!$A$88&gt;35,BD84+BC85-BL84,IF(A85&lt;'Données projet'!$A$88,$BA$205^A85,IF(A85='Données projet'!$A$88,'Données projet'!$B$88,BD84+BC85-BL84)))</f>
        <v>251.1999999999999</v>
      </c>
      <c r="BE85" s="14">
        <f>BD85*VLOOKUP('Données projet'!$B$11,Paramètres!$A$1:$I$89,3,0)*VLOOKUP('Données projet'!$B$11,Paramètres!$A$1:$I$89,5,0)</f>
        <v>242.96063999999993</v>
      </c>
      <c r="BF85" s="14">
        <f t="shared" si="91"/>
        <v>59.076071351835715</v>
      </c>
      <c r="BG85" s="22">
        <f t="shared" si="61"/>
        <v>526.04727227111368</v>
      </c>
      <c r="BH85" s="62">
        <f t="shared" si="62"/>
        <v>797.55336390310072</v>
      </c>
      <c r="BI85" s="62">
        <f ca="1">AVERAGE(OFFSET($BH$3,0,0,'Données projet'!$E$11+1,1))-AVERAGE(OFFSET($H$3,0,0,'Données projet'!$E$11+1,1))</f>
        <v>496.33873798282525</v>
      </c>
      <c r="BJ85" s="62">
        <f t="shared" si="92"/>
        <v>280.25465074992246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>
        <f>EXP(-LN(2)/35)*BP84+(1-EXP(-LN(2)/35))/(LN(2)/35)*BL85*BM85*VLOOKUP('Données projet'!$B$11,Paramètres!$A$1:$I$89,3,0)*0.475*44/12</f>
        <v>0</v>
      </c>
      <c r="BQ85" s="23">
        <f>EXP(-LN(2)/25)*BQ84+(1-EXP(-LN(2)/25))/(LN(2)/25)*Calculateur!BL85*Calculateur!BN85*VLOOKUP('Données projet'!$B$11,Paramètres!$A$1:$I$89,3,0)*0.475*44/12</f>
        <v>0</v>
      </c>
      <c r="BR85" s="23">
        <f>EXP(-LN(2)/2)*BR84+(1-EXP(-LN(2)/2))/(LN(2)/2)*BL85*BO85*VLOOKUP('Données projet'!$B$11,Paramètres!$A$1:$I$89,3,0)*0.475*44/12</f>
        <v>0</v>
      </c>
      <c r="BS85" s="24">
        <f t="shared" si="63"/>
        <v>0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-1.1368683772161603E-13</v>
      </c>
      <c r="BZ85" s="14">
        <f>BY85*VLOOKUP('Données projet'!$B$12,Paramètres!$A$1:$I$89,3,0)*VLOOKUP('Données projet'!$B$12,Paramètres!$A$1:$I$89,5,0)</f>
        <v>-9.9316821433603781E-14</v>
      </c>
      <c r="CA85" s="14" t="e">
        <f t="shared" si="93"/>
        <v>#NUM!</v>
      </c>
      <c r="CB85" s="22" t="e">
        <f t="shared" si="64"/>
        <v>#NUM!</v>
      </c>
      <c r="CC85" s="62" t="e">
        <f t="shared" si="65"/>
        <v>#NUM!</v>
      </c>
      <c r="CD85" s="62">
        <f ca="1">AVERAGE(OFFSET($CC$3,0,0,'Données projet'!$E$12+1,1))-AVERAGE(OFFSET($H$3,0,0,'Données projet'!$E$12+1,1))</f>
        <v>298.56812743477741</v>
      </c>
      <c r="CE85" s="62">
        <f t="shared" si="94"/>
        <v>276.01618888357268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>
        <f>EXP(-LN(2)/35)*CK84+(1-EXP(-LN(2)/35))/(LN(2)/35)*CG85*CH85*VLOOKUP('Données projet'!$B$12,Paramètres!$A$1:$I$89,3,0)*0.475*44/12</f>
        <v>0</v>
      </c>
      <c r="CL85" s="23">
        <f>EXP(-LN(2)/25)*CL84+(1-EXP(-LN(2)/25))/(LN(2)/25)*Calculateur!CG85*Calculateur!CI85*VLOOKUP('Données projet'!$B$12,Paramètres!$A$1:$I$89,3,0)*0.475*44/12</f>
        <v>0</v>
      </c>
      <c r="CM85" s="23">
        <f>EXP(-LN(2)/2)*CM84+(1-EXP(-LN(2)/2))/(LN(2)/2)*CG85*CJ85*VLOOKUP('Données projet'!$B$12,Paramètres!$A$1:$I$89,3,0)*0.475*44/12</f>
        <v>0</v>
      </c>
      <c r="CN85" s="24">
        <f t="shared" si="66"/>
        <v>0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4.1025641025640995</v>
      </c>
      <c r="CT85" s="13">
        <f>IF('Données projet'!$A$140&gt;35,CT84+CS85-DB84,IF(A85&lt;'Données projet'!$A$140,$CQ$205^A85,IF(A85='Données projet'!$A$140,'Données projet'!$B$140,CT84+CS85-DB84)))</f>
        <v>276.79487179487182</v>
      </c>
      <c r="CU85" s="18">
        <f>CT85*VLOOKUP('Données projet'!$B$13,Paramètres!$A$1:$I$89,3,0)*VLOOKUP('Données projet'!$B$13,Paramètres!$A$1:$I$89,5,0)</f>
        <v>185.67400000000004</v>
      </c>
      <c r="CV85" s="14">
        <f t="shared" si="95"/>
        <v>46.582257433649239</v>
      </c>
      <c r="CW85" s="22">
        <f t="shared" si="67"/>
        <v>404.51298169693911</v>
      </c>
      <c r="CX85" s="62">
        <f t="shared" si="68"/>
        <v>676.0190733289262</v>
      </c>
      <c r="CY85" s="62">
        <f ca="1">AVERAGE(OFFSET($CX$3,0,0,'Données projet'!$E$13+1,1))-AVERAGE(OFFSET($H$3,0,0,'Données projet'!$E$13+1,1))</f>
        <v>346.82725381974132</v>
      </c>
      <c r="CZ85" s="62">
        <f t="shared" si="96"/>
        <v>254.09787950201044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>
        <f>EXP(-LN(2)/35)*DF84+(1-EXP(-LN(2)/35))/(LN(2)/35)*DB85*DC85*VLOOKUP('Données projet'!$B$13,Paramètres!$A$1:$I$89,3,0)*0.475*44/12</f>
        <v>0</v>
      </c>
      <c r="DG85" s="23">
        <f>EXP(-LN(2)/25)*DG84+(1-EXP(-LN(2)/25))/(LN(2)/25)*Calculateur!DB85*Calculateur!DD85*VLOOKUP('Données projet'!$B$13,Paramètres!$A$1:$I$89,3,0)*0.475*44/12</f>
        <v>0</v>
      </c>
      <c r="DH85" s="23">
        <f>EXP(-LN(2)/2)*DH84+(1-EXP(-LN(2)/2))/(LN(2)/2)*DB85*DE85*VLOOKUP('Données projet'!$B$13,Paramètres!$A$1:$I$89,3,0)*0.475*44/12</f>
        <v>0</v>
      </c>
      <c r="DI85" s="24">
        <f t="shared" si="69"/>
        <v>0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5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2">
        <f t="shared" si="86"/>
        <v>0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18.333333333333332</v>
      </c>
      <c r="H86" s="70">
        <f t="shared" si="56"/>
        <v>183.33333333333334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5.6</v>
      </c>
      <c r="N86" s="14">
        <f>IF('Données projet'!$A$36&gt;35,N85+M86-V85,IF(A86&lt;'Données projet'!$A$36,$K$205^A86,IF(A86='Données projet'!$A$36,'Données projet'!$B$36,N85+M86-V85)))</f>
        <v>256.7999999999999</v>
      </c>
      <c r="O86" s="14">
        <f>N86*VLOOKUP('Données projet'!$B$9,Paramètres!$A$1:$I$89,3,0)*VLOOKUP('Données projet'!$B$9,Paramètres!$A$1:$I$89,5,0)</f>
        <v>232.35263999999989</v>
      </c>
      <c r="P86" s="14">
        <f t="shared" si="87"/>
        <v>56.791075613550255</v>
      </c>
      <c r="Q86" s="22">
        <f t="shared" si="54"/>
        <v>503.59197136026643</v>
      </c>
      <c r="R86" s="62">
        <f t="shared" si="55"/>
        <v>775.47671683736985</v>
      </c>
      <c r="S86" s="62">
        <f ca="1">AVERAGE(OFFSET($R$3,0,0,'Données projet'!$E$9+1,1))-AVERAGE(OFFSET($H$3,0,0,'Données projet'!$E$9+1,1))</f>
        <v>469.67944008675863</v>
      </c>
      <c r="T86" s="62">
        <f t="shared" si="88"/>
        <v>266.11908070867173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0</v>
      </c>
      <c r="AA86" s="23">
        <f>EXP(-LN(2)/25)*AA85+(1-EXP(-LN(2)/25))/(LN(2)/25)*Calculateur!V86*Calculateur!X86*VLOOKUP('Données projet'!$B$9,Paramètres!$A$1:$I$89,3,0)*0.475*44/12</f>
        <v>0</v>
      </c>
      <c r="AB86" s="23">
        <f>EXP(-LN(2)/2)*AB85+(1-EXP(-LN(2)/2))/(LN(2)/2)*V86*Y86*VLOOKUP('Données projet'!$B$9,Paramètres!$A$1:$I$89,3,0)*0.475*44/12</f>
        <v>0</v>
      </c>
      <c r="AC86" s="24">
        <f t="shared" si="57"/>
        <v>0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3.8461538461538454</v>
      </c>
      <c r="AI86" s="14">
        <f>IF('Données projet'!$A$62&gt;35,AI85+AH86-AQ85,IF(A86&lt;'Données projet'!$A$62,$AF$205^A86,IF(A86='Données projet'!$A$62,'Données projet'!$B$62,AI85+AH86-AQ85)))</f>
        <v>224.99999999999986</v>
      </c>
      <c r="AJ86" s="14">
        <f>AI86*VLOOKUP('Données projet'!$B$10,Paramètres!$A$1:$I$89,3,0)*VLOOKUP('Données projet'!$B$10,Paramètres!$A$1:$I$89,5,0)</f>
        <v>214.10999999999987</v>
      </c>
      <c r="AK86" s="14">
        <f t="shared" si="89"/>
        <v>52.832708448119853</v>
      </c>
      <c r="AL86" s="22">
        <f t="shared" si="58"/>
        <v>464.92521721380848</v>
      </c>
      <c r="AM86" s="62">
        <f t="shared" si="59"/>
        <v>736.80996269091202</v>
      </c>
      <c r="AN86" s="62">
        <f ca="1">AVERAGE(OFFSET($AM$3,0,0,'Données projet'!$E$10+1,1))-AVERAGE(OFFSET($H$3,0,0,'Données projet'!$E$10+1,1))</f>
        <v>400.48230125343474</v>
      </c>
      <c r="AO86" s="62">
        <f t="shared" si="90"/>
        <v>275.67023303885048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0</v>
      </c>
      <c r="AV86" s="23">
        <f>EXP(-LN(2)/25)*AV85+(1-EXP(-LN(2)/25))/(LN(2)/25)*Calculateur!AQ86*Calculateur!AS86*VLOOKUP('Données projet'!$B$10,Paramètres!$A$1:$I$89,3,0)*0.475*44/12</f>
        <v>0</v>
      </c>
      <c r="AW86" s="23">
        <f>EXP(-LN(2)/2)*AW85+(1-EXP(-LN(2)/2))/(LN(2)/2)*AQ86*AT86*VLOOKUP('Données projet'!$B$10,Paramètres!$A$1:$I$89,3,0)*0.475*44/12</f>
        <v>0</v>
      </c>
      <c r="AX86" s="23">
        <f t="shared" si="60"/>
        <v>0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5.6</v>
      </c>
      <c r="BD86" s="13">
        <f>IF('Données projet'!$A$88&gt;35,BD85+BC86-BL85,IF(A86&lt;'Données projet'!$A$88,$BA$205^A86,IF(A86='Données projet'!$A$88,'Données projet'!$B$88,BD85+BC86-BL85)))</f>
        <v>256.7999999999999</v>
      </c>
      <c r="BE86" s="14">
        <f>BD86*VLOOKUP('Données projet'!$B$11,Paramètres!$A$1:$I$89,3,0)*VLOOKUP('Données projet'!$B$11,Paramètres!$A$1:$I$89,5,0)</f>
        <v>248.37695999999988</v>
      </c>
      <c r="BF86" s="14">
        <f t="shared" si="91"/>
        <v>60.238259626372319</v>
      </c>
      <c r="BG86" s="22">
        <f t="shared" si="61"/>
        <v>537.50484084926495</v>
      </c>
      <c r="BH86" s="62">
        <f t="shared" si="62"/>
        <v>809.38958632636843</v>
      </c>
      <c r="BI86" s="62">
        <f ca="1">AVERAGE(OFFSET($BH$3,0,0,'Données projet'!$E$11+1,1))-AVERAGE(OFFSET($H$3,0,0,'Données projet'!$E$11+1,1))</f>
        <v>496.33873798282525</v>
      </c>
      <c r="BJ86" s="62">
        <f t="shared" si="92"/>
        <v>280.25465074992246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>
        <f>EXP(-LN(2)/35)*BP85+(1-EXP(-LN(2)/35))/(LN(2)/35)*BL86*BM86*VLOOKUP('Données projet'!$B$11,Paramètres!$A$1:$I$89,3,0)*0.475*44/12</f>
        <v>0</v>
      </c>
      <c r="BQ86" s="23">
        <f>EXP(-LN(2)/25)*BQ85+(1-EXP(-LN(2)/25))/(LN(2)/25)*Calculateur!BL86*Calculateur!BN86*VLOOKUP('Données projet'!$B$11,Paramètres!$A$1:$I$89,3,0)*0.475*44/12</f>
        <v>0</v>
      </c>
      <c r="BR86" s="23">
        <f>EXP(-LN(2)/2)*BR85+(1-EXP(-LN(2)/2))/(LN(2)/2)*BL86*BO86*VLOOKUP('Données projet'!$B$11,Paramètres!$A$1:$I$89,3,0)*0.475*44/12</f>
        <v>0</v>
      </c>
      <c r="BS86" s="24">
        <f t="shared" si="63"/>
        <v>0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-1.1368683772161603E-13</v>
      </c>
      <c r="BZ86" s="14">
        <f>BY86*VLOOKUP('Données projet'!$B$12,Paramètres!$A$1:$I$89,3,0)*VLOOKUP('Données projet'!$B$12,Paramètres!$A$1:$I$89,5,0)</f>
        <v>-9.9316821433603781E-14</v>
      </c>
      <c r="CA86" s="14" t="e">
        <f t="shared" si="93"/>
        <v>#NUM!</v>
      </c>
      <c r="CB86" s="22" t="e">
        <f t="shared" si="64"/>
        <v>#NUM!</v>
      </c>
      <c r="CC86" s="62" t="e">
        <f t="shared" si="65"/>
        <v>#NUM!</v>
      </c>
      <c r="CD86" s="62">
        <f ca="1">AVERAGE(OFFSET($CC$3,0,0,'Données projet'!$E$12+1,1))-AVERAGE(OFFSET($H$3,0,0,'Données projet'!$E$12+1,1))</f>
        <v>298.56812743477741</v>
      </c>
      <c r="CE86" s="62">
        <f t="shared" si="94"/>
        <v>276.01618888357268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>
        <f>EXP(-LN(2)/35)*CK85+(1-EXP(-LN(2)/35))/(LN(2)/35)*CG86*CH86*VLOOKUP('Données projet'!$B$12,Paramètres!$A$1:$I$89,3,0)*0.475*44/12</f>
        <v>0</v>
      </c>
      <c r="CL86" s="23">
        <f>EXP(-LN(2)/25)*CL85+(1-EXP(-LN(2)/25))/(LN(2)/25)*Calculateur!CG86*Calculateur!CI86*VLOOKUP('Données projet'!$B$12,Paramètres!$A$1:$I$89,3,0)*0.475*44/12</f>
        <v>0</v>
      </c>
      <c r="CM86" s="23">
        <f>EXP(-LN(2)/2)*CM85+(1-EXP(-LN(2)/2))/(LN(2)/2)*CG86*CJ86*VLOOKUP('Données projet'!$B$12,Paramètres!$A$1:$I$89,3,0)*0.475*44/12</f>
        <v>0</v>
      </c>
      <c r="CN86" s="24">
        <f t="shared" si="66"/>
        <v>0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4.1025641025640995</v>
      </c>
      <c r="CT86" s="13">
        <f>IF('Données projet'!$A$140&gt;35,CT85+CS86-DB85,IF(A86&lt;'Données projet'!$A$140,$CQ$205^A86,IF(A86='Données projet'!$A$140,'Données projet'!$B$140,CT85+CS86-DB85)))</f>
        <v>280.89743589743591</v>
      </c>
      <c r="CU86" s="18">
        <f>CT86*VLOOKUP('Données projet'!$B$13,Paramètres!$A$1:$I$89,3,0)*VLOOKUP('Données projet'!$B$13,Paramètres!$A$1:$I$89,5,0)</f>
        <v>188.42600000000002</v>
      </c>
      <c r="CV86" s="14">
        <f t="shared" si="95"/>
        <v>47.191795499893274</v>
      </c>
      <c r="CW86" s="22">
        <f t="shared" si="67"/>
        <v>410.3676604956475</v>
      </c>
      <c r="CX86" s="62">
        <f t="shared" si="68"/>
        <v>682.25240597275092</v>
      </c>
      <c r="CY86" s="62">
        <f ca="1">AVERAGE(OFFSET($CX$3,0,0,'Données projet'!$E$13+1,1))-AVERAGE(OFFSET($H$3,0,0,'Données projet'!$E$13+1,1))</f>
        <v>346.82725381974132</v>
      </c>
      <c r="CZ86" s="62">
        <f t="shared" si="96"/>
        <v>254.09787950201044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>
        <f>EXP(-LN(2)/35)*DF85+(1-EXP(-LN(2)/35))/(LN(2)/35)*DB86*DC86*VLOOKUP('Données projet'!$B$13,Paramètres!$A$1:$I$89,3,0)*0.475*44/12</f>
        <v>0</v>
      </c>
      <c r="DG86" s="23">
        <f>EXP(-LN(2)/25)*DG85+(1-EXP(-LN(2)/25))/(LN(2)/25)*Calculateur!DB86*Calculateur!DD86*VLOOKUP('Données projet'!$B$13,Paramètres!$A$1:$I$89,3,0)*0.475*44/12</f>
        <v>0</v>
      </c>
      <c r="DH86" s="23">
        <f>EXP(-LN(2)/2)*DH85+(1-EXP(-LN(2)/2))/(LN(2)/2)*DB86*DE86*VLOOKUP('Données projet'!$B$13,Paramètres!$A$1:$I$89,3,0)*0.475*44/12</f>
        <v>0</v>
      </c>
      <c r="DI86" s="24">
        <f t="shared" si="69"/>
        <v>0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5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2">
        <f t="shared" si="86"/>
        <v>0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18.333333333333332</v>
      </c>
      <c r="H87" s="70">
        <f t="shared" si="56"/>
        <v>183.33333333333334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5.6</v>
      </c>
      <c r="N87" s="14">
        <f>IF('Données projet'!$A$36&gt;35,N86+M87-V86,IF(A87&lt;'Données projet'!$A$36,$K$205^A87,IF(A87='Données projet'!$A$36,'Données projet'!$B$36,N86+M87-V86)))</f>
        <v>262.39999999999992</v>
      </c>
      <c r="O87" s="14">
        <f>N87*VLOOKUP('Données projet'!$B$9,Paramètres!$A$1:$I$89,3,0)*VLOOKUP('Données projet'!$B$9,Paramètres!$A$1:$I$89,5,0)</f>
        <v>237.41951999999992</v>
      </c>
      <c r="P87" s="14">
        <f t="shared" si="87"/>
        <v>57.883978814320919</v>
      </c>
      <c r="Q87" s="22">
        <f t="shared" si="54"/>
        <v>514.32026043494204</v>
      </c>
      <c r="R87" s="62">
        <f t="shared" si="55"/>
        <v>786.57709095949235</v>
      </c>
      <c r="S87" s="62">
        <f ca="1">AVERAGE(OFFSET($R$3,0,0,'Données projet'!$E$9+1,1))-AVERAGE(OFFSET($H$3,0,0,'Données projet'!$E$9+1,1))</f>
        <v>469.67944008675863</v>
      </c>
      <c r="T87" s="62">
        <f t="shared" si="88"/>
        <v>266.11908070867173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0</v>
      </c>
      <c r="AA87" s="23">
        <f>EXP(-LN(2)/25)*AA86+(1-EXP(-LN(2)/25))/(LN(2)/25)*Calculateur!V87*Calculateur!X87*VLOOKUP('Données projet'!$B$9,Paramètres!$A$1:$I$89,3,0)*0.475*44/12</f>
        <v>0</v>
      </c>
      <c r="AB87" s="23">
        <f>EXP(-LN(2)/2)*AB86+(1-EXP(-LN(2)/2))/(LN(2)/2)*V87*Y87*VLOOKUP('Données projet'!$B$9,Paramètres!$A$1:$I$89,3,0)*0.475*44/12</f>
        <v>0</v>
      </c>
      <c r="AC87" s="24">
        <f t="shared" si="57"/>
        <v>0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3.8461538461538454</v>
      </c>
      <c r="AI87" s="14">
        <f>IF('Données projet'!$A$62&gt;35,AI86+AH87-AQ86,IF(A87&lt;'Données projet'!$A$62,$AF$205^A87,IF(A87='Données projet'!$A$62,'Données projet'!$B$62,AI86+AH87-AQ86)))</f>
        <v>228.8461538461537</v>
      </c>
      <c r="AJ87" s="14">
        <f>AI87*VLOOKUP('Données projet'!$B$10,Paramètres!$A$1:$I$89,3,0)*VLOOKUP('Données projet'!$B$10,Paramètres!$A$1:$I$89,5,0)</f>
        <v>217.76999999999987</v>
      </c>
      <c r="AK87" s="14">
        <f t="shared" si="89"/>
        <v>53.629919224169903</v>
      </c>
      <c r="AL87" s="22">
        <f t="shared" si="58"/>
        <v>472.68819264876225</v>
      </c>
      <c r="AM87" s="62">
        <f t="shared" si="59"/>
        <v>744.94502317331262</v>
      </c>
      <c r="AN87" s="62">
        <f ca="1">AVERAGE(OFFSET($AM$3,0,0,'Données projet'!$E$10+1,1))-AVERAGE(OFFSET($H$3,0,0,'Données projet'!$E$10+1,1))</f>
        <v>400.48230125343474</v>
      </c>
      <c r="AO87" s="62">
        <f t="shared" si="90"/>
        <v>275.67023303885048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0</v>
      </c>
      <c r="AV87" s="23">
        <f>EXP(-LN(2)/25)*AV86+(1-EXP(-LN(2)/25))/(LN(2)/25)*Calculateur!AQ87*Calculateur!AS87*VLOOKUP('Données projet'!$B$10,Paramètres!$A$1:$I$89,3,0)*0.475*44/12</f>
        <v>0</v>
      </c>
      <c r="AW87" s="23">
        <f>EXP(-LN(2)/2)*AW86+(1-EXP(-LN(2)/2))/(LN(2)/2)*AQ87*AT87*VLOOKUP('Données projet'!$B$10,Paramètres!$A$1:$I$89,3,0)*0.475*44/12</f>
        <v>0</v>
      </c>
      <c r="AX87" s="23">
        <f t="shared" si="60"/>
        <v>0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5.6</v>
      </c>
      <c r="BD87" s="13">
        <f>IF('Données projet'!$A$88&gt;35,BD86+BC87-BL86,IF(A87&lt;'Données projet'!$A$88,$BA$205^A87,IF(A87='Données projet'!$A$88,'Données projet'!$B$88,BD86+BC87-BL86)))</f>
        <v>262.39999999999992</v>
      </c>
      <c r="BE87" s="14">
        <f>BD87*VLOOKUP('Données projet'!$B$11,Paramètres!$A$1:$I$89,3,0)*VLOOKUP('Données projet'!$B$11,Paramètres!$A$1:$I$89,5,0)</f>
        <v>253.79327999999995</v>
      </c>
      <c r="BF87" s="14">
        <f t="shared" si="91"/>
        <v>61.39750139179521</v>
      </c>
      <c r="BG87" s="22">
        <f t="shared" si="61"/>
        <v>548.95727759070985</v>
      </c>
      <c r="BH87" s="62">
        <f t="shared" si="62"/>
        <v>821.21410811526016</v>
      </c>
      <c r="BI87" s="62">
        <f ca="1">AVERAGE(OFFSET($BH$3,0,0,'Données projet'!$E$11+1,1))-AVERAGE(OFFSET($H$3,0,0,'Données projet'!$E$11+1,1))</f>
        <v>496.33873798282525</v>
      </c>
      <c r="BJ87" s="62">
        <f t="shared" si="92"/>
        <v>280.25465074992246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>
        <f>EXP(-LN(2)/35)*BP86+(1-EXP(-LN(2)/35))/(LN(2)/35)*BL87*BM87*VLOOKUP('Données projet'!$B$11,Paramètres!$A$1:$I$89,3,0)*0.475*44/12</f>
        <v>0</v>
      </c>
      <c r="BQ87" s="23">
        <f>EXP(-LN(2)/25)*BQ86+(1-EXP(-LN(2)/25))/(LN(2)/25)*Calculateur!BL87*Calculateur!BN87*VLOOKUP('Données projet'!$B$11,Paramètres!$A$1:$I$89,3,0)*0.475*44/12</f>
        <v>0</v>
      </c>
      <c r="BR87" s="23">
        <f>EXP(-LN(2)/2)*BR86+(1-EXP(-LN(2)/2))/(LN(2)/2)*BL87*BO87*VLOOKUP('Données projet'!$B$11,Paramètres!$A$1:$I$89,3,0)*0.475*44/12</f>
        <v>0</v>
      </c>
      <c r="BS87" s="24">
        <f t="shared" si="63"/>
        <v>0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-1.1368683772161603E-13</v>
      </c>
      <c r="BZ87" s="14">
        <f>BY87*VLOOKUP('Données projet'!$B$12,Paramètres!$A$1:$I$89,3,0)*VLOOKUP('Données projet'!$B$12,Paramètres!$A$1:$I$89,5,0)</f>
        <v>-9.9316821433603781E-14</v>
      </c>
      <c r="CA87" s="14" t="e">
        <f t="shared" si="93"/>
        <v>#NUM!</v>
      </c>
      <c r="CB87" s="22" t="e">
        <f t="shared" si="64"/>
        <v>#NUM!</v>
      </c>
      <c r="CC87" s="62" t="e">
        <f t="shared" si="65"/>
        <v>#NUM!</v>
      </c>
      <c r="CD87" s="62">
        <f ca="1">AVERAGE(OFFSET($CC$3,0,0,'Données projet'!$E$12+1,1))-AVERAGE(OFFSET($H$3,0,0,'Données projet'!$E$12+1,1))</f>
        <v>298.56812743477741</v>
      </c>
      <c r="CE87" s="62">
        <f t="shared" si="94"/>
        <v>276.01618888357268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>
        <f>EXP(-LN(2)/35)*CK86+(1-EXP(-LN(2)/35))/(LN(2)/35)*CG87*CH87*VLOOKUP('Données projet'!$B$12,Paramètres!$A$1:$I$89,3,0)*0.475*44/12</f>
        <v>0</v>
      </c>
      <c r="CL87" s="23">
        <f>EXP(-LN(2)/25)*CL86+(1-EXP(-LN(2)/25))/(LN(2)/25)*Calculateur!CG87*Calculateur!CI87*VLOOKUP('Données projet'!$B$12,Paramètres!$A$1:$I$89,3,0)*0.475*44/12</f>
        <v>0</v>
      </c>
      <c r="CM87" s="23">
        <f>EXP(-LN(2)/2)*CM86+(1-EXP(-LN(2)/2))/(LN(2)/2)*CG87*CJ87*VLOOKUP('Données projet'!$B$12,Paramètres!$A$1:$I$89,3,0)*0.475*44/12</f>
        <v>0</v>
      </c>
      <c r="CN87" s="24">
        <f t="shared" si="66"/>
        <v>0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4.1025641025640995</v>
      </c>
      <c r="CT87" s="13">
        <f>IF('Données projet'!$A$140&gt;35,CT86+CS87-DB86,IF(A87&lt;'Données projet'!$A$140,$CQ$205^A87,IF(A87='Données projet'!$A$140,'Données projet'!$B$140,CT86+CS87-DB86)))</f>
        <v>285</v>
      </c>
      <c r="CU87" s="18">
        <f>CT87*VLOOKUP('Données projet'!$B$13,Paramètres!$A$1:$I$89,3,0)*VLOOKUP('Données projet'!$B$13,Paramètres!$A$1:$I$89,5,0)</f>
        <v>191.178</v>
      </c>
      <c r="CV87" s="14">
        <f t="shared" si="95"/>
        <v>47.80029816501365</v>
      </c>
      <c r="CW87" s="22">
        <f t="shared" si="67"/>
        <v>416.2205359707321</v>
      </c>
      <c r="CX87" s="62">
        <f t="shared" si="68"/>
        <v>688.47736649528247</v>
      </c>
      <c r="CY87" s="62">
        <f ca="1">AVERAGE(OFFSET($CX$3,0,0,'Données projet'!$E$13+1,1))-AVERAGE(OFFSET($H$3,0,0,'Données projet'!$E$13+1,1))</f>
        <v>346.82725381974132</v>
      </c>
      <c r="CZ87" s="62">
        <f t="shared" si="96"/>
        <v>254.09787950201044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>
        <f>EXP(-LN(2)/35)*DF86+(1-EXP(-LN(2)/35))/(LN(2)/35)*DB87*DC87*VLOOKUP('Données projet'!$B$13,Paramètres!$A$1:$I$89,3,0)*0.475*44/12</f>
        <v>0</v>
      </c>
      <c r="DG87" s="23">
        <f>EXP(-LN(2)/25)*DG86+(1-EXP(-LN(2)/25))/(LN(2)/25)*Calculateur!DB87*Calculateur!DD87*VLOOKUP('Données projet'!$B$13,Paramètres!$A$1:$I$89,3,0)*0.475*44/12</f>
        <v>0</v>
      </c>
      <c r="DH87" s="23">
        <f>EXP(-LN(2)/2)*DH86+(1-EXP(-LN(2)/2))/(LN(2)/2)*DB87*DE87*VLOOKUP('Données projet'!$B$13,Paramètres!$A$1:$I$89,3,0)*0.475*44/12</f>
        <v>0</v>
      </c>
      <c r="DI87" s="24">
        <f t="shared" si="69"/>
        <v>0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5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2">
        <f t="shared" si="86"/>
        <v>0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18.333333333333332</v>
      </c>
      <c r="H88" s="70">
        <f t="shared" si="56"/>
        <v>183.33333333333334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5.6</v>
      </c>
      <c r="N88" s="14">
        <f>IF('Données projet'!$A$36&gt;35,N87+M88-V87,IF(A88&lt;'Données projet'!$A$36,$K$205^A88,IF(A88='Données projet'!$A$36,'Données projet'!$B$36,N87+M88-V87)))</f>
        <v>267.99999999999994</v>
      </c>
      <c r="O88" s="14">
        <f>N88*VLOOKUP('Données projet'!$B$9,Paramètres!$A$1:$I$89,3,0)*VLOOKUP('Données projet'!$B$9,Paramètres!$A$1:$I$89,5,0)</f>
        <v>242.48639999999995</v>
      </c>
      <c r="P88" s="14">
        <f t="shared" si="87"/>
        <v>58.974170235372419</v>
      </c>
      <c r="Q88" s="22">
        <f t="shared" si="54"/>
        <v>525.04382649327351</v>
      </c>
      <c r="R88" s="62">
        <f t="shared" si="55"/>
        <v>797.66628722155497</v>
      </c>
      <c r="S88" s="62">
        <f ca="1">AVERAGE(OFFSET($R$3,0,0,'Données projet'!$E$9+1,1))-AVERAGE(OFFSET($H$3,0,0,'Données projet'!$E$9+1,1))</f>
        <v>469.67944008675863</v>
      </c>
      <c r="T88" s="62">
        <f t="shared" si="88"/>
        <v>266.11908070867173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0</v>
      </c>
      <c r="AA88" s="23">
        <f>EXP(-LN(2)/25)*AA87+(1-EXP(-LN(2)/25))/(LN(2)/25)*Calculateur!V88*Calculateur!X88*VLOOKUP('Données projet'!$B$9,Paramètres!$A$1:$I$89,3,0)*0.475*44/12</f>
        <v>0</v>
      </c>
      <c r="AB88" s="23">
        <f>EXP(-LN(2)/2)*AB87+(1-EXP(-LN(2)/2))/(LN(2)/2)*V88*Y88*VLOOKUP('Données projet'!$B$9,Paramètres!$A$1:$I$89,3,0)*0.475*44/12</f>
        <v>0</v>
      </c>
      <c r="AC88" s="24">
        <f t="shared" si="57"/>
        <v>0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>
        <f>VLOOKUP(A88,'Données projet'!$A$61:$I$81,2,0)</f>
        <v>232.69230769230768</v>
      </c>
      <c r="AG88" s="13">
        <f>VLOOKUP(A88,'Données projet'!$A$61:$I$81,9,0)</f>
        <v>3.8461538461538454</v>
      </c>
      <c r="AH88" s="13">
        <f t="array" ref="AH88">INDEX(AG:AG,MIN(IF(ISNUMBER(AG88:AG284),ROW(AG88:AG284),"")))</f>
        <v>3.8461538461538454</v>
      </c>
      <c r="AI88" s="14">
        <f>IF('Données projet'!$A$62&gt;35,AI87+AH88-AQ87,IF(A88&lt;'Données projet'!$A$62,$AF$205^A88,IF(A88='Données projet'!$A$62,'Données projet'!$B$62,AI87+AH88-AQ87)))</f>
        <v>232.69230769230754</v>
      </c>
      <c r="AJ88" s="14">
        <f>AI88*VLOOKUP('Données projet'!$B$10,Paramètres!$A$1:$I$89,3,0)*VLOOKUP('Données projet'!$B$10,Paramètres!$A$1:$I$89,5,0)</f>
        <v>221.42999999999986</v>
      </c>
      <c r="AK88" s="14">
        <f t="shared" si="89"/>
        <v>54.425571861733111</v>
      </c>
      <c r="AL88" s="22">
        <f t="shared" si="58"/>
        <v>480.44845432585157</v>
      </c>
      <c r="AM88" s="62">
        <f t="shared" si="59"/>
        <v>753.07091505413314</v>
      </c>
      <c r="AN88" s="62">
        <f ca="1">AVERAGE(OFFSET($AM$3,0,0,'Données projet'!$E$10+1,1))-AVERAGE(OFFSET($H$3,0,0,'Données projet'!$E$10+1,1))</f>
        <v>400.48230125343474</v>
      </c>
      <c r="AO88" s="62">
        <f t="shared" si="90"/>
        <v>275.67023303885048</v>
      </c>
      <c r="AP88" s="16">
        <f>IF(ISNA(VLOOKUP(A88,'Données projet'!$A$61:$I$81,3,0)),0,VLOOKUP(A88,'Données projet'!$A$61:$I$81,3,0))</f>
        <v>7</v>
      </c>
      <c r="AQ88" s="16">
        <f>IF(ISNA(VLOOKUP(A88,'Données projet'!$A$61:$I$81,4,0)),0,VLOOKUP(A88,'Données projet'!$A$61:$I$81,4,0))</f>
        <v>26.282051282051281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0</v>
      </c>
      <c r="AV88" s="23">
        <f>EXP(-LN(2)/25)*AV87+(1-EXP(-LN(2)/25))/(LN(2)/25)*Calculateur!AQ88*Calculateur!AS88*VLOOKUP('Données projet'!$B$10,Paramètres!$A$1:$I$89,3,0)*0.475*44/12</f>
        <v>0</v>
      </c>
      <c r="AW88" s="23">
        <f>EXP(-LN(2)/2)*AW87+(1-EXP(-LN(2)/2))/(LN(2)/2)*AQ88*AT88*VLOOKUP('Données projet'!$B$10,Paramètres!$A$1:$I$89,3,0)*0.475*44/12</f>
        <v>0</v>
      </c>
      <c r="AX88" s="23">
        <f t="shared" si="60"/>
        <v>0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5.6</v>
      </c>
      <c r="BD88" s="13">
        <f>IF('Données projet'!$A$88&gt;35,BD87+BC88-BL87,IF(A88&lt;'Données projet'!$A$88,$BA$205^A88,IF(A88='Données projet'!$A$88,'Données projet'!$B$88,BD87+BC88-BL87)))</f>
        <v>267.99999999999994</v>
      </c>
      <c r="BE88" s="14">
        <f>BD88*VLOOKUP('Données projet'!$B$11,Paramètres!$A$1:$I$89,3,0)*VLOOKUP('Données projet'!$B$11,Paramètres!$A$1:$I$89,5,0)</f>
        <v>259.20959999999997</v>
      </c>
      <c r="BF88" s="14">
        <f t="shared" si="91"/>
        <v>62.553866774106702</v>
      </c>
      <c r="BG88" s="22">
        <f t="shared" si="61"/>
        <v>560.40470463156907</v>
      </c>
      <c r="BH88" s="62">
        <f t="shared" si="62"/>
        <v>833.02716535985064</v>
      </c>
      <c r="BI88" s="62">
        <f ca="1">AVERAGE(OFFSET($BH$3,0,0,'Données projet'!$E$11+1,1))-AVERAGE(OFFSET($H$3,0,0,'Données projet'!$E$11+1,1))</f>
        <v>496.33873798282525</v>
      </c>
      <c r="BJ88" s="62">
        <f t="shared" si="92"/>
        <v>280.25465074992246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>
        <f>EXP(-LN(2)/35)*BP87+(1-EXP(-LN(2)/35))/(LN(2)/35)*BL88*BM88*VLOOKUP('Données projet'!$B$11,Paramètres!$A$1:$I$89,3,0)*0.475*44/12</f>
        <v>0</v>
      </c>
      <c r="BQ88" s="23">
        <f>EXP(-LN(2)/25)*BQ87+(1-EXP(-LN(2)/25))/(LN(2)/25)*Calculateur!BL88*Calculateur!BN88*VLOOKUP('Données projet'!$B$11,Paramètres!$A$1:$I$89,3,0)*0.475*44/12</f>
        <v>0</v>
      </c>
      <c r="BR88" s="23">
        <f>EXP(-LN(2)/2)*BR87+(1-EXP(-LN(2)/2))/(LN(2)/2)*BL88*BO88*VLOOKUP('Données projet'!$B$11,Paramètres!$A$1:$I$89,3,0)*0.475*44/12</f>
        <v>0</v>
      </c>
      <c r="BS88" s="24">
        <f t="shared" si="63"/>
        <v>0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-1.1368683772161603E-13</v>
      </c>
      <c r="BZ88" s="14">
        <f>BY88*VLOOKUP('Données projet'!$B$12,Paramètres!$A$1:$I$89,3,0)*VLOOKUP('Données projet'!$B$12,Paramètres!$A$1:$I$89,5,0)</f>
        <v>-9.9316821433603781E-14</v>
      </c>
      <c r="CA88" s="14" t="e">
        <f t="shared" si="93"/>
        <v>#NUM!</v>
      </c>
      <c r="CB88" s="22" t="e">
        <f t="shared" si="64"/>
        <v>#NUM!</v>
      </c>
      <c r="CC88" s="62" t="e">
        <f t="shared" si="65"/>
        <v>#NUM!</v>
      </c>
      <c r="CD88" s="62">
        <f ca="1">AVERAGE(OFFSET($CC$3,0,0,'Données projet'!$E$12+1,1))-AVERAGE(OFFSET($H$3,0,0,'Données projet'!$E$12+1,1))</f>
        <v>298.56812743477741</v>
      </c>
      <c r="CE88" s="62">
        <f t="shared" si="94"/>
        <v>276.01618888357268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>
        <f>EXP(-LN(2)/35)*CK87+(1-EXP(-LN(2)/35))/(LN(2)/35)*CG88*CH88*VLOOKUP('Données projet'!$B$12,Paramètres!$A$1:$I$89,3,0)*0.475*44/12</f>
        <v>0</v>
      </c>
      <c r="CL88" s="23">
        <f>EXP(-LN(2)/25)*CL87+(1-EXP(-LN(2)/25))/(LN(2)/25)*Calculateur!CG88*Calculateur!CI88*VLOOKUP('Données projet'!$B$12,Paramètres!$A$1:$I$89,3,0)*0.475*44/12</f>
        <v>0</v>
      </c>
      <c r="CM88" s="23">
        <f>EXP(-LN(2)/2)*CM87+(1-EXP(-LN(2)/2))/(LN(2)/2)*CG88*CJ88*VLOOKUP('Données projet'!$B$12,Paramètres!$A$1:$I$89,3,0)*0.475*44/12</f>
        <v>0</v>
      </c>
      <c r="CN88" s="24">
        <f t="shared" si="66"/>
        <v>0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>
        <f>VLOOKUP(A88,'Données projet'!$A$139:$I$159,2,0)</f>
        <v>289.10256410256409</v>
      </c>
      <c r="CR88" s="13">
        <f>VLOOKUP(A88,'Données projet'!$A$139:$I$159,9,0)</f>
        <v>4.1025641025640995</v>
      </c>
      <c r="CS88" s="13">
        <f t="array" ref="CS88">INDEX(CR:CR,MIN(IF(ISNUMBER(CR88:CR284),ROW(CR88:CR284),"")))</f>
        <v>4.1025641025640995</v>
      </c>
      <c r="CT88" s="13">
        <f>IF('Données projet'!$A$140&gt;35,CT87+CS88-DB87,IF(A88&lt;'Données projet'!$A$140,$CQ$205^A88,IF(A88='Données projet'!$A$140,'Données projet'!$B$140,CT87+CS88-DB87)))</f>
        <v>289.10256410256409</v>
      </c>
      <c r="CU88" s="18">
        <f>CT88*VLOOKUP('Données projet'!$B$13,Paramètres!$A$1:$I$89,3,0)*VLOOKUP('Données projet'!$B$13,Paramètres!$A$1:$I$89,5,0)</f>
        <v>193.92999999999998</v>
      </c>
      <c r="CV88" s="14">
        <f t="shared" si="95"/>
        <v>48.407782055683981</v>
      </c>
      <c r="CW88" s="22">
        <f t="shared" si="67"/>
        <v>422.07163708031618</v>
      </c>
      <c r="CX88" s="62">
        <f t="shared" si="68"/>
        <v>694.69409780859769</v>
      </c>
      <c r="CY88" s="62">
        <f ca="1">AVERAGE(OFFSET($CX$3,0,0,'Données projet'!$E$13+1,1))-AVERAGE(OFFSET($H$3,0,0,'Données projet'!$E$13+1,1))</f>
        <v>346.82725381974132</v>
      </c>
      <c r="CZ88" s="62">
        <f t="shared" si="96"/>
        <v>254.09787950201044</v>
      </c>
      <c r="DA88" s="16">
        <f>IF(ISNA(VLOOKUP(A88,'Données projet'!$A$139:$I$159,3,0)),0,VLOOKUP(A88,'Données projet'!$A$139:$I$159,3,0))</f>
        <v>7</v>
      </c>
      <c r="DB88" s="16">
        <f>IF(ISNA(VLOOKUP(A88,'Données projet'!$A$139:$I$159,4,0)),0,VLOOKUP(A88,'Données projet'!$A$139:$I$159,4,0))</f>
        <v>25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>
        <f>EXP(-LN(2)/35)*DF87+(1-EXP(-LN(2)/35))/(LN(2)/35)*DB88*DC88*VLOOKUP('Données projet'!$B$13,Paramètres!$A$1:$I$89,3,0)*0.475*44/12</f>
        <v>0</v>
      </c>
      <c r="DG88" s="23">
        <f>EXP(-LN(2)/25)*DG87+(1-EXP(-LN(2)/25))/(LN(2)/25)*Calculateur!DB88*Calculateur!DD88*VLOOKUP('Données projet'!$B$13,Paramètres!$A$1:$I$89,3,0)*0.475*44/12</f>
        <v>0</v>
      </c>
      <c r="DH88" s="23">
        <f>EXP(-LN(2)/2)*DH87+(1-EXP(-LN(2)/2))/(LN(2)/2)*DB88*DE88*VLOOKUP('Données projet'!$B$13,Paramètres!$A$1:$I$89,3,0)*0.475*44/12</f>
        <v>0</v>
      </c>
      <c r="DI88" s="24">
        <f t="shared" si="69"/>
        <v>0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5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2">
        <f t="shared" si="86"/>
        <v>0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18.333333333333332</v>
      </c>
      <c r="H89" s="70">
        <f t="shared" si="56"/>
        <v>183.33333333333334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5.6</v>
      </c>
      <c r="N89" s="14">
        <f>IF('Données projet'!$A$36&gt;35,N88+M89-V88,IF(A89&lt;'Données projet'!$A$36,$K$205^A89,IF(A89='Données projet'!$A$36,'Données projet'!$B$36,N88+M89-V88)))</f>
        <v>273.59999999999997</v>
      </c>
      <c r="O89" s="14">
        <f>N89*VLOOKUP('Données projet'!$B$9,Paramètres!$A$1:$I$89,3,0)*VLOOKUP('Données projet'!$B$9,Paramètres!$A$1:$I$89,5,0)</f>
        <v>247.55327999999994</v>
      </c>
      <c r="P89" s="14">
        <f t="shared" si="87"/>
        <v>60.061713068870255</v>
      </c>
      <c r="Q89" s="22">
        <f t="shared" si="54"/>
        <v>535.76277959494894</v>
      </c>
      <c r="R89" s="62">
        <f t="shared" si="55"/>
        <v>808.7445276603537</v>
      </c>
      <c r="S89" s="62">
        <f ca="1">AVERAGE(OFFSET($R$3,0,0,'Données projet'!$E$9+1,1))-AVERAGE(OFFSET($H$3,0,0,'Données projet'!$E$9+1,1))</f>
        <v>469.67944008675863</v>
      </c>
      <c r="T89" s="62">
        <f t="shared" si="88"/>
        <v>266.11908070867173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0</v>
      </c>
      <c r="AA89" s="23">
        <f>EXP(-LN(2)/25)*AA88+(1-EXP(-LN(2)/25))/(LN(2)/25)*Calculateur!V89*Calculateur!X89*VLOOKUP('Données projet'!$B$9,Paramètres!$A$1:$I$89,3,0)*0.475*44/12</f>
        <v>0</v>
      </c>
      <c r="AB89" s="23">
        <f>EXP(-LN(2)/2)*AB88+(1-EXP(-LN(2)/2))/(LN(2)/2)*V89*Y89*VLOOKUP('Données projet'!$B$9,Paramètres!$A$1:$I$89,3,0)*0.475*44/12</f>
        <v>0</v>
      </c>
      <c r="AC89" s="24">
        <f t="shared" si="57"/>
        <v>0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3.5897435897435912</v>
      </c>
      <c r="AI89" s="14">
        <f>IF('Données projet'!$A$62&gt;35,AI88+AH89-AQ88,IF(A89&lt;'Données projet'!$A$62,$AF$205^A89,IF(A89='Données projet'!$A$62,'Données projet'!$B$62,AI88+AH89-AQ88)))</f>
        <v>209.99999999999986</v>
      </c>
      <c r="AJ89" s="14">
        <f>AI89*VLOOKUP('Données projet'!$B$10,Paramètres!$A$1:$I$89,3,0)*VLOOKUP('Données projet'!$B$10,Paramètres!$A$1:$I$89,5,0)</f>
        <v>199.83599999999987</v>
      </c>
      <c r="AK89" s="14">
        <f t="shared" si="89"/>
        <v>49.708123768564562</v>
      </c>
      <c r="AL89" s="22">
        <f t="shared" si="58"/>
        <v>434.62268223024967</v>
      </c>
      <c r="AM89" s="62">
        <f t="shared" si="59"/>
        <v>707.60443029565431</v>
      </c>
      <c r="AN89" s="62">
        <f ca="1">AVERAGE(OFFSET($AM$3,0,0,'Données projet'!$E$10+1,1))-AVERAGE(OFFSET($H$3,0,0,'Données projet'!$E$10+1,1))</f>
        <v>400.48230125343474</v>
      </c>
      <c r="AO89" s="62">
        <f t="shared" si="90"/>
        <v>275.67023303885048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0</v>
      </c>
      <c r="AV89" s="23">
        <f>EXP(-LN(2)/25)*AV88+(1-EXP(-LN(2)/25))/(LN(2)/25)*Calculateur!AQ89*Calculateur!AS89*VLOOKUP('Données projet'!$B$10,Paramètres!$A$1:$I$89,3,0)*0.475*44/12</f>
        <v>0</v>
      </c>
      <c r="AW89" s="23">
        <f>EXP(-LN(2)/2)*AW88+(1-EXP(-LN(2)/2))/(LN(2)/2)*AQ89*AT89*VLOOKUP('Données projet'!$B$10,Paramètres!$A$1:$I$89,3,0)*0.475*44/12</f>
        <v>0</v>
      </c>
      <c r="AX89" s="23">
        <f t="shared" si="60"/>
        <v>0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5.6</v>
      </c>
      <c r="BD89" s="13">
        <f>IF('Données projet'!$A$88&gt;35,BD88+BC89-BL88,IF(A89&lt;'Données projet'!$A$88,$BA$205^A89,IF(A89='Données projet'!$A$88,'Données projet'!$B$88,BD88+BC89-BL88)))</f>
        <v>273.59999999999997</v>
      </c>
      <c r="BE89" s="14">
        <f>BD89*VLOOKUP('Données projet'!$B$11,Paramètres!$A$1:$I$89,3,0)*VLOOKUP('Données projet'!$B$11,Paramètres!$A$1:$I$89,5,0)</f>
        <v>264.62591999999995</v>
      </c>
      <c r="BF89" s="14">
        <f t="shared" si="91"/>
        <v>63.707422801198604</v>
      </c>
      <c r="BG89" s="22">
        <f t="shared" si="61"/>
        <v>571.84723871208746</v>
      </c>
      <c r="BH89" s="62">
        <f t="shared" si="62"/>
        <v>844.82898677749222</v>
      </c>
      <c r="BI89" s="62">
        <f ca="1">AVERAGE(OFFSET($BH$3,0,0,'Données projet'!$E$11+1,1))-AVERAGE(OFFSET($H$3,0,0,'Données projet'!$E$11+1,1))</f>
        <v>496.33873798282525</v>
      </c>
      <c r="BJ89" s="62">
        <f t="shared" si="92"/>
        <v>280.25465074992246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>
        <f>EXP(-LN(2)/35)*BP88+(1-EXP(-LN(2)/35))/(LN(2)/35)*BL89*BM89*VLOOKUP('Données projet'!$B$11,Paramètres!$A$1:$I$89,3,0)*0.475*44/12</f>
        <v>0</v>
      </c>
      <c r="BQ89" s="23">
        <f>EXP(-LN(2)/25)*BQ88+(1-EXP(-LN(2)/25))/(LN(2)/25)*Calculateur!BL89*Calculateur!BN89*VLOOKUP('Données projet'!$B$11,Paramètres!$A$1:$I$89,3,0)*0.475*44/12</f>
        <v>0</v>
      </c>
      <c r="BR89" s="23">
        <f>EXP(-LN(2)/2)*BR88+(1-EXP(-LN(2)/2))/(LN(2)/2)*BL89*BO89*VLOOKUP('Données projet'!$B$11,Paramètres!$A$1:$I$89,3,0)*0.475*44/12</f>
        <v>0</v>
      </c>
      <c r="BS89" s="24">
        <f t="shared" si="63"/>
        <v>0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-1.1368683772161603E-13</v>
      </c>
      <c r="BZ89" s="14">
        <f>BY89*VLOOKUP('Données projet'!$B$12,Paramètres!$A$1:$I$89,3,0)*VLOOKUP('Données projet'!$B$12,Paramètres!$A$1:$I$89,5,0)</f>
        <v>-9.9316821433603781E-14</v>
      </c>
      <c r="CA89" s="14" t="e">
        <f t="shared" si="93"/>
        <v>#NUM!</v>
      </c>
      <c r="CB89" s="22" t="e">
        <f t="shared" si="64"/>
        <v>#NUM!</v>
      </c>
      <c r="CC89" s="62" t="e">
        <f t="shared" si="65"/>
        <v>#NUM!</v>
      </c>
      <c r="CD89" s="62">
        <f ca="1">AVERAGE(OFFSET($CC$3,0,0,'Données projet'!$E$12+1,1))-AVERAGE(OFFSET($H$3,0,0,'Données projet'!$E$12+1,1))</f>
        <v>298.56812743477741</v>
      </c>
      <c r="CE89" s="62">
        <f t="shared" si="94"/>
        <v>276.01618888357268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>
        <f>EXP(-LN(2)/35)*CK88+(1-EXP(-LN(2)/35))/(LN(2)/35)*CG89*CH89*VLOOKUP('Données projet'!$B$12,Paramètres!$A$1:$I$89,3,0)*0.475*44/12</f>
        <v>0</v>
      </c>
      <c r="CL89" s="23">
        <f>EXP(-LN(2)/25)*CL88+(1-EXP(-LN(2)/25))/(LN(2)/25)*Calculateur!CG89*Calculateur!CI89*VLOOKUP('Données projet'!$B$12,Paramètres!$A$1:$I$89,3,0)*0.475*44/12</f>
        <v>0</v>
      </c>
      <c r="CM89" s="23">
        <f>EXP(-LN(2)/2)*CM88+(1-EXP(-LN(2)/2))/(LN(2)/2)*CG89*CJ89*VLOOKUP('Données projet'!$B$12,Paramètres!$A$1:$I$89,3,0)*0.475*44/12</f>
        <v>0</v>
      </c>
      <c r="CN89" s="24">
        <f t="shared" si="66"/>
        <v>0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3.8461538461538454</v>
      </c>
      <c r="CT89" s="13">
        <f>IF('Données projet'!$A$140&gt;35,CT88+CS89-DB88,IF(A89&lt;'Données projet'!$A$140,$CQ$205^A89,IF(A89='Données projet'!$A$140,'Données projet'!$B$140,CT88+CS89-DB88)))</f>
        <v>267.94871794871796</v>
      </c>
      <c r="CU89" s="18">
        <f>CT89*VLOOKUP('Données projet'!$B$13,Paramètres!$A$1:$I$89,3,0)*VLOOKUP('Données projet'!$B$13,Paramètres!$A$1:$I$89,5,0)</f>
        <v>179.74</v>
      </c>
      <c r="CV89" s="14">
        <f t="shared" si="95"/>
        <v>45.264336091309922</v>
      </c>
      <c r="CW89" s="22">
        <f t="shared" si="67"/>
        <v>391.88255202569809</v>
      </c>
      <c r="CX89" s="62">
        <f t="shared" si="68"/>
        <v>664.86430009110279</v>
      </c>
      <c r="CY89" s="62">
        <f ca="1">AVERAGE(OFFSET($CX$3,0,0,'Données projet'!$E$13+1,1))-AVERAGE(OFFSET($H$3,0,0,'Données projet'!$E$13+1,1))</f>
        <v>346.82725381974132</v>
      </c>
      <c r="CZ89" s="62">
        <f t="shared" si="96"/>
        <v>254.09787950201044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>
        <f>EXP(-LN(2)/35)*DF88+(1-EXP(-LN(2)/35))/(LN(2)/35)*DB89*DC89*VLOOKUP('Données projet'!$B$13,Paramètres!$A$1:$I$89,3,0)*0.475*44/12</f>
        <v>0</v>
      </c>
      <c r="DG89" s="23">
        <f>EXP(-LN(2)/25)*DG88+(1-EXP(-LN(2)/25))/(LN(2)/25)*Calculateur!DB89*Calculateur!DD89*VLOOKUP('Données projet'!$B$13,Paramètres!$A$1:$I$89,3,0)*0.475*44/12</f>
        <v>0</v>
      </c>
      <c r="DH89" s="23">
        <f>EXP(-LN(2)/2)*DH88+(1-EXP(-LN(2)/2))/(LN(2)/2)*DB89*DE89*VLOOKUP('Données projet'!$B$13,Paramètres!$A$1:$I$89,3,0)*0.475*44/12</f>
        <v>0</v>
      </c>
      <c r="DI89" s="24">
        <f t="shared" si="69"/>
        <v>0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5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2">
        <f t="shared" si="86"/>
        <v>0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18.333333333333332</v>
      </c>
      <c r="H90" s="70">
        <f t="shared" si="56"/>
        <v>183.33333333333334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5.6</v>
      </c>
      <c r="N90" s="14">
        <f>IF('Données projet'!$A$36&gt;35,N89+M90-V89,IF(A90&lt;'Données projet'!$A$36,$K$205^A90,IF(A90='Données projet'!$A$36,'Données projet'!$B$36,N89+M90-V89)))</f>
        <v>279.2</v>
      </c>
      <c r="O90" s="14">
        <f>N90*VLOOKUP('Données projet'!$B$9,Paramètres!$A$1:$I$89,3,0)*VLOOKUP('Données projet'!$B$9,Paramètres!$A$1:$I$89,5,0)</f>
        <v>252.62015999999997</v>
      </c>
      <c r="P90" s="14">
        <f t="shared" si="87"/>
        <v>61.14666777229877</v>
      </c>
      <c r="Q90" s="22">
        <f t="shared" si="54"/>
        <v>546.47722503675357</v>
      </c>
      <c r="R90" s="62">
        <f t="shared" si="55"/>
        <v>819.8120276072284</v>
      </c>
      <c r="S90" s="62">
        <f ca="1">AVERAGE(OFFSET($R$3,0,0,'Données projet'!$E$9+1,1))-AVERAGE(OFFSET($H$3,0,0,'Données projet'!$E$9+1,1))</f>
        <v>469.67944008675863</v>
      </c>
      <c r="T90" s="62">
        <f t="shared" si="88"/>
        <v>266.11908070867173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0</v>
      </c>
      <c r="AA90" s="23">
        <f>EXP(-LN(2)/25)*AA89+(1-EXP(-LN(2)/25))/(LN(2)/25)*Calculateur!V90*Calculateur!X90*VLOOKUP('Données projet'!$B$9,Paramètres!$A$1:$I$89,3,0)*0.475*44/12</f>
        <v>0</v>
      </c>
      <c r="AB90" s="23">
        <f>EXP(-LN(2)/2)*AB89+(1-EXP(-LN(2)/2))/(LN(2)/2)*V90*Y90*VLOOKUP('Données projet'!$B$9,Paramètres!$A$1:$I$89,3,0)*0.475*44/12</f>
        <v>0</v>
      </c>
      <c r="AC90" s="24">
        <f t="shared" si="57"/>
        <v>0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3.5897435897435912</v>
      </c>
      <c r="AI90" s="14">
        <f>IF('Données projet'!$A$62&gt;35,AI89+AH90-AQ89,IF(A90&lt;'Données projet'!$A$62,$AF$205^A90,IF(A90='Données projet'!$A$62,'Données projet'!$B$62,AI89+AH90-AQ89)))</f>
        <v>213.58974358974345</v>
      </c>
      <c r="AJ90" s="14">
        <f>AI90*VLOOKUP('Données projet'!$B$10,Paramètres!$A$1:$I$89,3,0)*VLOOKUP('Données projet'!$B$10,Paramètres!$A$1:$I$89,5,0)</f>
        <v>203.25199999999987</v>
      </c>
      <c r="AK90" s="14">
        <f t="shared" si="89"/>
        <v>50.458186619581284</v>
      </c>
      <c r="AL90" s="22">
        <f t="shared" si="58"/>
        <v>441.87857502910379</v>
      </c>
      <c r="AM90" s="62">
        <f t="shared" si="59"/>
        <v>715.21337759957862</v>
      </c>
      <c r="AN90" s="62">
        <f ca="1">AVERAGE(OFFSET($AM$3,0,0,'Données projet'!$E$10+1,1))-AVERAGE(OFFSET($H$3,0,0,'Données projet'!$E$10+1,1))</f>
        <v>400.48230125343474</v>
      </c>
      <c r="AO90" s="62">
        <f t="shared" si="90"/>
        <v>275.67023303885048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0</v>
      </c>
      <c r="AV90" s="23">
        <f>EXP(-LN(2)/25)*AV89+(1-EXP(-LN(2)/25))/(LN(2)/25)*Calculateur!AQ90*Calculateur!AS90*VLOOKUP('Données projet'!$B$10,Paramètres!$A$1:$I$89,3,0)*0.475*44/12</f>
        <v>0</v>
      </c>
      <c r="AW90" s="23">
        <f>EXP(-LN(2)/2)*AW89+(1-EXP(-LN(2)/2))/(LN(2)/2)*AQ90*AT90*VLOOKUP('Données projet'!$B$10,Paramètres!$A$1:$I$89,3,0)*0.475*44/12</f>
        <v>0</v>
      </c>
      <c r="AX90" s="23">
        <f t="shared" si="60"/>
        <v>0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5.6</v>
      </c>
      <c r="BD90" s="13">
        <f>IF('Données projet'!$A$88&gt;35,BD89+BC90-BL89,IF(A90&lt;'Données projet'!$A$88,$BA$205^A90,IF(A90='Données projet'!$A$88,'Données projet'!$B$88,BD89+BC90-BL89)))</f>
        <v>279.2</v>
      </c>
      <c r="BE90" s="14">
        <f>BD90*VLOOKUP('Données projet'!$B$11,Paramètres!$A$1:$I$89,3,0)*VLOOKUP('Données projet'!$B$11,Paramètres!$A$1:$I$89,5,0)</f>
        <v>270.04223999999999</v>
      </c>
      <c r="BF90" s="14">
        <f t="shared" si="91"/>
        <v>64.858233600288145</v>
      </c>
      <c r="BG90" s="22">
        <f t="shared" si="61"/>
        <v>583.28499152050188</v>
      </c>
      <c r="BH90" s="62">
        <f t="shared" si="62"/>
        <v>856.61979409097671</v>
      </c>
      <c r="BI90" s="62">
        <f ca="1">AVERAGE(OFFSET($BH$3,0,0,'Données projet'!$E$11+1,1))-AVERAGE(OFFSET($H$3,0,0,'Données projet'!$E$11+1,1))</f>
        <v>496.33873798282525</v>
      </c>
      <c r="BJ90" s="62">
        <f t="shared" si="92"/>
        <v>280.25465074992246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>
        <f>EXP(-LN(2)/35)*BP89+(1-EXP(-LN(2)/35))/(LN(2)/35)*BL90*BM90*VLOOKUP('Données projet'!$B$11,Paramètres!$A$1:$I$89,3,0)*0.475*44/12</f>
        <v>0</v>
      </c>
      <c r="BQ90" s="23">
        <f>EXP(-LN(2)/25)*BQ89+(1-EXP(-LN(2)/25))/(LN(2)/25)*Calculateur!BL90*Calculateur!BN90*VLOOKUP('Données projet'!$B$11,Paramètres!$A$1:$I$89,3,0)*0.475*44/12</f>
        <v>0</v>
      </c>
      <c r="BR90" s="23">
        <f>EXP(-LN(2)/2)*BR89+(1-EXP(-LN(2)/2))/(LN(2)/2)*BL90*BO90*VLOOKUP('Données projet'!$B$11,Paramètres!$A$1:$I$89,3,0)*0.475*44/12</f>
        <v>0</v>
      </c>
      <c r="BS90" s="24">
        <f t="shared" si="63"/>
        <v>0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-1.1368683772161603E-13</v>
      </c>
      <c r="BZ90" s="14">
        <f>BY90*VLOOKUP('Données projet'!$B$12,Paramètres!$A$1:$I$89,3,0)*VLOOKUP('Données projet'!$B$12,Paramètres!$A$1:$I$89,5,0)</f>
        <v>-9.9316821433603781E-14</v>
      </c>
      <c r="CA90" s="14" t="e">
        <f t="shared" si="93"/>
        <v>#NUM!</v>
      </c>
      <c r="CB90" s="22" t="e">
        <f t="shared" si="64"/>
        <v>#NUM!</v>
      </c>
      <c r="CC90" s="62" t="e">
        <f t="shared" si="65"/>
        <v>#NUM!</v>
      </c>
      <c r="CD90" s="62">
        <f ca="1">AVERAGE(OFFSET($CC$3,0,0,'Données projet'!$E$12+1,1))-AVERAGE(OFFSET($H$3,0,0,'Données projet'!$E$12+1,1))</f>
        <v>298.56812743477741</v>
      </c>
      <c r="CE90" s="62">
        <f t="shared" si="94"/>
        <v>276.01618888357268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>
        <f>EXP(-LN(2)/35)*CK89+(1-EXP(-LN(2)/35))/(LN(2)/35)*CG90*CH90*VLOOKUP('Données projet'!$B$12,Paramètres!$A$1:$I$89,3,0)*0.475*44/12</f>
        <v>0</v>
      </c>
      <c r="CL90" s="23">
        <f>EXP(-LN(2)/25)*CL89+(1-EXP(-LN(2)/25))/(LN(2)/25)*Calculateur!CG90*Calculateur!CI90*VLOOKUP('Données projet'!$B$12,Paramètres!$A$1:$I$89,3,0)*0.475*44/12</f>
        <v>0</v>
      </c>
      <c r="CM90" s="23">
        <f>EXP(-LN(2)/2)*CM89+(1-EXP(-LN(2)/2))/(LN(2)/2)*CG90*CJ90*VLOOKUP('Données projet'!$B$12,Paramètres!$A$1:$I$89,3,0)*0.475*44/12</f>
        <v>0</v>
      </c>
      <c r="CN90" s="24">
        <f t="shared" si="66"/>
        <v>0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3.8461538461538454</v>
      </c>
      <c r="CT90" s="13">
        <f>IF('Données projet'!$A$140&gt;35,CT89+CS90-DB89,IF(A90&lt;'Données projet'!$A$140,$CQ$205^A90,IF(A90='Données projet'!$A$140,'Données projet'!$B$140,CT89+CS90-DB89)))</f>
        <v>271.79487179487182</v>
      </c>
      <c r="CU90" s="18">
        <f>CT90*VLOOKUP('Données projet'!$B$13,Paramètres!$A$1:$I$89,3,0)*VLOOKUP('Données projet'!$B$13,Paramètres!$A$1:$I$89,5,0)</f>
        <v>182.32000000000002</v>
      </c>
      <c r="CV90" s="14">
        <f t="shared" si="95"/>
        <v>45.837958080870081</v>
      </c>
      <c r="CW90" s="22">
        <f t="shared" si="67"/>
        <v>397.37511032418206</v>
      </c>
      <c r="CX90" s="62">
        <f t="shared" si="68"/>
        <v>670.7099128946569</v>
      </c>
      <c r="CY90" s="62">
        <f ca="1">AVERAGE(OFFSET($CX$3,0,0,'Données projet'!$E$13+1,1))-AVERAGE(OFFSET($H$3,0,0,'Données projet'!$E$13+1,1))</f>
        <v>346.82725381974132</v>
      </c>
      <c r="CZ90" s="62">
        <f t="shared" si="96"/>
        <v>254.09787950201044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>
        <f>EXP(-LN(2)/35)*DF89+(1-EXP(-LN(2)/35))/(LN(2)/35)*DB90*DC90*VLOOKUP('Données projet'!$B$13,Paramètres!$A$1:$I$89,3,0)*0.475*44/12</f>
        <v>0</v>
      </c>
      <c r="DG90" s="23">
        <f>EXP(-LN(2)/25)*DG89+(1-EXP(-LN(2)/25))/(LN(2)/25)*Calculateur!DB90*Calculateur!DD90*VLOOKUP('Données projet'!$B$13,Paramètres!$A$1:$I$89,3,0)*0.475*44/12</f>
        <v>0</v>
      </c>
      <c r="DH90" s="23">
        <f>EXP(-LN(2)/2)*DH89+(1-EXP(-LN(2)/2))/(LN(2)/2)*DB90*DE90*VLOOKUP('Données projet'!$B$13,Paramètres!$A$1:$I$89,3,0)*0.475*44/12</f>
        <v>0</v>
      </c>
      <c r="DI90" s="24">
        <f t="shared" si="69"/>
        <v>0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5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2">
        <f t="shared" si="86"/>
        <v>0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18.333333333333332</v>
      </c>
      <c r="H91" s="70">
        <f t="shared" si="56"/>
        <v>183.33333333333334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5.6</v>
      </c>
      <c r="N91" s="14">
        <f>IF('Données projet'!$A$36&gt;35,N90+M91-V90,IF(A91&lt;'Données projet'!$A$36,$K$205^A91,IF(A91='Données projet'!$A$36,'Données projet'!$B$36,N90+M91-V90)))</f>
        <v>284.8</v>
      </c>
      <c r="O91" s="14">
        <f>N91*VLOOKUP('Données projet'!$B$9,Paramètres!$A$1:$I$89,3,0)*VLOOKUP('Données projet'!$B$9,Paramètres!$A$1:$I$89,5,0)</f>
        <v>257.68704000000002</v>
      </c>
      <c r="P91" s="14">
        <f t="shared" si="87"/>
        <v>62.229092239243343</v>
      </c>
      <c r="Q91" s="22">
        <f t="shared" si="54"/>
        <v>557.18726365001555</v>
      </c>
      <c r="R91" s="62">
        <f t="shared" si="55"/>
        <v>830.86899601920925</v>
      </c>
      <c r="S91" s="62">
        <f ca="1">AVERAGE(OFFSET($R$3,0,0,'Données projet'!$E$9+1,1))-AVERAGE(OFFSET($H$3,0,0,'Données projet'!$E$9+1,1))</f>
        <v>469.67944008675863</v>
      </c>
      <c r="T91" s="62">
        <f t="shared" si="88"/>
        <v>266.11908070867173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0</v>
      </c>
      <c r="AA91" s="23">
        <f>EXP(-LN(2)/25)*AA90+(1-EXP(-LN(2)/25))/(LN(2)/25)*Calculateur!V91*Calculateur!X91*VLOOKUP('Données projet'!$B$9,Paramètres!$A$1:$I$89,3,0)*0.475*44/12</f>
        <v>0</v>
      </c>
      <c r="AB91" s="23">
        <f>EXP(-LN(2)/2)*AB90+(1-EXP(-LN(2)/2))/(LN(2)/2)*V91*Y91*VLOOKUP('Données projet'!$B$9,Paramètres!$A$1:$I$89,3,0)*0.475*44/12</f>
        <v>0</v>
      </c>
      <c r="AC91" s="24">
        <f t="shared" si="57"/>
        <v>0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3.5897435897435912</v>
      </c>
      <c r="AI91" s="14">
        <f>IF('Données projet'!$A$62&gt;35,AI90+AH91-AQ90,IF(A91&lt;'Données projet'!$A$62,$AF$205^A91,IF(A91='Données projet'!$A$62,'Données projet'!$B$62,AI90+AH91-AQ90)))</f>
        <v>217.17948717948704</v>
      </c>
      <c r="AJ91" s="14">
        <f>AI91*VLOOKUP('Données projet'!$B$10,Paramètres!$A$1:$I$89,3,0)*VLOOKUP('Données projet'!$B$10,Paramètres!$A$1:$I$89,5,0)</f>
        <v>206.66799999999986</v>
      </c>
      <c r="AK91" s="14">
        <f t="shared" si="89"/>
        <v>51.206783482140608</v>
      </c>
      <c r="AL91" s="22">
        <f t="shared" si="58"/>
        <v>449.13191456472799</v>
      </c>
      <c r="AM91" s="62">
        <f t="shared" si="59"/>
        <v>722.81364693392175</v>
      </c>
      <c r="AN91" s="62">
        <f ca="1">AVERAGE(OFFSET($AM$3,0,0,'Données projet'!$E$10+1,1))-AVERAGE(OFFSET($H$3,0,0,'Données projet'!$E$10+1,1))</f>
        <v>400.48230125343474</v>
      </c>
      <c r="AO91" s="62">
        <f t="shared" si="90"/>
        <v>275.67023303885048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0</v>
      </c>
      <c r="AV91" s="23">
        <f>EXP(-LN(2)/25)*AV90+(1-EXP(-LN(2)/25))/(LN(2)/25)*Calculateur!AQ91*Calculateur!AS91*VLOOKUP('Données projet'!$B$10,Paramètres!$A$1:$I$89,3,0)*0.475*44/12</f>
        <v>0</v>
      </c>
      <c r="AW91" s="23">
        <f>EXP(-LN(2)/2)*AW90+(1-EXP(-LN(2)/2))/(LN(2)/2)*AQ91*AT91*VLOOKUP('Données projet'!$B$10,Paramètres!$A$1:$I$89,3,0)*0.475*44/12</f>
        <v>0</v>
      </c>
      <c r="AX91" s="23">
        <f t="shared" si="60"/>
        <v>0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5.6</v>
      </c>
      <c r="BD91" s="13">
        <f>IF('Données projet'!$A$88&gt;35,BD90+BC91-BL90,IF(A91&lt;'Données projet'!$A$88,$BA$205^A91,IF(A91='Données projet'!$A$88,'Données projet'!$B$88,BD90+BC91-BL90)))</f>
        <v>284.8</v>
      </c>
      <c r="BE91" s="14">
        <f>BD91*VLOOKUP('Données projet'!$B$11,Paramètres!$A$1:$I$89,3,0)*VLOOKUP('Données projet'!$B$11,Paramètres!$A$1:$I$89,5,0)</f>
        <v>275.45855999999998</v>
      </c>
      <c r="BF91" s="14">
        <f t="shared" si="91"/>
        <v>66.006360579066197</v>
      </c>
      <c r="BG91" s="22">
        <f t="shared" si="61"/>
        <v>594.71807000854017</v>
      </c>
      <c r="BH91" s="62">
        <f t="shared" si="62"/>
        <v>868.39980237773386</v>
      </c>
      <c r="BI91" s="62">
        <f ca="1">AVERAGE(OFFSET($BH$3,0,0,'Données projet'!$E$11+1,1))-AVERAGE(OFFSET($H$3,0,0,'Données projet'!$E$11+1,1))</f>
        <v>496.33873798282525</v>
      </c>
      <c r="BJ91" s="62">
        <f t="shared" si="92"/>
        <v>280.25465074992246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>
        <f>EXP(-LN(2)/35)*BP90+(1-EXP(-LN(2)/35))/(LN(2)/35)*BL91*BM91*VLOOKUP('Données projet'!$B$11,Paramètres!$A$1:$I$89,3,0)*0.475*44/12</f>
        <v>0</v>
      </c>
      <c r="BQ91" s="23">
        <f>EXP(-LN(2)/25)*BQ90+(1-EXP(-LN(2)/25))/(LN(2)/25)*Calculateur!BL91*Calculateur!BN91*VLOOKUP('Données projet'!$B$11,Paramètres!$A$1:$I$89,3,0)*0.475*44/12</f>
        <v>0</v>
      </c>
      <c r="BR91" s="23">
        <f>EXP(-LN(2)/2)*BR90+(1-EXP(-LN(2)/2))/(LN(2)/2)*BL91*BO91*VLOOKUP('Données projet'!$B$11,Paramètres!$A$1:$I$89,3,0)*0.475*44/12</f>
        <v>0</v>
      </c>
      <c r="BS91" s="24">
        <f t="shared" si="63"/>
        <v>0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-1.1368683772161603E-13</v>
      </c>
      <c r="BZ91" s="14">
        <f>BY91*VLOOKUP('Données projet'!$B$12,Paramètres!$A$1:$I$89,3,0)*VLOOKUP('Données projet'!$B$12,Paramètres!$A$1:$I$89,5,0)</f>
        <v>-9.9316821433603781E-14</v>
      </c>
      <c r="CA91" s="14" t="e">
        <f t="shared" si="93"/>
        <v>#NUM!</v>
      </c>
      <c r="CB91" s="22" t="e">
        <f t="shared" si="64"/>
        <v>#NUM!</v>
      </c>
      <c r="CC91" s="62" t="e">
        <f t="shared" si="65"/>
        <v>#NUM!</v>
      </c>
      <c r="CD91" s="62">
        <f ca="1">AVERAGE(OFFSET($CC$3,0,0,'Données projet'!$E$12+1,1))-AVERAGE(OFFSET($H$3,0,0,'Données projet'!$E$12+1,1))</f>
        <v>298.56812743477741</v>
      </c>
      <c r="CE91" s="62">
        <f t="shared" si="94"/>
        <v>276.01618888357268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>
        <f>EXP(-LN(2)/35)*CK90+(1-EXP(-LN(2)/35))/(LN(2)/35)*CG91*CH91*VLOOKUP('Données projet'!$B$12,Paramètres!$A$1:$I$89,3,0)*0.475*44/12</f>
        <v>0</v>
      </c>
      <c r="CL91" s="23">
        <f>EXP(-LN(2)/25)*CL90+(1-EXP(-LN(2)/25))/(LN(2)/25)*Calculateur!CG91*Calculateur!CI91*VLOOKUP('Données projet'!$B$12,Paramètres!$A$1:$I$89,3,0)*0.475*44/12</f>
        <v>0</v>
      </c>
      <c r="CM91" s="23">
        <f>EXP(-LN(2)/2)*CM90+(1-EXP(-LN(2)/2))/(LN(2)/2)*CG91*CJ91*VLOOKUP('Données projet'!$B$12,Paramètres!$A$1:$I$89,3,0)*0.475*44/12</f>
        <v>0</v>
      </c>
      <c r="CN91" s="24">
        <f t="shared" si="66"/>
        <v>0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3.8461538461538454</v>
      </c>
      <c r="CT91" s="13">
        <f>IF('Données projet'!$A$140&gt;35,CT90+CS91-DB90,IF(A91&lt;'Données projet'!$A$140,$CQ$205^A91,IF(A91='Données projet'!$A$140,'Données projet'!$B$140,CT90+CS91-DB90)))</f>
        <v>275.64102564102569</v>
      </c>
      <c r="CU91" s="18">
        <f>CT91*VLOOKUP('Données projet'!$B$13,Paramètres!$A$1:$I$89,3,0)*VLOOKUP('Données projet'!$B$13,Paramètres!$A$1:$I$89,5,0)</f>
        <v>184.90000000000003</v>
      </c>
      <c r="CV91" s="14">
        <f t="shared" si="95"/>
        <v>46.410635962027911</v>
      </c>
      <c r="CW91" s="22">
        <f t="shared" si="67"/>
        <v>402.86602430053199</v>
      </c>
      <c r="CX91" s="62">
        <f t="shared" si="68"/>
        <v>676.54775666972569</v>
      </c>
      <c r="CY91" s="62">
        <f ca="1">AVERAGE(OFFSET($CX$3,0,0,'Données projet'!$E$13+1,1))-AVERAGE(OFFSET($H$3,0,0,'Données projet'!$E$13+1,1))</f>
        <v>346.82725381974132</v>
      </c>
      <c r="CZ91" s="62">
        <f t="shared" si="96"/>
        <v>254.09787950201044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>
        <f>EXP(-LN(2)/35)*DF90+(1-EXP(-LN(2)/35))/(LN(2)/35)*DB91*DC91*VLOOKUP('Données projet'!$B$13,Paramètres!$A$1:$I$89,3,0)*0.475*44/12</f>
        <v>0</v>
      </c>
      <c r="DG91" s="23">
        <f>EXP(-LN(2)/25)*DG90+(1-EXP(-LN(2)/25))/(LN(2)/25)*Calculateur!DB91*Calculateur!DD91*VLOOKUP('Données projet'!$B$13,Paramètres!$A$1:$I$89,3,0)*0.475*44/12</f>
        <v>0</v>
      </c>
      <c r="DH91" s="23">
        <f>EXP(-LN(2)/2)*DH90+(1-EXP(-LN(2)/2))/(LN(2)/2)*DB91*DE91*VLOOKUP('Données projet'!$B$13,Paramètres!$A$1:$I$89,3,0)*0.475*44/12</f>
        <v>0</v>
      </c>
      <c r="DI91" s="24">
        <f t="shared" si="69"/>
        <v>0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5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2">
        <f t="shared" si="86"/>
        <v>0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18.333333333333332</v>
      </c>
      <c r="H92" s="70">
        <f t="shared" si="56"/>
        <v>183.33333333333334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5.6</v>
      </c>
      <c r="N92" s="14">
        <f>IF('Données projet'!$A$36&gt;35,N91+M92-V91,IF(A92&lt;'Données projet'!$A$36,$K$205^A92,IF(A92='Données projet'!$A$36,'Données projet'!$B$36,N91+M92-V91)))</f>
        <v>290.40000000000003</v>
      </c>
      <c r="O92" s="14">
        <f>N92*VLOOKUP('Données projet'!$B$9,Paramètres!$A$1:$I$89,3,0)*VLOOKUP('Données projet'!$B$9,Paramètres!$A$1:$I$89,5,0)</f>
        <v>262.75392000000005</v>
      </c>
      <c r="P92" s="14">
        <f t="shared" si="87"/>
        <v>63.309041956360382</v>
      </c>
      <c r="Q92" s="22">
        <f t="shared" si="54"/>
        <v>567.89299207399438</v>
      </c>
      <c r="R92" s="62">
        <f t="shared" si="55"/>
        <v>841.91563578551791</v>
      </c>
      <c r="S92" s="62">
        <f ca="1">AVERAGE(OFFSET($R$3,0,0,'Données projet'!$E$9+1,1))-AVERAGE(OFFSET($H$3,0,0,'Données projet'!$E$9+1,1))</f>
        <v>469.67944008675863</v>
      </c>
      <c r="T92" s="62">
        <f t="shared" si="88"/>
        <v>266.11908070867173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0</v>
      </c>
      <c r="AA92" s="23">
        <f>EXP(-LN(2)/25)*AA91+(1-EXP(-LN(2)/25))/(LN(2)/25)*Calculateur!V92*Calculateur!X92*VLOOKUP('Données projet'!$B$9,Paramètres!$A$1:$I$89,3,0)*0.475*44/12</f>
        <v>0</v>
      </c>
      <c r="AB92" s="23">
        <f>EXP(-LN(2)/2)*AB91+(1-EXP(-LN(2)/2))/(LN(2)/2)*V92*Y92*VLOOKUP('Données projet'!$B$9,Paramètres!$A$1:$I$89,3,0)*0.475*44/12</f>
        <v>0</v>
      </c>
      <c r="AC92" s="24">
        <f t="shared" si="57"/>
        <v>0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3.5897435897435912</v>
      </c>
      <c r="AI92" s="14">
        <f>IF('Données projet'!$A$62&gt;35,AI91+AH92-AQ91,IF(A92&lt;'Données projet'!$A$62,$AF$205^A92,IF(A92='Données projet'!$A$62,'Données projet'!$B$62,AI91+AH92-AQ91)))</f>
        <v>220.76923076923063</v>
      </c>
      <c r="AJ92" s="14">
        <f>AI92*VLOOKUP('Données projet'!$B$10,Paramètres!$A$1:$I$89,3,0)*VLOOKUP('Données projet'!$B$10,Paramètres!$A$1:$I$89,5,0)</f>
        <v>210.08399999999989</v>
      </c>
      <c r="AK92" s="14">
        <f t="shared" si="89"/>
        <v>51.953941384443397</v>
      </c>
      <c r="AL92" s="22">
        <f t="shared" si="58"/>
        <v>456.38274791123871</v>
      </c>
      <c r="AM92" s="62">
        <f t="shared" si="59"/>
        <v>730.40539162276229</v>
      </c>
      <c r="AN92" s="62">
        <f ca="1">AVERAGE(OFFSET($AM$3,0,0,'Données projet'!$E$10+1,1))-AVERAGE(OFFSET($H$3,0,0,'Données projet'!$E$10+1,1))</f>
        <v>400.48230125343474</v>
      </c>
      <c r="AO92" s="62">
        <f t="shared" si="90"/>
        <v>275.67023303885048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0</v>
      </c>
      <c r="AV92" s="23">
        <f>EXP(-LN(2)/25)*AV91+(1-EXP(-LN(2)/25))/(LN(2)/25)*Calculateur!AQ92*Calculateur!AS92*VLOOKUP('Données projet'!$B$10,Paramètres!$A$1:$I$89,3,0)*0.475*44/12</f>
        <v>0</v>
      </c>
      <c r="AW92" s="23">
        <f>EXP(-LN(2)/2)*AW91+(1-EXP(-LN(2)/2))/(LN(2)/2)*AQ92*AT92*VLOOKUP('Données projet'!$B$10,Paramètres!$A$1:$I$89,3,0)*0.475*44/12</f>
        <v>0</v>
      </c>
      <c r="AX92" s="23">
        <f t="shared" si="60"/>
        <v>0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5.6</v>
      </c>
      <c r="BD92" s="13">
        <f>IF('Données projet'!$A$88&gt;35,BD91+BC92-BL91,IF(A92&lt;'Données projet'!$A$88,$BA$205^A92,IF(A92='Données projet'!$A$88,'Données projet'!$B$88,BD91+BC92-BL91)))</f>
        <v>290.40000000000003</v>
      </c>
      <c r="BE92" s="14">
        <f>BD92*VLOOKUP('Données projet'!$B$11,Paramètres!$A$1:$I$89,3,0)*VLOOKUP('Données projet'!$B$11,Paramètres!$A$1:$I$89,5,0)</f>
        <v>280.87488000000008</v>
      </c>
      <c r="BF92" s="14">
        <f t="shared" si="91"/>
        <v>67.151862592195855</v>
      </c>
      <c r="BG92" s="22">
        <f t="shared" si="61"/>
        <v>606.14657668140785</v>
      </c>
      <c r="BH92" s="62">
        <f t="shared" si="62"/>
        <v>880.16922039293149</v>
      </c>
      <c r="BI92" s="62">
        <f ca="1">AVERAGE(OFFSET($BH$3,0,0,'Données projet'!$E$11+1,1))-AVERAGE(OFFSET($H$3,0,0,'Données projet'!$E$11+1,1))</f>
        <v>496.33873798282525</v>
      </c>
      <c r="BJ92" s="62">
        <f t="shared" si="92"/>
        <v>280.25465074992246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>
        <f>EXP(-LN(2)/35)*BP91+(1-EXP(-LN(2)/35))/(LN(2)/35)*BL92*BM92*VLOOKUP('Données projet'!$B$11,Paramètres!$A$1:$I$89,3,0)*0.475*44/12</f>
        <v>0</v>
      </c>
      <c r="BQ92" s="23">
        <f>EXP(-LN(2)/25)*BQ91+(1-EXP(-LN(2)/25))/(LN(2)/25)*Calculateur!BL92*Calculateur!BN92*VLOOKUP('Données projet'!$B$11,Paramètres!$A$1:$I$89,3,0)*0.475*44/12</f>
        <v>0</v>
      </c>
      <c r="BR92" s="23">
        <f>EXP(-LN(2)/2)*BR91+(1-EXP(-LN(2)/2))/(LN(2)/2)*BL92*BO92*VLOOKUP('Données projet'!$B$11,Paramètres!$A$1:$I$89,3,0)*0.475*44/12</f>
        <v>0</v>
      </c>
      <c r="BS92" s="24">
        <f t="shared" si="63"/>
        <v>0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-1.1368683772161603E-13</v>
      </c>
      <c r="BZ92" s="14">
        <f>BY92*VLOOKUP('Données projet'!$B$12,Paramètres!$A$1:$I$89,3,0)*VLOOKUP('Données projet'!$B$12,Paramètres!$A$1:$I$89,5,0)</f>
        <v>-9.9316821433603781E-14</v>
      </c>
      <c r="CA92" s="14" t="e">
        <f t="shared" si="93"/>
        <v>#NUM!</v>
      </c>
      <c r="CB92" s="22" t="e">
        <f t="shared" si="64"/>
        <v>#NUM!</v>
      </c>
      <c r="CC92" s="62" t="e">
        <f t="shared" si="65"/>
        <v>#NUM!</v>
      </c>
      <c r="CD92" s="62">
        <f ca="1">AVERAGE(OFFSET($CC$3,0,0,'Données projet'!$E$12+1,1))-AVERAGE(OFFSET($H$3,0,0,'Données projet'!$E$12+1,1))</f>
        <v>298.56812743477741</v>
      </c>
      <c r="CE92" s="62">
        <f t="shared" si="94"/>
        <v>276.01618888357268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>
        <f>EXP(-LN(2)/35)*CK91+(1-EXP(-LN(2)/35))/(LN(2)/35)*CG92*CH92*VLOOKUP('Données projet'!$B$12,Paramètres!$A$1:$I$89,3,0)*0.475*44/12</f>
        <v>0</v>
      </c>
      <c r="CL92" s="23">
        <f>EXP(-LN(2)/25)*CL91+(1-EXP(-LN(2)/25))/(LN(2)/25)*Calculateur!CG92*Calculateur!CI92*VLOOKUP('Données projet'!$B$12,Paramètres!$A$1:$I$89,3,0)*0.475*44/12</f>
        <v>0</v>
      </c>
      <c r="CM92" s="23">
        <f>EXP(-LN(2)/2)*CM91+(1-EXP(-LN(2)/2))/(LN(2)/2)*CG92*CJ92*VLOOKUP('Données projet'!$B$12,Paramètres!$A$1:$I$89,3,0)*0.475*44/12</f>
        <v>0</v>
      </c>
      <c r="CN92" s="24">
        <f t="shared" si="66"/>
        <v>0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3.8461538461538454</v>
      </c>
      <c r="CT92" s="13">
        <f>IF('Données projet'!$A$140&gt;35,CT91+CS92-DB91,IF(A92&lt;'Données projet'!$A$140,$CQ$205^A92,IF(A92='Données projet'!$A$140,'Données projet'!$B$140,CT91+CS92-DB91)))</f>
        <v>279.48717948717956</v>
      </c>
      <c r="CU92" s="18">
        <f>CT92*VLOOKUP('Données projet'!$B$13,Paramètres!$A$1:$I$89,3,0)*VLOOKUP('Données projet'!$B$13,Paramètres!$A$1:$I$89,5,0)</f>
        <v>187.48000000000005</v>
      </c>
      <c r="CV92" s="14">
        <f t="shared" si="95"/>
        <v>46.98238443081938</v>
      </c>
      <c r="CW92" s="22">
        <f t="shared" si="67"/>
        <v>408.35531955034389</v>
      </c>
      <c r="CX92" s="62">
        <f t="shared" si="68"/>
        <v>682.37796326186754</v>
      </c>
      <c r="CY92" s="62">
        <f ca="1">AVERAGE(OFFSET($CX$3,0,0,'Données projet'!$E$13+1,1))-AVERAGE(OFFSET($H$3,0,0,'Données projet'!$E$13+1,1))</f>
        <v>346.82725381974132</v>
      </c>
      <c r="CZ92" s="62">
        <f t="shared" si="96"/>
        <v>254.09787950201044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>
        <f>EXP(-LN(2)/35)*DF91+(1-EXP(-LN(2)/35))/(LN(2)/35)*DB92*DC92*VLOOKUP('Données projet'!$B$13,Paramètres!$A$1:$I$89,3,0)*0.475*44/12</f>
        <v>0</v>
      </c>
      <c r="DG92" s="23">
        <f>EXP(-LN(2)/25)*DG91+(1-EXP(-LN(2)/25))/(LN(2)/25)*Calculateur!DB92*Calculateur!DD92*VLOOKUP('Données projet'!$B$13,Paramètres!$A$1:$I$89,3,0)*0.475*44/12</f>
        <v>0</v>
      </c>
      <c r="DH92" s="23">
        <f>EXP(-LN(2)/2)*DH91+(1-EXP(-LN(2)/2))/(LN(2)/2)*DB92*DE92*VLOOKUP('Données projet'!$B$13,Paramètres!$A$1:$I$89,3,0)*0.475*44/12</f>
        <v>0</v>
      </c>
      <c r="DI92" s="24">
        <f t="shared" si="69"/>
        <v>0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5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2">
        <f t="shared" si="86"/>
        <v>0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18.333333333333332</v>
      </c>
      <c r="H93" s="70">
        <f t="shared" si="56"/>
        <v>183.33333333333334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>
        <f>VLOOKUP(A93,'Données projet'!$A$35:$I$55,2,0)</f>
        <v>296</v>
      </c>
      <c r="L93" s="13">
        <f>VLOOKUP(A93,'Données projet'!$A$35:$I$55,9,0)</f>
        <v>5.6</v>
      </c>
      <c r="M93" s="13">
        <f t="array" ref="M93">INDEX(L:L,MIN(IF(ISNUMBER(L93:L289),ROW(L93:L289),"")))</f>
        <v>5.6</v>
      </c>
      <c r="N93" s="14">
        <f>IF('Données projet'!$A$36&gt;35,N92+M93-V92,IF(A93&lt;'Données projet'!$A$36,$K$205^A93,IF(A93='Données projet'!$A$36,'Données projet'!$B$36,N92+M93-V92)))</f>
        <v>296.00000000000006</v>
      </c>
      <c r="O93" s="14">
        <f>N93*VLOOKUP('Données projet'!$B$9,Paramètres!$A$1:$I$89,3,0)*VLOOKUP('Données projet'!$B$9,Paramètres!$A$1:$I$89,5,0)</f>
        <v>267.82080000000008</v>
      </c>
      <c r="P93" s="14">
        <f t="shared" si="87"/>
        <v>64.386570147897373</v>
      </c>
      <c r="Q93" s="22">
        <f t="shared" si="54"/>
        <v>578.59450300758806</v>
      </c>
      <c r="R93" s="62">
        <f t="shared" si="55"/>
        <v>852.95214401181579</v>
      </c>
      <c r="S93" s="62">
        <f ca="1">AVERAGE(OFFSET($R$3,0,0,'Données projet'!$E$9+1,1))-AVERAGE(OFFSET($H$3,0,0,'Données projet'!$E$9+1,1))</f>
        <v>469.67944008675863</v>
      </c>
      <c r="T93" s="62">
        <f t="shared" si="88"/>
        <v>266.11908070867173</v>
      </c>
      <c r="U93" s="16">
        <f>IF(ISNA(VLOOKUP(A93,'Données projet'!$A$35:$I$55,3,0)),0,VLOOKUP(A93,'Données projet'!$A$35:$I$55,3,0))</f>
        <v>7</v>
      </c>
      <c r="V93" s="16">
        <f>IF(ISNA(VLOOKUP(A93,'Données projet'!$A$35:$I$55,4,0)),0,VLOOKUP(A93,'Données projet'!$A$35:$I$55,4,0))</f>
        <v>42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0</v>
      </c>
      <c r="AA93" s="23">
        <f>EXP(-LN(2)/25)*AA92+(1-EXP(-LN(2)/25))/(LN(2)/25)*Calculateur!V93*Calculateur!X93*VLOOKUP('Données projet'!$B$9,Paramètres!$A$1:$I$89,3,0)*0.475*44/12</f>
        <v>0</v>
      </c>
      <c r="AB93" s="23">
        <f>EXP(-LN(2)/2)*AB92+(1-EXP(-LN(2)/2))/(LN(2)/2)*V93*Y93*VLOOKUP('Données projet'!$B$9,Paramètres!$A$1:$I$89,3,0)*0.475*44/12</f>
        <v>0</v>
      </c>
      <c r="AC93" s="24">
        <f t="shared" si="57"/>
        <v>0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>
        <f>VLOOKUP(A93,'Données projet'!$A$61:$I$81,2,0)</f>
        <v>224.35897435897436</v>
      </c>
      <c r="AG93" s="13">
        <f>VLOOKUP(A93,'Données projet'!$A$61:$I$81,9,0)</f>
        <v>3.5897435897435912</v>
      </c>
      <c r="AH93" s="13">
        <f t="array" ref="AH93">INDEX(AG:AG,MIN(IF(ISNUMBER(AG93:AG289),ROW(AG93:AG289),"")))</f>
        <v>3.5897435897435912</v>
      </c>
      <c r="AI93" s="14">
        <f>IF('Données projet'!$A$62&gt;35,AI92+AH93-AQ92,IF(A93&lt;'Données projet'!$A$62,$AF$205^A93,IF(A93='Données projet'!$A$62,'Données projet'!$B$62,AI92+AH93-AQ92)))</f>
        <v>224.35897435897422</v>
      </c>
      <c r="AJ93" s="14">
        <f>AI93*VLOOKUP('Données projet'!$B$10,Paramètres!$A$1:$I$89,3,0)*VLOOKUP('Données projet'!$B$10,Paramètres!$A$1:$I$89,5,0)</f>
        <v>213.49999999999989</v>
      </c>
      <c r="AK93" s="14">
        <f t="shared" si="89"/>
        <v>52.699686425325872</v>
      </c>
      <c r="AL93" s="22">
        <f t="shared" si="58"/>
        <v>463.63112052410901</v>
      </c>
      <c r="AM93" s="62">
        <f t="shared" si="59"/>
        <v>737.98876152833668</v>
      </c>
      <c r="AN93" s="62">
        <f ca="1">AVERAGE(OFFSET($AM$3,0,0,'Données projet'!$E$10+1,1))-AVERAGE(OFFSET($H$3,0,0,'Données projet'!$E$10+1,1))</f>
        <v>400.48230125343474</v>
      </c>
      <c r="AO93" s="62">
        <f t="shared" si="90"/>
        <v>275.67023303885048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0</v>
      </c>
      <c r="AV93" s="23">
        <f>EXP(-LN(2)/25)*AV92+(1-EXP(-LN(2)/25))/(LN(2)/25)*Calculateur!AQ93*Calculateur!AS93*VLOOKUP('Données projet'!$B$10,Paramètres!$A$1:$I$89,3,0)*0.475*44/12</f>
        <v>0</v>
      </c>
      <c r="AW93" s="23">
        <f>EXP(-LN(2)/2)*AW92+(1-EXP(-LN(2)/2))/(LN(2)/2)*AQ93*AT93*VLOOKUP('Données projet'!$B$10,Paramètres!$A$1:$I$89,3,0)*0.475*44/12</f>
        <v>0</v>
      </c>
      <c r="AX93" s="23">
        <f t="shared" si="60"/>
        <v>0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>
        <f>VLOOKUP(A93,'Données projet'!$A$87:$I$107,2,0)</f>
        <v>296</v>
      </c>
      <c r="BB93" s="13">
        <f>VLOOKUP(A93,'Données projet'!$A$87:$I$107,9,0)</f>
        <v>5.6</v>
      </c>
      <c r="BC93" s="13">
        <f t="array" ref="BC93">INDEX(BB:BB,MIN(IF(ISNUMBER(BB93:BB289),ROW(BB93:BB289),"")))</f>
        <v>5.6</v>
      </c>
      <c r="BD93" s="13">
        <f>IF('Données projet'!$A$88&gt;35,BD92+BC93-BL92,IF(A93&lt;'Données projet'!$A$88,$BA$205^A93,IF(A93='Données projet'!$A$88,'Données projet'!$B$88,BD92+BC93-BL92)))</f>
        <v>296.00000000000006</v>
      </c>
      <c r="BE93" s="14">
        <f>BD93*VLOOKUP('Données projet'!$B$11,Paramètres!$A$1:$I$89,3,0)*VLOOKUP('Données projet'!$B$11,Paramètres!$A$1:$I$89,5,0)</f>
        <v>286.29120000000006</v>
      </c>
      <c r="BF93" s="14">
        <f t="shared" si="91"/>
        <v>68.294796094604408</v>
      </c>
      <c r="BG93" s="22">
        <f t="shared" si="61"/>
        <v>617.57060986476938</v>
      </c>
      <c r="BH93" s="62">
        <f t="shared" si="62"/>
        <v>891.92825086899711</v>
      </c>
      <c r="BI93" s="62">
        <f ca="1">AVERAGE(OFFSET($BH$3,0,0,'Données projet'!$E$11+1,1))-AVERAGE(OFFSET($H$3,0,0,'Données projet'!$E$11+1,1))</f>
        <v>496.33873798282525</v>
      </c>
      <c r="BJ93" s="62">
        <f t="shared" si="92"/>
        <v>280.25465074992246</v>
      </c>
      <c r="BK93" s="16">
        <f>IF(ISNA(VLOOKUP(A93,'Données projet'!$A$87:$I$107,3,0)),0,VLOOKUP(A93,'Données projet'!$A$87:$I$107,3,0))</f>
        <v>7</v>
      </c>
      <c r="BL93" s="16">
        <f>IF(ISNA(VLOOKUP(A93,'Données projet'!$A$87:$I$107,4,0)),0,VLOOKUP(A93,'Données projet'!$A$87:$I$107,4,0))</f>
        <v>42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>
        <f>EXP(-LN(2)/35)*BP92+(1-EXP(-LN(2)/35))/(LN(2)/35)*BL93*BM93*VLOOKUP('Données projet'!$B$11,Paramètres!$A$1:$I$89,3,0)*0.475*44/12</f>
        <v>0</v>
      </c>
      <c r="BQ93" s="23">
        <f>EXP(-LN(2)/25)*BQ92+(1-EXP(-LN(2)/25))/(LN(2)/25)*Calculateur!BL93*Calculateur!BN93*VLOOKUP('Données projet'!$B$11,Paramètres!$A$1:$I$89,3,0)*0.475*44/12</f>
        <v>0</v>
      </c>
      <c r="BR93" s="23">
        <f>EXP(-LN(2)/2)*BR92+(1-EXP(-LN(2)/2))/(LN(2)/2)*BL93*BO93*VLOOKUP('Données projet'!$B$11,Paramètres!$A$1:$I$89,3,0)*0.475*44/12</f>
        <v>0</v>
      </c>
      <c r="BS93" s="24">
        <f t="shared" si="63"/>
        <v>0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-1.1368683772161603E-13</v>
      </c>
      <c r="BZ93" s="14">
        <f>BY93*VLOOKUP('Données projet'!$B$12,Paramètres!$A$1:$I$89,3,0)*VLOOKUP('Données projet'!$B$12,Paramètres!$A$1:$I$89,5,0)</f>
        <v>-9.9316821433603781E-14</v>
      </c>
      <c r="CA93" s="14" t="e">
        <f t="shared" si="93"/>
        <v>#NUM!</v>
      </c>
      <c r="CB93" s="22" t="e">
        <f t="shared" si="64"/>
        <v>#NUM!</v>
      </c>
      <c r="CC93" s="62" t="e">
        <f t="shared" si="65"/>
        <v>#NUM!</v>
      </c>
      <c r="CD93" s="62">
        <f ca="1">AVERAGE(OFFSET($CC$3,0,0,'Données projet'!$E$12+1,1))-AVERAGE(OFFSET($H$3,0,0,'Données projet'!$E$12+1,1))</f>
        <v>298.56812743477741</v>
      </c>
      <c r="CE93" s="62">
        <f t="shared" si="94"/>
        <v>276.01618888357268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>
        <f>EXP(-LN(2)/35)*CK92+(1-EXP(-LN(2)/35))/(LN(2)/35)*CG93*CH93*VLOOKUP('Données projet'!$B$12,Paramètres!$A$1:$I$89,3,0)*0.475*44/12</f>
        <v>0</v>
      </c>
      <c r="CL93" s="23">
        <f>EXP(-LN(2)/25)*CL92+(1-EXP(-LN(2)/25))/(LN(2)/25)*Calculateur!CG93*Calculateur!CI93*VLOOKUP('Données projet'!$B$12,Paramètres!$A$1:$I$89,3,0)*0.475*44/12</f>
        <v>0</v>
      </c>
      <c r="CM93" s="23">
        <f>EXP(-LN(2)/2)*CM92+(1-EXP(-LN(2)/2))/(LN(2)/2)*CG93*CJ93*VLOOKUP('Données projet'!$B$12,Paramètres!$A$1:$I$89,3,0)*0.475*44/12</f>
        <v>0</v>
      </c>
      <c r="CN93" s="24">
        <f t="shared" si="66"/>
        <v>0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>
        <f>VLOOKUP(A93,'Données projet'!$A$139:$I$159,2,0)</f>
        <v>283.33333333333331</v>
      </c>
      <c r="CR93" s="13">
        <f>VLOOKUP(A93,'Données projet'!$A$139:$I$159,9,0)</f>
        <v>3.8461538461538454</v>
      </c>
      <c r="CS93" s="13">
        <f t="array" ref="CS93">INDEX(CR:CR,MIN(IF(ISNUMBER(CR93:CR289),ROW(CR93:CR289),"")))</f>
        <v>3.8461538461538454</v>
      </c>
      <c r="CT93" s="13">
        <f>IF('Données projet'!$A$140&gt;35,CT92+CS93-DB92,IF(A93&lt;'Données projet'!$A$140,$CQ$205^A93,IF(A93='Données projet'!$A$140,'Données projet'!$B$140,CT92+CS93-DB92)))</f>
        <v>283.33333333333343</v>
      </c>
      <c r="CU93" s="18">
        <f>CT93*VLOOKUP('Données projet'!$B$13,Paramètres!$A$1:$I$89,3,0)*VLOOKUP('Données projet'!$B$13,Paramètres!$A$1:$I$89,5,0)</f>
        <v>190.06000000000006</v>
      </c>
      <c r="CV93" s="14">
        <f t="shared" si="95"/>
        <v>47.55321775556439</v>
      </c>
      <c r="CW93" s="22">
        <f t="shared" si="67"/>
        <v>413.84302092427475</v>
      </c>
      <c r="CX93" s="62">
        <f t="shared" si="68"/>
        <v>688.20066192850243</v>
      </c>
      <c r="CY93" s="62">
        <f ca="1">AVERAGE(OFFSET($CX$3,0,0,'Données projet'!$E$13+1,1))-AVERAGE(OFFSET($H$3,0,0,'Données projet'!$E$13+1,1))</f>
        <v>346.82725381974132</v>
      </c>
      <c r="CZ93" s="62">
        <f t="shared" si="96"/>
        <v>254.09787950201044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>
        <f>EXP(-LN(2)/35)*DF92+(1-EXP(-LN(2)/35))/(LN(2)/35)*DB93*DC93*VLOOKUP('Données projet'!$B$13,Paramètres!$A$1:$I$89,3,0)*0.475*44/12</f>
        <v>0</v>
      </c>
      <c r="DG93" s="23">
        <f>EXP(-LN(2)/25)*DG92+(1-EXP(-LN(2)/25))/(LN(2)/25)*Calculateur!DB93*Calculateur!DD93*VLOOKUP('Données projet'!$B$13,Paramètres!$A$1:$I$89,3,0)*0.475*44/12</f>
        <v>0</v>
      </c>
      <c r="DH93" s="23">
        <f>EXP(-LN(2)/2)*DH92+(1-EXP(-LN(2)/2))/(LN(2)/2)*DB93*DE93*VLOOKUP('Données projet'!$B$13,Paramètres!$A$1:$I$89,3,0)*0.475*44/12</f>
        <v>0</v>
      </c>
      <c r="DI93" s="24">
        <f t="shared" si="69"/>
        <v>0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5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2">
        <f t="shared" si="86"/>
        <v>0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18.333333333333332</v>
      </c>
      <c r="H94" s="70">
        <f t="shared" si="56"/>
        <v>183.33333333333334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4.9000000000000004</v>
      </c>
      <c r="N94" s="14">
        <f>IF('Données projet'!$A$36&gt;35,N93+M94-V93,IF(A94&lt;'Données projet'!$A$36,$K$205^A94,IF(A94='Données projet'!$A$36,'Données projet'!$B$36,N93+M94-V93)))</f>
        <v>258.90000000000003</v>
      </c>
      <c r="O94" s="14">
        <f>N94*VLOOKUP('Données projet'!$B$9,Paramètres!$A$1:$I$89,3,0)*VLOOKUP('Données projet'!$B$9,Paramètres!$A$1:$I$89,5,0)</f>
        <v>234.25272000000001</v>
      </c>
      <c r="P94" s="14">
        <f t="shared" si="87"/>
        <v>57.201236231171301</v>
      </c>
      <c r="Q94" s="22">
        <f t="shared" si="54"/>
        <v>507.61564043595672</v>
      </c>
      <c r="R94" s="62">
        <f t="shared" si="55"/>
        <v>782.30246727880171</v>
      </c>
      <c r="S94" s="62">
        <f ca="1">AVERAGE(OFFSET($R$3,0,0,'Données projet'!$E$9+1,1))-AVERAGE(OFFSET($H$3,0,0,'Données projet'!$E$9+1,1))</f>
        <v>469.67944008675863</v>
      </c>
      <c r="T94" s="62">
        <f t="shared" si="88"/>
        <v>266.11908070867173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0</v>
      </c>
      <c r="AA94" s="23">
        <f>EXP(-LN(2)/25)*AA93+(1-EXP(-LN(2)/25))/(LN(2)/25)*Calculateur!V94*Calculateur!X94*VLOOKUP('Données projet'!$B$9,Paramètres!$A$1:$I$89,3,0)*0.475*44/12</f>
        <v>0</v>
      </c>
      <c r="AB94" s="23">
        <f>EXP(-LN(2)/2)*AB93+(1-EXP(-LN(2)/2))/(LN(2)/2)*V94*Y94*VLOOKUP('Données projet'!$B$9,Paramètres!$A$1:$I$89,3,0)*0.475*44/12</f>
        <v>0</v>
      </c>
      <c r="AC94" s="24">
        <f t="shared" si="57"/>
        <v>0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3.5897435897435854</v>
      </c>
      <c r="AI94" s="14">
        <f>IF('Données projet'!$A$62&gt;35,AI93+AH94-AQ93,IF(A94&lt;'Données projet'!$A$62,$AF$205^A94,IF(A94='Données projet'!$A$62,'Données projet'!$B$62,AI93+AH94-AQ93)))</f>
        <v>227.94871794871781</v>
      </c>
      <c r="AJ94" s="14">
        <f>AI94*VLOOKUP('Données projet'!$B$10,Paramètres!$A$1:$I$89,3,0)*VLOOKUP('Données projet'!$B$10,Paramètres!$A$1:$I$89,5,0)</f>
        <v>216.91599999999988</v>
      </c>
      <c r="AK94" s="14">
        <f t="shared" si="89"/>
        <v>53.444043820565049</v>
      </c>
      <c r="AL94" s="22">
        <f t="shared" si="58"/>
        <v>470.87707632081725</v>
      </c>
      <c r="AM94" s="62">
        <f t="shared" si="59"/>
        <v>745.5639031636623</v>
      </c>
      <c r="AN94" s="62">
        <f ca="1">AVERAGE(OFFSET($AM$3,0,0,'Données projet'!$E$10+1,1))-AVERAGE(OFFSET($H$3,0,0,'Données projet'!$E$10+1,1))</f>
        <v>400.48230125343474</v>
      </c>
      <c r="AO94" s="62">
        <f t="shared" si="90"/>
        <v>275.67023303885048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0</v>
      </c>
      <c r="AV94" s="23">
        <f>EXP(-LN(2)/25)*AV93+(1-EXP(-LN(2)/25))/(LN(2)/25)*Calculateur!AQ94*Calculateur!AS94*VLOOKUP('Données projet'!$B$10,Paramètres!$A$1:$I$89,3,0)*0.475*44/12</f>
        <v>0</v>
      </c>
      <c r="AW94" s="23">
        <f>EXP(-LN(2)/2)*AW93+(1-EXP(-LN(2)/2))/(LN(2)/2)*AQ94*AT94*VLOOKUP('Données projet'!$B$10,Paramètres!$A$1:$I$89,3,0)*0.475*44/12</f>
        <v>0</v>
      </c>
      <c r="AX94" s="23">
        <f t="shared" si="60"/>
        <v>0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4.9000000000000004</v>
      </c>
      <c r="BD94" s="13">
        <f>IF('Données projet'!$A$88&gt;35,BD93+BC94-BL93,IF(A94&lt;'Données projet'!$A$88,$BA$205^A94,IF(A94='Données projet'!$A$88,'Données projet'!$B$88,BD93+BC94-BL93)))</f>
        <v>258.90000000000003</v>
      </c>
      <c r="BE94" s="14">
        <f>BD94*VLOOKUP('Données projet'!$B$11,Paramètres!$A$1:$I$89,3,0)*VLOOKUP('Données projet'!$B$11,Paramètres!$A$1:$I$89,5,0)</f>
        <v>250.40808000000004</v>
      </c>
      <c r="BF94" s="14">
        <f t="shared" si="91"/>
        <v>60.67331674592576</v>
      </c>
      <c r="BG94" s="22">
        <f t="shared" si="61"/>
        <v>541.80009933248743</v>
      </c>
      <c r="BH94" s="62">
        <f t="shared" si="62"/>
        <v>816.48692617533243</v>
      </c>
      <c r="BI94" s="62">
        <f ca="1">AVERAGE(OFFSET($BH$3,0,0,'Données projet'!$E$11+1,1))-AVERAGE(OFFSET($H$3,0,0,'Données projet'!$E$11+1,1))</f>
        <v>496.33873798282525</v>
      </c>
      <c r="BJ94" s="62">
        <f t="shared" si="92"/>
        <v>280.25465074992246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>
        <f>EXP(-LN(2)/35)*BP93+(1-EXP(-LN(2)/35))/(LN(2)/35)*BL94*BM94*VLOOKUP('Données projet'!$B$11,Paramètres!$A$1:$I$89,3,0)*0.475*44/12</f>
        <v>0</v>
      </c>
      <c r="BQ94" s="23">
        <f>EXP(-LN(2)/25)*BQ93+(1-EXP(-LN(2)/25))/(LN(2)/25)*Calculateur!BL94*Calculateur!BN94*VLOOKUP('Données projet'!$B$11,Paramètres!$A$1:$I$89,3,0)*0.475*44/12</f>
        <v>0</v>
      </c>
      <c r="BR94" s="23">
        <f>EXP(-LN(2)/2)*BR93+(1-EXP(-LN(2)/2))/(LN(2)/2)*BL94*BO94*VLOOKUP('Données projet'!$B$11,Paramètres!$A$1:$I$89,3,0)*0.475*44/12</f>
        <v>0</v>
      </c>
      <c r="BS94" s="24">
        <f t="shared" si="63"/>
        <v>0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-1.1368683772161603E-13</v>
      </c>
      <c r="BZ94" s="14">
        <f>BY94*VLOOKUP('Données projet'!$B$12,Paramètres!$A$1:$I$89,3,0)*VLOOKUP('Données projet'!$B$12,Paramètres!$A$1:$I$89,5,0)</f>
        <v>-9.9316821433603781E-14</v>
      </c>
      <c r="CA94" s="14" t="e">
        <f t="shared" si="93"/>
        <v>#NUM!</v>
      </c>
      <c r="CB94" s="22" t="e">
        <f t="shared" si="64"/>
        <v>#NUM!</v>
      </c>
      <c r="CC94" s="62" t="e">
        <f t="shared" si="65"/>
        <v>#NUM!</v>
      </c>
      <c r="CD94" s="62">
        <f ca="1">AVERAGE(OFFSET($CC$3,0,0,'Données projet'!$E$12+1,1))-AVERAGE(OFFSET($H$3,0,0,'Données projet'!$E$12+1,1))</f>
        <v>298.56812743477741</v>
      </c>
      <c r="CE94" s="62">
        <f t="shared" si="94"/>
        <v>276.01618888357268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>
        <f>EXP(-LN(2)/35)*CK93+(1-EXP(-LN(2)/35))/(LN(2)/35)*CG94*CH94*VLOOKUP('Données projet'!$B$12,Paramètres!$A$1:$I$89,3,0)*0.475*44/12</f>
        <v>0</v>
      </c>
      <c r="CL94" s="23">
        <f>EXP(-LN(2)/25)*CL93+(1-EXP(-LN(2)/25))/(LN(2)/25)*Calculateur!CG94*Calculateur!CI94*VLOOKUP('Données projet'!$B$12,Paramètres!$A$1:$I$89,3,0)*0.475*44/12</f>
        <v>0</v>
      </c>
      <c r="CM94" s="23">
        <f>EXP(-LN(2)/2)*CM93+(1-EXP(-LN(2)/2))/(LN(2)/2)*CG94*CJ94*VLOOKUP('Données projet'!$B$12,Paramètres!$A$1:$I$89,3,0)*0.475*44/12</f>
        <v>0</v>
      </c>
      <c r="CN94" s="24">
        <f t="shared" si="66"/>
        <v>0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3.7179487179487181</v>
      </c>
      <c r="CT94" s="13">
        <f>IF('Données projet'!$A$140&gt;35,CT93+CS94-DB93,IF(A94&lt;'Données projet'!$A$140,$CQ$205^A94,IF(A94='Données projet'!$A$140,'Données projet'!$B$140,CT93+CS94-DB93)))</f>
        <v>287.05128205128216</v>
      </c>
      <c r="CU94" s="18">
        <f>CT94*VLOOKUP('Données projet'!$B$13,Paramètres!$A$1:$I$89,3,0)*VLOOKUP('Données projet'!$B$13,Paramètres!$A$1:$I$89,5,0)</f>
        <v>192.55400000000009</v>
      </c>
      <c r="CV94" s="14">
        <f t="shared" si="95"/>
        <v>48.10416643774083</v>
      </c>
      <c r="CW94" s="22">
        <f t="shared" si="67"/>
        <v>419.1463065457321</v>
      </c>
      <c r="CX94" s="62">
        <f t="shared" si="68"/>
        <v>693.83313338857715</v>
      </c>
      <c r="CY94" s="62">
        <f ca="1">AVERAGE(OFFSET($CX$3,0,0,'Données projet'!$E$13+1,1))-AVERAGE(OFFSET($H$3,0,0,'Données projet'!$E$13+1,1))</f>
        <v>346.82725381974132</v>
      </c>
      <c r="CZ94" s="62">
        <f t="shared" si="96"/>
        <v>254.09787950201044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>
        <f>EXP(-LN(2)/35)*DF93+(1-EXP(-LN(2)/35))/(LN(2)/35)*DB94*DC94*VLOOKUP('Données projet'!$B$13,Paramètres!$A$1:$I$89,3,0)*0.475*44/12</f>
        <v>0</v>
      </c>
      <c r="DG94" s="23">
        <f>EXP(-LN(2)/25)*DG93+(1-EXP(-LN(2)/25))/(LN(2)/25)*Calculateur!DB94*Calculateur!DD94*VLOOKUP('Données projet'!$B$13,Paramètres!$A$1:$I$89,3,0)*0.475*44/12</f>
        <v>0</v>
      </c>
      <c r="DH94" s="23">
        <f>EXP(-LN(2)/2)*DH93+(1-EXP(-LN(2)/2))/(LN(2)/2)*DB94*DE94*VLOOKUP('Données projet'!$B$13,Paramètres!$A$1:$I$89,3,0)*0.475*44/12</f>
        <v>0</v>
      </c>
      <c r="DI94" s="24">
        <f t="shared" si="69"/>
        <v>0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5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2">
        <f t="shared" si="86"/>
        <v>0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18.333333333333332</v>
      </c>
      <c r="H95" s="70">
        <f t="shared" si="56"/>
        <v>183.33333333333334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4.9000000000000004</v>
      </c>
      <c r="N95" s="14">
        <f>IF('Données projet'!$A$36&gt;35,N94+M95-V94,IF(A95&lt;'Données projet'!$A$36,$K$205^A95,IF(A95='Données projet'!$A$36,'Données projet'!$B$36,N94+M95-V94)))</f>
        <v>263.8</v>
      </c>
      <c r="O95" s="14">
        <f>N95*VLOOKUP('Données projet'!$B$9,Paramètres!$A$1:$I$89,3,0)*VLOOKUP('Données projet'!$B$9,Paramètres!$A$1:$I$89,5,0)</f>
        <v>238.68624</v>
      </c>
      <c r="P95" s="14">
        <f t="shared" si="87"/>
        <v>58.156778382060871</v>
      </c>
      <c r="Q95" s="22">
        <f t="shared" si="54"/>
        <v>517.00159034875594</v>
      </c>
      <c r="R95" s="62">
        <f t="shared" si="55"/>
        <v>792.0118923918676</v>
      </c>
      <c r="S95" s="62">
        <f ca="1">AVERAGE(OFFSET($R$3,0,0,'Données projet'!$E$9+1,1))-AVERAGE(OFFSET($H$3,0,0,'Données projet'!$E$9+1,1))</f>
        <v>469.67944008675863</v>
      </c>
      <c r="T95" s="62">
        <f t="shared" si="88"/>
        <v>266.11908070867173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0</v>
      </c>
      <c r="AA95" s="23">
        <f>EXP(-LN(2)/25)*AA94+(1-EXP(-LN(2)/25))/(LN(2)/25)*Calculateur!V95*Calculateur!X95*VLOOKUP('Données projet'!$B$9,Paramètres!$A$1:$I$89,3,0)*0.475*44/12</f>
        <v>0</v>
      </c>
      <c r="AB95" s="23">
        <f>EXP(-LN(2)/2)*AB94+(1-EXP(-LN(2)/2))/(LN(2)/2)*V95*Y95*VLOOKUP('Données projet'!$B$9,Paramètres!$A$1:$I$89,3,0)*0.475*44/12</f>
        <v>0</v>
      </c>
      <c r="AC95" s="24">
        <f t="shared" si="57"/>
        <v>0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3.5897435897435854</v>
      </c>
      <c r="AI95" s="14">
        <f>IF('Données projet'!$A$62&gt;35,AI94+AH95-AQ94,IF(A95&lt;'Données projet'!$A$62,$AF$205^A95,IF(A95='Données projet'!$A$62,'Données projet'!$B$62,AI94+AH95-AQ94)))</f>
        <v>231.53846153846141</v>
      </c>
      <c r="AJ95" s="14">
        <f>AI95*VLOOKUP('Données projet'!$B$10,Paramètres!$A$1:$I$89,3,0)*VLOOKUP('Données projet'!$B$10,Paramètres!$A$1:$I$89,5,0)</f>
        <v>220.33199999999988</v>
      </c>
      <c r="AK95" s="14">
        <f t="shared" si="89"/>
        <v>54.187037946184027</v>
      </c>
      <c r="AL95" s="22">
        <f t="shared" si="58"/>
        <v>478.1206577562703</v>
      </c>
      <c r="AM95" s="62">
        <f t="shared" si="59"/>
        <v>753.13095979938203</v>
      </c>
      <c r="AN95" s="62">
        <f ca="1">AVERAGE(OFFSET($AM$3,0,0,'Données projet'!$E$10+1,1))-AVERAGE(OFFSET($H$3,0,0,'Données projet'!$E$10+1,1))</f>
        <v>400.48230125343474</v>
      </c>
      <c r="AO95" s="62">
        <f t="shared" si="90"/>
        <v>275.67023303885048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0</v>
      </c>
      <c r="AV95" s="23">
        <f>EXP(-LN(2)/25)*AV94+(1-EXP(-LN(2)/25))/(LN(2)/25)*Calculateur!AQ95*Calculateur!AS95*VLOOKUP('Données projet'!$B$10,Paramètres!$A$1:$I$89,3,0)*0.475*44/12</f>
        <v>0</v>
      </c>
      <c r="AW95" s="23">
        <f>EXP(-LN(2)/2)*AW94+(1-EXP(-LN(2)/2))/(LN(2)/2)*AQ95*AT95*VLOOKUP('Données projet'!$B$10,Paramètres!$A$1:$I$89,3,0)*0.475*44/12</f>
        <v>0</v>
      </c>
      <c r="AX95" s="23">
        <f t="shared" si="60"/>
        <v>0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4.9000000000000004</v>
      </c>
      <c r="BD95" s="13">
        <f>IF('Données projet'!$A$88&gt;35,BD94+BC95-BL94,IF(A95&lt;'Données projet'!$A$88,$BA$205^A95,IF(A95='Données projet'!$A$88,'Données projet'!$B$88,BD94+BC95-BL94)))</f>
        <v>263.8</v>
      </c>
      <c r="BE95" s="14">
        <f>BD95*VLOOKUP('Données projet'!$B$11,Paramètres!$A$1:$I$89,3,0)*VLOOKUP('Données projet'!$B$11,Paramètres!$A$1:$I$89,5,0)</f>
        <v>255.14736000000002</v>
      </c>
      <c r="BF95" s="14">
        <f t="shared" si="91"/>
        <v>61.686859728645651</v>
      </c>
      <c r="BG95" s="22">
        <f t="shared" si="61"/>
        <v>551.81959936072451</v>
      </c>
      <c r="BH95" s="62">
        <f t="shared" si="62"/>
        <v>826.82990140383617</v>
      </c>
      <c r="BI95" s="62">
        <f ca="1">AVERAGE(OFFSET($BH$3,0,0,'Données projet'!$E$11+1,1))-AVERAGE(OFFSET($H$3,0,0,'Données projet'!$E$11+1,1))</f>
        <v>496.33873798282525</v>
      </c>
      <c r="BJ95" s="62">
        <f t="shared" si="92"/>
        <v>280.25465074992246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>
        <f>EXP(-LN(2)/35)*BP94+(1-EXP(-LN(2)/35))/(LN(2)/35)*BL95*BM95*VLOOKUP('Données projet'!$B$11,Paramètres!$A$1:$I$89,3,0)*0.475*44/12</f>
        <v>0</v>
      </c>
      <c r="BQ95" s="23">
        <f>EXP(-LN(2)/25)*BQ94+(1-EXP(-LN(2)/25))/(LN(2)/25)*Calculateur!BL95*Calculateur!BN95*VLOOKUP('Données projet'!$B$11,Paramètres!$A$1:$I$89,3,0)*0.475*44/12</f>
        <v>0</v>
      </c>
      <c r="BR95" s="23">
        <f>EXP(-LN(2)/2)*BR94+(1-EXP(-LN(2)/2))/(LN(2)/2)*BL95*BO95*VLOOKUP('Données projet'!$B$11,Paramètres!$A$1:$I$89,3,0)*0.475*44/12</f>
        <v>0</v>
      </c>
      <c r="BS95" s="24">
        <f t="shared" si="63"/>
        <v>0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-1.1368683772161603E-13</v>
      </c>
      <c r="BZ95" s="14">
        <f>BY95*VLOOKUP('Données projet'!$B$12,Paramètres!$A$1:$I$89,3,0)*VLOOKUP('Données projet'!$B$12,Paramètres!$A$1:$I$89,5,0)</f>
        <v>-9.9316821433603781E-14</v>
      </c>
      <c r="CA95" s="14" t="e">
        <f t="shared" si="93"/>
        <v>#NUM!</v>
      </c>
      <c r="CB95" s="22" t="e">
        <f t="shared" si="64"/>
        <v>#NUM!</v>
      </c>
      <c r="CC95" s="62" t="e">
        <f t="shared" si="65"/>
        <v>#NUM!</v>
      </c>
      <c r="CD95" s="62">
        <f ca="1">AVERAGE(OFFSET($CC$3,0,0,'Données projet'!$E$12+1,1))-AVERAGE(OFFSET($H$3,0,0,'Données projet'!$E$12+1,1))</f>
        <v>298.56812743477741</v>
      </c>
      <c r="CE95" s="62">
        <f t="shared" si="94"/>
        <v>276.01618888357268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>
        <f>EXP(-LN(2)/35)*CK94+(1-EXP(-LN(2)/35))/(LN(2)/35)*CG95*CH95*VLOOKUP('Données projet'!$B$12,Paramètres!$A$1:$I$89,3,0)*0.475*44/12</f>
        <v>0</v>
      </c>
      <c r="CL95" s="23">
        <f>EXP(-LN(2)/25)*CL94+(1-EXP(-LN(2)/25))/(LN(2)/25)*Calculateur!CG95*Calculateur!CI95*VLOOKUP('Données projet'!$B$12,Paramètres!$A$1:$I$89,3,0)*0.475*44/12</f>
        <v>0</v>
      </c>
      <c r="CM95" s="23">
        <f>EXP(-LN(2)/2)*CM94+(1-EXP(-LN(2)/2))/(LN(2)/2)*CG95*CJ95*VLOOKUP('Données projet'!$B$12,Paramètres!$A$1:$I$89,3,0)*0.475*44/12</f>
        <v>0</v>
      </c>
      <c r="CN95" s="24">
        <f t="shared" si="66"/>
        <v>0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3.7179487179487181</v>
      </c>
      <c r="CT95" s="13">
        <f>IF('Données projet'!$A$140&gt;35,CT94+CS95-DB94,IF(A95&lt;'Données projet'!$A$140,$CQ$205^A95,IF(A95='Données projet'!$A$140,'Données projet'!$B$140,CT94+CS95-DB94)))</f>
        <v>290.76923076923089</v>
      </c>
      <c r="CU95" s="18">
        <f>CT95*VLOOKUP('Données projet'!$B$13,Paramètres!$A$1:$I$89,3,0)*VLOOKUP('Données projet'!$B$13,Paramètres!$A$1:$I$89,5,0)</f>
        <v>195.04800000000009</v>
      </c>
      <c r="CV95" s="14">
        <f t="shared" si="95"/>
        <v>48.654285090402297</v>
      </c>
      <c r="CW95" s="22">
        <f t="shared" si="67"/>
        <v>424.44814653245072</v>
      </c>
      <c r="CX95" s="62">
        <f t="shared" si="68"/>
        <v>699.45844857556244</v>
      </c>
      <c r="CY95" s="62">
        <f ca="1">AVERAGE(OFFSET($CX$3,0,0,'Données projet'!$E$13+1,1))-AVERAGE(OFFSET($H$3,0,0,'Données projet'!$E$13+1,1))</f>
        <v>346.82725381974132</v>
      </c>
      <c r="CZ95" s="62">
        <f t="shared" si="96"/>
        <v>254.09787950201044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>
        <f>EXP(-LN(2)/35)*DF94+(1-EXP(-LN(2)/35))/(LN(2)/35)*DB95*DC95*VLOOKUP('Données projet'!$B$13,Paramètres!$A$1:$I$89,3,0)*0.475*44/12</f>
        <v>0</v>
      </c>
      <c r="DG95" s="23">
        <f>EXP(-LN(2)/25)*DG94+(1-EXP(-LN(2)/25))/(LN(2)/25)*Calculateur!DB95*Calculateur!DD95*VLOOKUP('Données projet'!$B$13,Paramètres!$A$1:$I$89,3,0)*0.475*44/12</f>
        <v>0</v>
      </c>
      <c r="DH95" s="23">
        <f>EXP(-LN(2)/2)*DH94+(1-EXP(-LN(2)/2))/(LN(2)/2)*DB95*DE95*VLOOKUP('Données projet'!$B$13,Paramètres!$A$1:$I$89,3,0)*0.475*44/12</f>
        <v>0</v>
      </c>
      <c r="DI95" s="24">
        <f t="shared" si="69"/>
        <v>0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5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2">
        <f t="shared" si="86"/>
        <v>0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18.333333333333332</v>
      </c>
      <c r="H96" s="70">
        <f t="shared" si="56"/>
        <v>183.33333333333334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4.9000000000000004</v>
      </c>
      <c r="N96" s="14">
        <f>IF('Données projet'!$A$36&gt;35,N95+M96-V95,IF(A96&lt;'Données projet'!$A$36,$K$205^A96,IF(A96='Données projet'!$A$36,'Données projet'!$B$36,N95+M96-V95)))</f>
        <v>268.7</v>
      </c>
      <c r="O96" s="14">
        <f>N96*VLOOKUP('Données projet'!$B$9,Paramètres!$A$1:$I$89,3,0)*VLOOKUP('Données projet'!$B$9,Paramètres!$A$1:$I$89,5,0)</f>
        <v>243.11975999999996</v>
      </c>
      <c r="P96" s="14">
        <f t="shared" si="87"/>
        <v>59.110256668778533</v>
      </c>
      <c r="Q96" s="22">
        <f t="shared" si="54"/>
        <v>526.3839456981226</v>
      </c>
      <c r="R96" s="62">
        <f t="shared" si="55"/>
        <v>801.71211136995862</v>
      </c>
      <c r="S96" s="62">
        <f ca="1">AVERAGE(OFFSET($R$3,0,0,'Données projet'!$E$9+1,1))-AVERAGE(OFFSET($H$3,0,0,'Données projet'!$E$9+1,1))</f>
        <v>469.67944008675863</v>
      </c>
      <c r="T96" s="62">
        <f t="shared" si="88"/>
        <v>266.11908070867173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0</v>
      </c>
      <c r="AA96" s="23">
        <f>EXP(-LN(2)/25)*AA95+(1-EXP(-LN(2)/25))/(LN(2)/25)*Calculateur!V96*Calculateur!X96*VLOOKUP('Données projet'!$B$9,Paramètres!$A$1:$I$89,3,0)*0.475*44/12</f>
        <v>0</v>
      </c>
      <c r="AB96" s="23">
        <f>EXP(-LN(2)/2)*AB95+(1-EXP(-LN(2)/2))/(LN(2)/2)*V96*Y96*VLOOKUP('Données projet'!$B$9,Paramètres!$A$1:$I$89,3,0)*0.475*44/12</f>
        <v>0</v>
      </c>
      <c r="AC96" s="24">
        <f t="shared" si="57"/>
        <v>0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3.5897435897435854</v>
      </c>
      <c r="AI96" s="14">
        <f>IF('Données projet'!$A$62&gt;35,AI95+AH96-AQ95,IF(A96&lt;'Données projet'!$A$62,$AF$205^A96,IF(A96='Données projet'!$A$62,'Données projet'!$B$62,AI95+AH96-AQ95)))</f>
        <v>235.128205128205</v>
      </c>
      <c r="AJ96" s="14">
        <f>AI96*VLOOKUP('Données projet'!$B$10,Paramètres!$A$1:$I$89,3,0)*VLOOKUP('Données projet'!$B$10,Paramètres!$A$1:$I$89,5,0)</f>
        <v>223.74799999999988</v>
      </c>
      <c r="AK96" s="14">
        <f t="shared" si="89"/>
        <v>54.928692378995628</v>
      </c>
      <c r="AL96" s="22">
        <f t="shared" si="58"/>
        <v>485.36190589341709</v>
      </c>
      <c r="AM96" s="62">
        <f t="shared" si="59"/>
        <v>760.69007156525299</v>
      </c>
      <c r="AN96" s="62">
        <f ca="1">AVERAGE(OFFSET($AM$3,0,0,'Données projet'!$E$10+1,1))-AVERAGE(OFFSET($H$3,0,0,'Données projet'!$E$10+1,1))</f>
        <v>400.48230125343474</v>
      </c>
      <c r="AO96" s="62">
        <f t="shared" si="90"/>
        <v>275.67023303885048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0</v>
      </c>
      <c r="AV96" s="23">
        <f>EXP(-LN(2)/25)*AV95+(1-EXP(-LN(2)/25))/(LN(2)/25)*Calculateur!AQ96*Calculateur!AS96*VLOOKUP('Données projet'!$B$10,Paramètres!$A$1:$I$89,3,0)*0.475*44/12</f>
        <v>0</v>
      </c>
      <c r="AW96" s="23">
        <f>EXP(-LN(2)/2)*AW95+(1-EXP(-LN(2)/2))/(LN(2)/2)*AQ96*AT96*VLOOKUP('Données projet'!$B$10,Paramètres!$A$1:$I$89,3,0)*0.475*44/12</f>
        <v>0</v>
      </c>
      <c r="AX96" s="23">
        <f t="shared" si="60"/>
        <v>0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4.9000000000000004</v>
      </c>
      <c r="BD96" s="13">
        <f>IF('Données projet'!$A$88&gt;35,BD95+BC96-BL95,IF(A96&lt;'Données projet'!$A$88,$BA$205^A96,IF(A96='Données projet'!$A$88,'Données projet'!$B$88,BD95+BC96-BL95)))</f>
        <v>268.7</v>
      </c>
      <c r="BE96" s="14">
        <f>BD96*VLOOKUP('Données projet'!$B$11,Paramètres!$A$1:$I$89,3,0)*VLOOKUP('Données projet'!$B$11,Paramètres!$A$1:$I$89,5,0)</f>
        <v>259.88664</v>
      </c>
      <c r="BF96" s="14">
        <f t="shared" si="91"/>
        <v>62.698213571884004</v>
      </c>
      <c r="BG96" s="22">
        <f t="shared" si="61"/>
        <v>561.835286637698</v>
      </c>
      <c r="BH96" s="62">
        <f t="shared" si="62"/>
        <v>837.16345230953402</v>
      </c>
      <c r="BI96" s="62">
        <f ca="1">AVERAGE(OFFSET($BH$3,0,0,'Données projet'!$E$11+1,1))-AVERAGE(OFFSET($H$3,0,0,'Données projet'!$E$11+1,1))</f>
        <v>496.33873798282525</v>
      </c>
      <c r="BJ96" s="62">
        <f t="shared" si="92"/>
        <v>280.25465074992246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>
        <f>EXP(-LN(2)/35)*BP95+(1-EXP(-LN(2)/35))/(LN(2)/35)*BL96*BM96*VLOOKUP('Données projet'!$B$11,Paramètres!$A$1:$I$89,3,0)*0.475*44/12</f>
        <v>0</v>
      </c>
      <c r="BQ96" s="23">
        <f>EXP(-LN(2)/25)*BQ95+(1-EXP(-LN(2)/25))/(LN(2)/25)*Calculateur!BL96*Calculateur!BN96*VLOOKUP('Données projet'!$B$11,Paramètres!$A$1:$I$89,3,0)*0.475*44/12</f>
        <v>0</v>
      </c>
      <c r="BR96" s="23">
        <f>EXP(-LN(2)/2)*BR95+(1-EXP(-LN(2)/2))/(LN(2)/2)*BL96*BO96*VLOOKUP('Données projet'!$B$11,Paramètres!$A$1:$I$89,3,0)*0.475*44/12</f>
        <v>0</v>
      </c>
      <c r="BS96" s="24">
        <f t="shared" si="63"/>
        <v>0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-1.1368683772161603E-13</v>
      </c>
      <c r="BZ96" s="14">
        <f>BY96*VLOOKUP('Données projet'!$B$12,Paramètres!$A$1:$I$89,3,0)*VLOOKUP('Données projet'!$B$12,Paramètres!$A$1:$I$89,5,0)</f>
        <v>-9.9316821433603781E-14</v>
      </c>
      <c r="CA96" s="14" t="e">
        <f t="shared" si="93"/>
        <v>#NUM!</v>
      </c>
      <c r="CB96" s="22" t="e">
        <f t="shared" si="64"/>
        <v>#NUM!</v>
      </c>
      <c r="CC96" s="62" t="e">
        <f t="shared" si="65"/>
        <v>#NUM!</v>
      </c>
      <c r="CD96" s="62">
        <f ca="1">AVERAGE(OFFSET($CC$3,0,0,'Données projet'!$E$12+1,1))-AVERAGE(OFFSET($H$3,0,0,'Données projet'!$E$12+1,1))</f>
        <v>298.56812743477741</v>
      </c>
      <c r="CE96" s="62">
        <f t="shared" si="94"/>
        <v>276.01618888357268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>
        <f>EXP(-LN(2)/35)*CK95+(1-EXP(-LN(2)/35))/(LN(2)/35)*CG96*CH96*VLOOKUP('Données projet'!$B$12,Paramètres!$A$1:$I$89,3,0)*0.475*44/12</f>
        <v>0</v>
      </c>
      <c r="CL96" s="23">
        <f>EXP(-LN(2)/25)*CL95+(1-EXP(-LN(2)/25))/(LN(2)/25)*Calculateur!CG96*Calculateur!CI96*VLOOKUP('Données projet'!$B$12,Paramètres!$A$1:$I$89,3,0)*0.475*44/12</f>
        <v>0</v>
      </c>
      <c r="CM96" s="23">
        <f>EXP(-LN(2)/2)*CM95+(1-EXP(-LN(2)/2))/(LN(2)/2)*CG96*CJ96*VLOOKUP('Données projet'!$B$12,Paramètres!$A$1:$I$89,3,0)*0.475*44/12</f>
        <v>0</v>
      </c>
      <c r="CN96" s="24">
        <f t="shared" si="66"/>
        <v>0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3.7179487179487181</v>
      </c>
      <c r="CT96" s="13">
        <f>IF('Données projet'!$A$140&gt;35,CT95+CS96-DB95,IF(A96&lt;'Données projet'!$A$140,$CQ$205^A96,IF(A96='Données projet'!$A$140,'Données projet'!$B$140,CT95+CS96-DB95)))</f>
        <v>294.48717948717962</v>
      </c>
      <c r="CU96" s="18">
        <f>CT96*VLOOKUP('Données projet'!$B$13,Paramètres!$A$1:$I$89,3,0)*VLOOKUP('Données projet'!$B$13,Paramètres!$A$1:$I$89,5,0)</f>
        <v>197.54200000000009</v>
      </c>
      <c r="CV96" s="14">
        <f t="shared" si="95"/>
        <v>49.203585554019433</v>
      </c>
      <c r="CW96" s="22">
        <f t="shared" si="67"/>
        <v>429.74856150658394</v>
      </c>
      <c r="CX96" s="62">
        <f t="shared" si="68"/>
        <v>705.0767271784199</v>
      </c>
      <c r="CY96" s="62">
        <f ca="1">AVERAGE(OFFSET($CX$3,0,0,'Données projet'!$E$13+1,1))-AVERAGE(OFFSET($H$3,0,0,'Données projet'!$E$13+1,1))</f>
        <v>346.82725381974132</v>
      </c>
      <c r="CZ96" s="62">
        <f t="shared" si="96"/>
        <v>254.09787950201044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>
        <f>EXP(-LN(2)/35)*DF95+(1-EXP(-LN(2)/35))/(LN(2)/35)*DB96*DC96*VLOOKUP('Données projet'!$B$13,Paramètres!$A$1:$I$89,3,0)*0.475*44/12</f>
        <v>0</v>
      </c>
      <c r="DG96" s="23">
        <f>EXP(-LN(2)/25)*DG95+(1-EXP(-LN(2)/25))/(LN(2)/25)*Calculateur!DB96*Calculateur!DD96*VLOOKUP('Données projet'!$B$13,Paramètres!$A$1:$I$89,3,0)*0.475*44/12</f>
        <v>0</v>
      </c>
      <c r="DH96" s="23">
        <f>EXP(-LN(2)/2)*DH95+(1-EXP(-LN(2)/2))/(LN(2)/2)*DB96*DE96*VLOOKUP('Données projet'!$B$13,Paramètres!$A$1:$I$89,3,0)*0.475*44/12</f>
        <v>0</v>
      </c>
      <c r="DI96" s="24">
        <f t="shared" si="69"/>
        <v>0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5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2">
        <f t="shared" si="86"/>
        <v>0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18.333333333333332</v>
      </c>
      <c r="H97" s="70">
        <f t="shared" si="56"/>
        <v>183.33333333333334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4.9000000000000004</v>
      </c>
      <c r="N97" s="14">
        <f>IF('Données projet'!$A$36&gt;35,N96+M97-V96,IF(A97&lt;'Données projet'!$A$36,$K$205^A97,IF(A97='Données projet'!$A$36,'Données projet'!$B$36,N96+M97-V96)))</f>
        <v>273.59999999999997</v>
      </c>
      <c r="O97" s="14">
        <f>N97*VLOOKUP('Données projet'!$B$9,Paramètres!$A$1:$I$89,3,0)*VLOOKUP('Données projet'!$B$9,Paramètres!$A$1:$I$89,5,0)</f>
        <v>247.55327999999994</v>
      </c>
      <c r="P97" s="14">
        <f t="shared" si="87"/>
        <v>60.061713068870255</v>
      </c>
      <c r="Q97" s="22">
        <f t="shared" si="54"/>
        <v>535.76277959494894</v>
      </c>
      <c r="R97" s="62">
        <f t="shared" si="55"/>
        <v>811.40329467218749</v>
      </c>
      <c r="S97" s="62">
        <f ca="1">AVERAGE(OFFSET($R$3,0,0,'Données projet'!$E$9+1,1))-AVERAGE(OFFSET($H$3,0,0,'Données projet'!$E$9+1,1))</f>
        <v>469.67944008675863</v>
      </c>
      <c r="T97" s="62">
        <f t="shared" si="88"/>
        <v>266.11908070867173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0</v>
      </c>
      <c r="AA97" s="23">
        <f>EXP(-LN(2)/25)*AA96+(1-EXP(-LN(2)/25))/(LN(2)/25)*Calculateur!V97*Calculateur!X97*VLOOKUP('Données projet'!$B$9,Paramètres!$A$1:$I$89,3,0)*0.475*44/12</f>
        <v>0</v>
      </c>
      <c r="AB97" s="23">
        <f>EXP(-LN(2)/2)*AB96+(1-EXP(-LN(2)/2))/(LN(2)/2)*V97*Y97*VLOOKUP('Données projet'!$B$9,Paramètres!$A$1:$I$89,3,0)*0.475*44/12</f>
        <v>0</v>
      </c>
      <c r="AC97" s="24">
        <f t="shared" si="57"/>
        <v>0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3.5897435897435854</v>
      </c>
      <c r="AI97" s="14">
        <f>IF('Données projet'!$A$62&gt;35,AI96+AH97-AQ96,IF(A97&lt;'Données projet'!$A$62,$AF$205^A97,IF(A97='Données projet'!$A$62,'Données projet'!$B$62,AI96+AH97-AQ96)))</f>
        <v>238.71794871794859</v>
      </c>
      <c r="AJ97" s="14">
        <f>AI97*VLOOKUP('Données projet'!$B$10,Paramètres!$A$1:$I$89,3,0)*VLOOKUP('Données projet'!$B$10,Paramètres!$A$1:$I$89,5,0)</f>
        <v>227.16399999999985</v>
      </c>
      <c r="AK97" s="14">
        <f t="shared" si="89"/>
        <v>55.66902993459999</v>
      </c>
      <c r="AL97" s="22">
        <f t="shared" si="58"/>
        <v>492.60086046942803</v>
      </c>
      <c r="AM97" s="62">
        <f t="shared" si="59"/>
        <v>768.24137554666652</v>
      </c>
      <c r="AN97" s="62">
        <f ca="1">AVERAGE(OFFSET($AM$3,0,0,'Données projet'!$E$10+1,1))-AVERAGE(OFFSET($H$3,0,0,'Données projet'!$E$10+1,1))</f>
        <v>400.48230125343474</v>
      </c>
      <c r="AO97" s="62">
        <f t="shared" si="90"/>
        <v>275.67023303885048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0</v>
      </c>
      <c r="AV97" s="23">
        <f>EXP(-LN(2)/25)*AV96+(1-EXP(-LN(2)/25))/(LN(2)/25)*Calculateur!AQ97*Calculateur!AS97*VLOOKUP('Données projet'!$B$10,Paramètres!$A$1:$I$89,3,0)*0.475*44/12</f>
        <v>0</v>
      </c>
      <c r="AW97" s="23">
        <f>EXP(-LN(2)/2)*AW96+(1-EXP(-LN(2)/2))/(LN(2)/2)*AQ97*AT97*VLOOKUP('Données projet'!$B$10,Paramètres!$A$1:$I$89,3,0)*0.475*44/12</f>
        <v>0</v>
      </c>
      <c r="AX97" s="23">
        <f t="shared" si="60"/>
        <v>0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4.9000000000000004</v>
      </c>
      <c r="BD97" s="13">
        <f>IF('Données projet'!$A$88&gt;35,BD96+BC97-BL96,IF(A97&lt;'Données projet'!$A$88,$BA$205^A97,IF(A97='Données projet'!$A$88,'Données projet'!$B$88,BD96+BC97-BL96)))</f>
        <v>273.59999999999997</v>
      </c>
      <c r="BE97" s="14">
        <f>BD97*VLOOKUP('Données projet'!$B$11,Paramètres!$A$1:$I$89,3,0)*VLOOKUP('Données projet'!$B$11,Paramètres!$A$1:$I$89,5,0)</f>
        <v>264.62591999999995</v>
      </c>
      <c r="BF97" s="14">
        <f t="shared" si="91"/>
        <v>63.707422801198604</v>
      </c>
      <c r="BG97" s="22">
        <f t="shared" si="61"/>
        <v>571.84723871208746</v>
      </c>
      <c r="BH97" s="62">
        <f t="shared" si="62"/>
        <v>847.48775378932601</v>
      </c>
      <c r="BI97" s="62">
        <f ca="1">AVERAGE(OFFSET($BH$3,0,0,'Données projet'!$E$11+1,1))-AVERAGE(OFFSET($H$3,0,0,'Données projet'!$E$11+1,1))</f>
        <v>496.33873798282525</v>
      </c>
      <c r="BJ97" s="62">
        <f t="shared" si="92"/>
        <v>280.25465074992246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>
        <f>EXP(-LN(2)/35)*BP96+(1-EXP(-LN(2)/35))/(LN(2)/35)*BL97*BM97*VLOOKUP('Données projet'!$B$11,Paramètres!$A$1:$I$89,3,0)*0.475*44/12</f>
        <v>0</v>
      </c>
      <c r="BQ97" s="23">
        <f>EXP(-LN(2)/25)*BQ96+(1-EXP(-LN(2)/25))/(LN(2)/25)*Calculateur!BL97*Calculateur!BN97*VLOOKUP('Données projet'!$B$11,Paramètres!$A$1:$I$89,3,0)*0.475*44/12</f>
        <v>0</v>
      </c>
      <c r="BR97" s="23">
        <f>EXP(-LN(2)/2)*BR96+(1-EXP(-LN(2)/2))/(LN(2)/2)*BL97*BO97*VLOOKUP('Données projet'!$B$11,Paramètres!$A$1:$I$89,3,0)*0.475*44/12</f>
        <v>0</v>
      </c>
      <c r="BS97" s="24">
        <f t="shared" si="63"/>
        <v>0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-1.1368683772161603E-13</v>
      </c>
      <c r="BZ97" s="14">
        <f>BY97*VLOOKUP('Données projet'!$B$12,Paramètres!$A$1:$I$89,3,0)*VLOOKUP('Données projet'!$B$12,Paramètres!$A$1:$I$89,5,0)</f>
        <v>-9.9316821433603781E-14</v>
      </c>
      <c r="CA97" s="14" t="e">
        <f t="shared" si="93"/>
        <v>#NUM!</v>
      </c>
      <c r="CB97" s="22" t="e">
        <f t="shared" si="64"/>
        <v>#NUM!</v>
      </c>
      <c r="CC97" s="62" t="e">
        <f t="shared" si="65"/>
        <v>#NUM!</v>
      </c>
      <c r="CD97" s="62">
        <f ca="1">AVERAGE(OFFSET($CC$3,0,0,'Données projet'!$E$12+1,1))-AVERAGE(OFFSET($H$3,0,0,'Données projet'!$E$12+1,1))</f>
        <v>298.56812743477741</v>
      </c>
      <c r="CE97" s="62">
        <f t="shared" si="94"/>
        <v>276.01618888357268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>
        <f>EXP(-LN(2)/35)*CK96+(1-EXP(-LN(2)/35))/(LN(2)/35)*CG97*CH97*VLOOKUP('Données projet'!$B$12,Paramètres!$A$1:$I$89,3,0)*0.475*44/12</f>
        <v>0</v>
      </c>
      <c r="CL97" s="23">
        <f>EXP(-LN(2)/25)*CL96+(1-EXP(-LN(2)/25))/(LN(2)/25)*Calculateur!CG97*Calculateur!CI97*VLOOKUP('Données projet'!$B$12,Paramètres!$A$1:$I$89,3,0)*0.475*44/12</f>
        <v>0</v>
      </c>
      <c r="CM97" s="23">
        <f>EXP(-LN(2)/2)*CM96+(1-EXP(-LN(2)/2))/(LN(2)/2)*CG97*CJ97*VLOOKUP('Données projet'!$B$12,Paramètres!$A$1:$I$89,3,0)*0.475*44/12</f>
        <v>0</v>
      </c>
      <c r="CN97" s="24">
        <f t="shared" si="66"/>
        <v>0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3.7179487179487181</v>
      </c>
      <c r="CT97" s="13">
        <f>IF('Données projet'!$A$140&gt;35,CT96+CS97-DB96,IF(A97&lt;'Données projet'!$A$140,$CQ$205^A97,IF(A97='Données projet'!$A$140,'Données projet'!$B$140,CT96+CS97-DB96)))</f>
        <v>298.20512820512835</v>
      </c>
      <c r="CU97" s="18">
        <f>CT97*VLOOKUP('Données projet'!$B$13,Paramètres!$A$1:$I$89,3,0)*VLOOKUP('Données projet'!$B$13,Paramètres!$A$1:$I$89,5,0)</f>
        <v>200.03600000000012</v>
      </c>
      <c r="CV97" s="14">
        <f t="shared" si="95"/>
        <v>49.752079352894071</v>
      </c>
      <c r="CW97" s="22">
        <f t="shared" si="67"/>
        <v>435.04757153962402</v>
      </c>
      <c r="CX97" s="62">
        <f t="shared" si="68"/>
        <v>710.68808661686251</v>
      </c>
      <c r="CY97" s="62">
        <f ca="1">AVERAGE(OFFSET($CX$3,0,0,'Données projet'!$E$13+1,1))-AVERAGE(OFFSET($H$3,0,0,'Données projet'!$E$13+1,1))</f>
        <v>346.82725381974132</v>
      </c>
      <c r="CZ97" s="62">
        <f t="shared" si="96"/>
        <v>254.09787950201044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>
        <f>EXP(-LN(2)/35)*DF96+(1-EXP(-LN(2)/35))/(LN(2)/35)*DB97*DC97*VLOOKUP('Données projet'!$B$13,Paramètres!$A$1:$I$89,3,0)*0.475*44/12</f>
        <v>0</v>
      </c>
      <c r="DG97" s="23">
        <f>EXP(-LN(2)/25)*DG96+(1-EXP(-LN(2)/25))/(LN(2)/25)*Calculateur!DB97*Calculateur!DD97*VLOOKUP('Données projet'!$B$13,Paramètres!$A$1:$I$89,3,0)*0.475*44/12</f>
        <v>0</v>
      </c>
      <c r="DH97" s="23">
        <f>EXP(-LN(2)/2)*DH96+(1-EXP(-LN(2)/2))/(LN(2)/2)*DB97*DE97*VLOOKUP('Données projet'!$B$13,Paramètres!$A$1:$I$89,3,0)*0.475*44/12</f>
        <v>0</v>
      </c>
      <c r="DI97" s="24">
        <f t="shared" si="69"/>
        <v>0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5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2">
        <f t="shared" si="86"/>
        <v>0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18.333333333333332</v>
      </c>
      <c r="H98" s="70">
        <f t="shared" si="56"/>
        <v>183.33333333333334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4.9000000000000004</v>
      </c>
      <c r="N98" s="14">
        <f>IF('Données projet'!$A$36&gt;35,N97+M98-V97,IF(A98&lt;'Données projet'!$A$36,$K$205^A98,IF(A98='Données projet'!$A$36,'Données projet'!$B$36,N97+M98-V97)))</f>
        <v>278.49999999999994</v>
      </c>
      <c r="O98" s="14">
        <f>N98*VLOOKUP('Données projet'!$B$9,Paramètres!$A$1:$I$89,3,0)*VLOOKUP('Données projet'!$B$9,Paramètres!$A$1:$I$89,5,0)</f>
        <v>251.98679999999993</v>
      </c>
      <c r="P98" s="14">
        <f t="shared" si="87"/>
        <v>61.011187970195053</v>
      </c>
      <c r="Q98" s="22">
        <f t="shared" si="54"/>
        <v>545.13816238142283</v>
      </c>
      <c r="R98" s="62">
        <f t="shared" si="55"/>
        <v>821.08560830018882</v>
      </c>
      <c r="S98" s="62">
        <f ca="1">AVERAGE(OFFSET($R$3,0,0,'Données projet'!$E$9+1,1))-AVERAGE(OFFSET($H$3,0,0,'Données projet'!$E$9+1,1))</f>
        <v>469.67944008675863</v>
      </c>
      <c r="T98" s="62">
        <f t="shared" si="88"/>
        <v>266.11908070867173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0</v>
      </c>
      <c r="AA98" s="23">
        <f>EXP(-LN(2)/25)*AA97+(1-EXP(-LN(2)/25))/(LN(2)/25)*Calculateur!V98*Calculateur!X98*VLOOKUP('Données projet'!$B$9,Paramètres!$A$1:$I$89,3,0)*0.475*44/12</f>
        <v>0</v>
      </c>
      <c r="AB98" s="23">
        <f>EXP(-LN(2)/2)*AB97+(1-EXP(-LN(2)/2))/(LN(2)/2)*V98*Y98*VLOOKUP('Données projet'!$B$9,Paramètres!$A$1:$I$89,3,0)*0.475*44/12</f>
        <v>0</v>
      </c>
      <c r="AC98" s="24">
        <f t="shared" si="57"/>
        <v>0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>
        <f>VLOOKUP(A98,'Données projet'!$A$61:$I$81,2,0)</f>
        <v>242.30769230769229</v>
      </c>
      <c r="AG98" s="13">
        <f>VLOOKUP(A98,'Données projet'!$A$61:$I$81,9,0)</f>
        <v>3.5897435897435854</v>
      </c>
      <c r="AH98" s="13">
        <f t="array" ref="AH98">INDEX(AG:AG,MIN(IF(ISNUMBER(AG98:AG294),ROW(AG98:AG294),"")))</f>
        <v>3.5897435897435854</v>
      </c>
      <c r="AI98" s="14">
        <f>IF('Données projet'!$A$62&gt;35,AI97+AH98-AQ97,IF(A98&lt;'Données projet'!$A$62,$AF$205^A98,IF(A98='Données projet'!$A$62,'Données projet'!$B$62,AI97+AH98-AQ97)))</f>
        <v>242.30769230769218</v>
      </c>
      <c r="AJ98" s="14">
        <f>AI98*VLOOKUP('Données projet'!$B$10,Paramètres!$A$1:$I$89,3,0)*VLOOKUP('Données projet'!$B$10,Paramètres!$A$1:$I$89,5,0)</f>
        <v>230.5799999999999</v>
      </c>
      <c r="AK98" s="14">
        <f t="shared" si="89"/>
        <v>56.408072703031301</v>
      </c>
      <c r="AL98" s="22">
        <f t="shared" si="58"/>
        <v>499.83755995777932</v>
      </c>
      <c r="AM98" s="62">
        <f t="shared" si="59"/>
        <v>775.78500587654526</v>
      </c>
      <c r="AN98" s="62">
        <f ca="1">AVERAGE(OFFSET($AM$3,0,0,'Données projet'!$E$10+1,1))-AVERAGE(OFFSET($H$3,0,0,'Données projet'!$E$10+1,1))</f>
        <v>400.48230125343474</v>
      </c>
      <c r="AO98" s="62">
        <f t="shared" si="90"/>
        <v>275.67023303885048</v>
      </c>
      <c r="AP98" s="16">
        <f>IF(ISNA(VLOOKUP(A98,'Données projet'!$A$61:$I$81,3,0)),0,VLOOKUP(A98,'Données projet'!$A$61:$I$81,3,0))</f>
        <v>8</v>
      </c>
      <c r="AQ98" s="16">
        <f>IF(ISNA(VLOOKUP(A98,'Données projet'!$A$61:$I$81,4,0)),0,VLOOKUP(A98,'Données projet'!$A$61:$I$81,4,0))</f>
        <v>25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0</v>
      </c>
      <c r="AV98" s="23">
        <f>EXP(-LN(2)/25)*AV97+(1-EXP(-LN(2)/25))/(LN(2)/25)*Calculateur!AQ98*Calculateur!AS98*VLOOKUP('Données projet'!$B$10,Paramètres!$A$1:$I$89,3,0)*0.475*44/12</f>
        <v>0</v>
      </c>
      <c r="AW98" s="23">
        <f>EXP(-LN(2)/2)*AW97+(1-EXP(-LN(2)/2))/(LN(2)/2)*AQ98*AT98*VLOOKUP('Données projet'!$B$10,Paramètres!$A$1:$I$89,3,0)*0.475*44/12</f>
        <v>0</v>
      </c>
      <c r="AX98" s="23">
        <f t="shared" si="60"/>
        <v>0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4.9000000000000004</v>
      </c>
      <c r="BD98" s="13">
        <f>IF('Données projet'!$A$88&gt;35,BD97+BC98-BL97,IF(A98&lt;'Données projet'!$A$88,$BA$205^A98,IF(A98='Données projet'!$A$88,'Données projet'!$B$88,BD97+BC98-BL97)))</f>
        <v>278.49999999999994</v>
      </c>
      <c r="BE98" s="14">
        <f>BD98*VLOOKUP('Données projet'!$B$11,Paramètres!$A$1:$I$89,3,0)*VLOOKUP('Données projet'!$B$11,Paramètres!$A$1:$I$89,5,0)</f>
        <v>269.36519999999996</v>
      </c>
      <c r="BF98" s="14">
        <f t="shared" si="91"/>
        <v>64.714530255967034</v>
      </c>
      <c r="BG98" s="22">
        <f t="shared" si="61"/>
        <v>581.85553019580914</v>
      </c>
      <c r="BH98" s="62">
        <f t="shared" si="62"/>
        <v>857.80297611457513</v>
      </c>
      <c r="BI98" s="62">
        <f ca="1">AVERAGE(OFFSET($BH$3,0,0,'Données projet'!$E$11+1,1))-AVERAGE(OFFSET($H$3,0,0,'Données projet'!$E$11+1,1))</f>
        <v>496.33873798282525</v>
      </c>
      <c r="BJ98" s="62">
        <f t="shared" si="92"/>
        <v>280.25465074992246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>
        <f>EXP(-LN(2)/35)*BP97+(1-EXP(-LN(2)/35))/(LN(2)/35)*BL98*BM98*VLOOKUP('Données projet'!$B$11,Paramètres!$A$1:$I$89,3,0)*0.475*44/12</f>
        <v>0</v>
      </c>
      <c r="BQ98" s="23">
        <f>EXP(-LN(2)/25)*BQ97+(1-EXP(-LN(2)/25))/(LN(2)/25)*Calculateur!BL98*Calculateur!BN98*VLOOKUP('Données projet'!$B$11,Paramètres!$A$1:$I$89,3,0)*0.475*44/12</f>
        <v>0</v>
      </c>
      <c r="BR98" s="23">
        <f>EXP(-LN(2)/2)*BR97+(1-EXP(-LN(2)/2))/(LN(2)/2)*BL98*BO98*VLOOKUP('Données projet'!$B$11,Paramètres!$A$1:$I$89,3,0)*0.475*44/12</f>
        <v>0</v>
      </c>
      <c r="BS98" s="24">
        <f t="shared" si="63"/>
        <v>0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-1.1368683772161603E-13</v>
      </c>
      <c r="BZ98" s="14">
        <f>BY98*VLOOKUP('Données projet'!$B$12,Paramètres!$A$1:$I$89,3,0)*VLOOKUP('Données projet'!$B$12,Paramètres!$A$1:$I$89,5,0)</f>
        <v>-9.9316821433603781E-14</v>
      </c>
      <c r="CA98" s="14" t="e">
        <f t="shared" si="93"/>
        <v>#NUM!</v>
      </c>
      <c r="CB98" s="22" t="e">
        <f t="shared" si="64"/>
        <v>#NUM!</v>
      </c>
      <c r="CC98" s="62" t="e">
        <f t="shared" si="65"/>
        <v>#NUM!</v>
      </c>
      <c r="CD98" s="62">
        <f ca="1">AVERAGE(OFFSET($CC$3,0,0,'Données projet'!$E$12+1,1))-AVERAGE(OFFSET($H$3,0,0,'Données projet'!$E$12+1,1))</f>
        <v>298.56812743477741</v>
      </c>
      <c r="CE98" s="62">
        <f t="shared" si="94"/>
        <v>276.01618888357268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>
        <f>EXP(-LN(2)/35)*CK97+(1-EXP(-LN(2)/35))/(LN(2)/35)*CG98*CH98*VLOOKUP('Données projet'!$B$12,Paramètres!$A$1:$I$89,3,0)*0.475*44/12</f>
        <v>0</v>
      </c>
      <c r="CL98" s="23">
        <f>EXP(-LN(2)/25)*CL97+(1-EXP(-LN(2)/25))/(LN(2)/25)*Calculateur!CG98*Calculateur!CI98*VLOOKUP('Données projet'!$B$12,Paramètres!$A$1:$I$89,3,0)*0.475*44/12</f>
        <v>0</v>
      </c>
      <c r="CM98" s="23">
        <f>EXP(-LN(2)/2)*CM97+(1-EXP(-LN(2)/2))/(LN(2)/2)*CG98*CJ98*VLOOKUP('Données projet'!$B$12,Paramètres!$A$1:$I$89,3,0)*0.475*44/12</f>
        <v>0</v>
      </c>
      <c r="CN98" s="24">
        <f t="shared" si="66"/>
        <v>0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>
        <f>VLOOKUP(A98,'Données projet'!$A$139:$I$159,2,0)</f>
        <v>301.92307692307691</v>
      </c>
      <c r="CR98" s="13">
        <f>VLOOKUP(A98,'Données projet'!$A$139:$I$159,9,0)</f>
        <v>3.7179487179487181</v>
      </c>
      <c r="CS98" s="13">
        <f t="array" ref="CS98">INDEX(CR:CR,MIN(IF(ISNUMBER(CR98:CR294),ROW(CR98:CR294),"")))</f>
        <v>3.7179487179487181</v>
      </c>
      <c r="CT98" s="13">
        <f>IF('Données projet'!$A$140&gt;35,CT97+CS98-DB97,IF(A98&lt;'Données projet'!$A$140,$CQ$205^A98,IF(A98='Données projet'!$A$140,'Données projet'!$B$140,CT97+CS98-DB97)))</f>
        <v>301.92307692307708</v>
      </c>
      <c r="CU98" s="18">
        <f>CT98*VLOOKUP('Données projet'!$B$13,Paramètres!$A$1:$I$89,3,0)*VLOOKUP('Données projet'!$B$13,Paramètres!$A$1:$I$89,5,0)</f>
        <v>202.53000000000011</v>
      </c>
      <c r="CV98" s="14">
        <f t="shared" si="95"/>
        <v>50.299777707436114</v>
      </c>
      <c r="CW98" s="22">
        <f t="shared" si="67"/>
        <v>440.3451961737847</v>
      </c>
      <c r="CX98" s="62">
        <f t="shared" si="68"/>
        <v>716.29264209255064</v>
      </c>
      <c r="CY98" s="62">
        <f ca="1">AVERAGE(OFFSET($CX$3,0,0,'Données projet'!$E$13+1,1))-AVERAGE(OFFSET($H$3,0,0,'Données projet'!$E$13+1,1))</f>
        <v>346.82725381974132</v>
      </c>
      <c r="CZ98" s="62">
        <f t="shared" si="96"/>
        <v>254.09787950201044</v>
      </c>
      <c r="DA98" s="16">
        <f>IF(ISNA(VLOOKUP(A98,'Données projet'!$A$139:$I$159,3,0)),0,VLOOKUP(A98,'Données projet'!$A$139:$I$159,3,0))</f>
        <v>8</v>
      </c>
      <c r="DB98" s="16">
        <f>IF(ISNA(VLOOKUP(A98,'Données projet'!$A$139:$I$159,4,0)),0,VLOOKUP(A98,'Données projet'!$A$139:$I$159,4,0))</f>
        <v>23.717948717948715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>
        <f>EXP(-LN(2)/35)*DF97+(1-EXP(-LN(2)/35))/(LN(2)/35)*DB98*DC98*VLOOKUP('Données projet'!$B$13,Paramètres!$A$1:$I$89,3,0)*0.475*44/12</f>
        <v>0</v>
      </c>
      <c r="DG98" s="23">
        <f>EXP(-LN(2)/25)*DG97+(1-EXP(-LN(2)/25))/(LN(2)/25)*Calculateur!DB98*Calculateur!DD98*VLOOKUP('Données projet'!$B$13,Paramètres!$A$1:$I$89,3,0)*0.475*44/12</f>
        <v>0</v>
      </c>
      <c r="DH98" s="23">
        <f>EXP(-LN(2)/2)*DH97+(1-EXP(-LN(2)/2))/(LN(2)/2)*DB98*DE98*VLOOKUP('Données projet'!$B$13,Paramètres!$A$1:$I$89,3,0)*0.475*44/12</f>
        <v>0</v>
      </c>
      <c r="DI98" s="24">
        <f t="shared" si="69"/>
        <v>0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5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2">
        <f t="shared" si="86"/>
        <v>0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18.333333333333332</v>
      </c>
      <c r="H99" s="70">
        <f t="shared" si="56"/>
        <v>183.33333333333334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4.9000000000000004</v>
      </c>
      <c r="N99" s="14">
        <f>IF('Données projet'!$A$36&gt;35,N98+M99-V98,IF(A99&lt;'Données projet'!$A$36,$K$205^A99,IF(A99='Données projet'!$A$36,'Données projet'!$B$36,N98+M99-V98)))</f>
        <v>283.39999999999992</v>
      </c>
      <c r="O99" s="14">
        <f>N99*VLOOKUP('Données projet'!$B$9,Paramètres!$A$1:$I$89,3,0)*VLOOKUP('Données projet'!$B$9,Paramètres!$A$1:$I$89,5,0)</f>
        <v>256.42031999999989</v>
      </c>
      <c r="P99" s="14">
        <f t="shared" si="87"/>
        <v>61.958720258016918</v>
      </c>
      <c r="Q99" s="22">
        <f t="shared" ref="Q99:Q130" si="107">(O99+P99)*0.475*44/12</f>
        <v>554.51016178271254</v>
      </c>
      <c r="R99" s="62">
        <f t="shared" si="55"/>
        <v>830.75921397909997</v>
      </c>
      <c r="S99" s="62">
        <f ca="1">AVERAGE(OFFSET($R$3,0,0,'Données projet'!$E$9+1,1))-AVERAGE(OFFSET($H$3,0,0,'Données projet'!$E$9+1,1))</f>
        <v>469.67944008675863</v>
      </c>
      <c r="T99" s="62">
        <f t="shared" si="88"/>
        <v>266.11908070867173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0</v>
      </c>
      <c r="AA99" s="23">
        <f>EXP(-LN(2)/25)*AA98+(1-EXP(-LN(2)/25))/(LN(2)/25)*Calculateur!V99*Calculateur!X99*VLOOKUP('Données projet'!$B$9,Paramètres!$A$1:$I$89,3,0)*0.475*44/12</f>
        <v>0</v>
      </c>
      <c r="AB99" s="23">
        <f>EXP(-LN(2)/2)*AB98+(1-EXP(-LN(2)/2))/(LN(2)/2)*V99*Y99*VLOOKUP('Données projet'!$B$9,Paramètres!$A$1:$I$89,3,0)*0.475*44/12</f>
        <v>0</v>
      </c>
      <c r="AC99" s="24">
        <f t="shared" si="57"/>
        <v>0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3.333333333333337</v>
      </c>
      <c r="AI99" s="14">
        <f>IF('Données projet'!$A$62&gt;35,AI98+AH99-AQ98,IF(A99&lt;'Données projet'!$A$62,$AF$205^A99,IF(A99='Données projet'!$A$62,'Données projet'!$B$62,AI98+AH99-AQ98)))</f>
        <v>220.64102564102552</v>
      </c>
      <c r="AJ99" s="14">
        <f>AI99*VLOOKUP('Données projet'!$B$10,Paramètres!$A$1:$I$89,3,0)*VLOOKUP('Données projet'!$B$10,Paramètres!$A$1:$I$89,5,0)</f>
        <v>209.9619999999999</v>
      </c>
      <c r="AK99" s="14">
        <f t="shared" si="89"/>
        <v>51.927281654776422</v>
      </c>
      <c r="AL99" s="22">
        <f t="shared" si="58"/>
        <v>456.12383221540205</v>
      </c>
      <c r="AM99" s="62">
        <f t="shared" si="59"/>
        <v>732.37288441178953</v>
      </c>
      <c r="AN99" s="62">
        <f ca="1">AVERAGE(OFFSET($AM$3,0,0,'Données projet'!$E$10+1,1))-AVERAGE(OFFSET($H$3,0,0,'Données projet'!$E$10+1,1))</f>
        <v>400.48230125343474</v>
      </c>
      <c r="AO99" s="62">
        <f t="shared" si="90"/>
        <v>275.67023303885048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0</v>
      </c>
      <c r="AV99" s="23">
        <f>EXP(-LN(2)/25)*AV98+(1-EXP(-LN(2)/25))/(LN(2)/25)*Calculateur!AQ99*Calculateur!AS99*VLOOKUP('Données projet'!$B$10,Paramètres!$A$1:$I$89,3,0)*0.475*44/12</f>
        <v>0</v>
      </c>
      <c r="AW99" s="23">
        <f>EXP(-LN(2)/2)*AW98+(1-EXP(-LN(2)/2))/(LN(2)/2)*AQ99*AT99*VLOOKUP('Données projet'!$B$10,Paramètres!$A$1:$I$89,3,0)*0.475*44/12</f>
        <v>0</v>
      </c>
      <c r="AX99" s="23">
        <f t="shared" si="60"/>
        <v>0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4.9000000000000004</v>
      </c>
      <c r="BD99" s="13">
        <f>IF('Données projet'!$A$88&gt;35,BD98+BC99-BL98,IF(A99&lt;'Données projet'!$A$88,$BA$205^A99,IF(A99='Données projet'!$A$88,'Données projet'!$B$88,BD98+BC99-BL98)))</f>
        <v>283.39999999999992</v>
      </c>
      <c r="BE99" s="14">
        <f>BD99*VLOOKUP('Données projet'!$B$11,Paramètres!$A$1:$I$89,3,0)*VLOOKUP('Données projet'!$B$11,Paramètres!$A$1:$I$89,5,0)</f>
        <v>274.10447999999991</v>
      </c>
      <c r="BF99" s="14">
        <f t="shared" si="91"/>
        <v>65.719577181765516</v>
      </c>
      <c r="BG99" s="22">
        <f t="shared" si="61"/>
        <v>591.86023292490802</v>
      </c>
      <c r="BH99" s="62">
        <f t="shared" si="62"/>
        <v>868.10928512129544</v>
      </c>
      <c r="BI99" s="62">
        <f ca="1">AVERAGE(OFFSET($BH$3,0,0,'Données projet'!$E$11+1,1))-AVERAGE(OFFSET($H$3,0,0,'Données projet'!$E$11+1,1))</f>
        <v>496.33873798282525</v>
      </c>
      <c r="BJ99" s="62">
        <f t="shared" si="92"/>
        <v>280.25465074992246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>
        <f>EXP(-LN(2)/35)*BP98+(1-EXP(-LN(2)/35))/(LN(2)/35)*BL99*BM99*VLOOKUP('Données projet'!$B$11,Paramètres!$A$1:$I$89,3,0)*0.475*44/12</f>
        <v>0</v>
      </c>
      <c r="BQ99" s="23">
        <f>EXP(-LN(2)/25)*BQ98+(1-EXP(-LN(2)/25))/(LN(2)/25)*Calculateur!BL99*Calculateur!BN99*VLOOKUP('Données projet'!$B$11,Paramètres!$A$1:$I$89,3,0)*0.475*44/12</f>
        <v>0</v>
      </c>
      <c r="BR99" s="23">
        <f>EXP(-LN(2)/2)*BR98+(1-EXP(-LN(2)/2))/(LN(2)/2)*BL99*BO99*VLOOKUP('Données projet'!$B$11,Paramètres!$A$1:$I$89,3,0)*0.475*44/12</f>
        <v>0</v>
      </c>
      <c r="BS99" s="24">
        <f t="shared" si="63"/>
        <v>0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-1.1368683772161603E-13</v>
      </c>
      <c r="BZ99" s="14">
        <f>BY99*VLOOKUP('Données projet'!$B$12,Paramètres!$A$1:$I$89,3,0)*VLOOKUP('Données projet'!$B$12,Paramètres!$A$1:$I$89,5,0)</f>
        <v>-9.9316821433603781E-14</v>
      </c>
      <c r="CA99" s="14" t="e">
        <f t="shared" si="93"/>
        <v>#NUM!</v>
      </c>
      <c r="CB99" s="22" t="e">
        <f t="shared" si="64"/>
        <v>#NUM!</v>
      </c>
      <c r="CC99" s="62" t="e">
        <f t="shared" si="65"/>
        <v>#NUM!</v>
      </c>
      <c r="CD99" s="62">
        <f ca="1">AVERAGE(OFFSET($CC$3,0,0,'Données projet'!$E$12+1,1))-AVERAGE(OFFSET($H$3,0,0,'Données projet'!$E$12+1,1))</f>
        <v>298.56812743477741</v>
      </c>
      <c r="CE99" s="62">
        <f t="shared" si="94"/>
        <v>276.01618888357268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>
        <f>EXP(-LN(2)/35)*CK98+(1-EXP(-LN(2)/35))/(LN(2)/35)*CG99*CH99*VLOOKUP('Données projet'!$B$12,Paramètres!$A$1:$I$89,3,0)*0.475*44/12</f>
        <v>0</v>
      </c>
      <c r="CL99" s="23">
        <f>EXP(-LN(2)/25)*CL98+(1-EXP(-LN(2)/25))/(LN(2)/25)*Calculateur!CG99*Calculateur!CI99*VLOOKUP('Données projet'!$B$12,Paramètres!$A$1:$I$89,3,0)*0.475*44/12</f>
        <v>0</v>
      </c>
      <c r="CM99" s="23">
        <f>EXP(-LN(2)/2)*CM98+(1-EXP(-LN(2)/2))/(LN(2)/2)*CG99*CJ99*VLOOKUP('Données projet'!$B$12,Paramètres!$A$1:$I$89,3,0)*0.475*44/12</f>
        <v>0</v>
      </c>
      <c r="CN99" s="24">
        <f t="shared" si="66"/>
        <v>0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3.5897435897435912</v>
      </c>
      <c r="CT99" s="13">
        <f>IF('Données projet'!$A$140&gt;35,CT98+CS99-DB98,IF(A99&lt;'Données projet'!$A$140,$CQ$205^A99,IF(A99='Données projet'!$A$140,'Données projet'!$B$140,CT98+CS99-DB98)))</f>
        <v>281.79487179487194</v>
      </c>
      <c r="CU99" s="18">
        <f>CT99*VLOOKUP('Données projet'!$B$13,Paramètres!$A$1:$I$89,3,0)*VLOOKUP('Données projet'!$B$13,Paramètres!$A$1:$I$89,5,0)</f>
        <v>189.02800000000011</v>
      </c>
      <c r="CV99" s="14">
        <f t="shared" si="95"/>
        <v>47.324993347023778</v>
      </c>
      <c r="CW99" s="22">
        <f t="shared" si="67"/>
        <v>411.64813007939989</v>
      </c>
      <c r="CX99" s="62">
        <f t="shared" si="68"/>
        <v>687.89718227578737</v>
      </c>
      <c r="CY99" s="62">
        <f ca="1">AVERAGE(OFFSET($CX$3,0,0,'Données projet'!$E$13+1,1))-AVERAGE(OFFSET($H$3,0,0,'Données projet'!$E$13+1,1))</f>
        <v>346.82725381974132</v>
      </c>
      <c r="CZ99" s="62">
        <f t="shared" si="96"/>
        <v>254.09787950201044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>
        <f>EXP(-LN(2)/35)*DF98+(1-EXP(-LN(2)/35))/(LN(2)/35)*DB99*DC99*VLOOKUP('Données projet'!$B$13,Paramètres!$A$1:$I$89,3,0)*0.475*44/12</f>
        <v>0</v>
      </c>
      <c r="DG99" s="23">
        <f>EXP(-LN(2)/25)*DG98+(1-EXP(-LN(2)/25))/(LN(2)/25)*Calculateur!DB99*Calculateur!DD99*VLOOKUP('Données projet'!$B$13,Paramètres!$A$1:$I$89,3,0)*0.475*44/12</f>
        <v>0</v>
      </c>
      <c r="DH99" s="23">
        <f>EXP(-LN(2)/2)*DH98+(1-EXP(-LN(2)/2))/(LN(2)/2)*DB99*DE99*VLOOKUP('Données projet'!$B$13,Paramètres!$A$1:$I$89,3,0)*0.475*44/12</f>
        <v>0</v>
      </c>
      <c r="DI99" s="24">
        <f t="shared" si="69"/>
        <v>0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5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2">
        <f t="shared" si="86"/>
        <v>0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18.333333333333332</v>
      </c>
      <c r="H100" s="70">
        <f t="shared" si="56"/>
        <v>183.33333333333334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4.9000000000000004</v>
      </c>
      <c r="N100" s="14">
        <f>IF('Données projet'!$A$36&gt;35,N99+M100-V99,IF(A100&lt;'Données projet'!$A$36,$K$205^A100,IF(A100='Données projet'!$A$36,'Données projet'!$B$36,N99+M100-V99)))</f>
        <v>288.2999999999999</v>
      </c>
      <c r="O100" s="14">
        <f>N100*VLOOKUP('Données projet'!$B$9,Paramètres!$A$1:$I$89,3,0)*VLOOKUP('Données projet'!$B$9,Paramètres!$A$1:$I$89,5,0)</f>
        <v>260.85383999999993</v>
      </c>
      <c r="P100" s="14">
        <f t="shared" si="87"/>
        <v>62.904347395903763</v>
      </c>
      <c r="Q100" s="22">
        <f t="shared" si="107"/>
        <v>563.87884304786564</v>
      </c>
      <c r="R100" s="62">
        <f t="shared" si="55"/>
        <v>840.42426932724845</v>
      </c>
      <c r="S100" s="62">
        <f ca="1">AVERAGE(OFFSET($R$3,0,0,'Données projet'!$E$9+1,1))-AVERAGE(OFFSET($H$3,0,0,'Données projet'!$E$9+1,1))</f>
        <v>469.67944008675863</v>
      </c>
      <c r="T100" s="62">
        <f t="shared" si="88"/>
        <v>266.11908070867173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0</v>
      </c>
      <c r="AA100" s="23">
        <f>EXP(-LN(2)/25)*AA99+(1-EXP(-LN(2)/25))/(LN(2)/25)*Calculateur!V100*Calculateur!X100*VLOOKUP('Données projet'!$B$9,Paramètres!$A$1:$I$89,3,0)*0.475*44/12</f>
        <v>0</v>
      </c>
      <c r="AB100" s="23">
        <f>EXP(-LN(2)/2)*AB99+(1-EXP(-LN(2)/2))/(LN(2)/2)*V100*Y100*VLOOKUP('Données projet'!$B$9,Paramètres!$A$1:$I$89,3,0)*0.475*44/12</f>
        <v>0</v>
      </c>
      <c r="AC100" s="24">
        <f t="shared" si="57"/>
        <v>0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3.333333333333337</v>
      </c>
      <c r="AI100" s="14">
        <f>IF('Données projet'!$A$62&gt;35,AI99+AH100-AQ99,IF(A100&lt;'Données projet'!$A$62,$AF$205^A100,IF(A100='Données projet'!$A$62,'Données projet'!$B$62,AI99+AH100-AQ99)))</f>
        <v>223.97435897435886</v>
      </c>
      <c r="AJ100" s="14">
        <f>AI100*VLOOKUP('Données projet'!$B$10,Paramètres!$A$1:$I$89,3,0)*VLOOKUP('Données projet'!$B$10,Paramètres!$A$1:$I$89,5,0)</f>
        <v>213.1339999999999</v>
      </c>
      <c r="AK100" s="14">
        <f t="shared" si="89"/>
        <v>52.619851982252698</v>
      </c>
      <c r="AL100" s="22">
        <f t="shared" si="58"/>
        <v>462.85462553575667</v>
      </c>
      <c r="AM100" s="62">
        <f t="shared" si="59"/>
        <v>739.40005181513948</v>
      </c>
      <c r="AN100" s="62">
        <f ca="1">AVERAGE(OFFSET($AM$3,0,0,'Données projet'!$E$10+1,1))-AVERAGE(OFFSET($H$3,0,0,'Données projet'!$E$10+1,1))</f>
        <v>400.48230125343474</v>
      </c>
      <c r="AO100" s="62">
        <f t="shared" si="90"/>
        <v>275.67023303885048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0</v>
      </c>
      <c r="AV100" s="23">
        <f>EXP(-LN(2)/25)*AV99+(1-EXP(-LN(2)/25))/(LN(2)/25)*Calculateur!AQ100*Calculateur!AS100*VLOOKUP('Données projet'!$B$10,Paramètres!$A$1:$I$89,3,0)*0.475*44/12</f>
        <v>0</v>
      </c>
      <c r="AW100" s="23">
        <f>EXP(-LN(2)/2)*AW99+(1-EXP(-LN(2)/2))/(LN(2)/2)*AQ100*AT100*VLOOKUP('Données projet'!$B$10,Paramètres!$A$1:$I$89,3,0)*0.475*44/12</f>
        <v>0</v>
      </c>
      <c r="AX100" s="23">
        <f t="shared" si="60"/>
        <v>0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4.9000000000000004</v>
      </c>
      <c r="BD100" s="13">
        <f>IF('Données projet'!$A$88&gt;35,BD99+BC100-BL99,IF(A100&lt;'Données projet'!$A$88,$BA$205^A100,IF(A100='Données projet'!$A$88,'Données projet'!$B$88,BD99+BC100-BL99)))</f>
        <v>288.2999999999999</v>
      </c>
      <c r="BE100" s="14">
        <f>BD100*VLOOKUP('Données projet'!$B$11,Paramètres!$A$1:$I$89,3,0)*VLOOKUP('Données projet'!$B$11,Paramètres!$A$1:$I$89,5,0)</f>
        <v>278.84375999999992</v>
      </c>
      <c r="BF100" s="14">
        <f t="shared" si="91"/>
        <v>66.722603316177725</v>
      </c>
      <c r="BG100" s="22">
        <f t="shared" si="61"/>
        <v>601.86141610900938</v>
      </c>
      <c r="BH100" s="62">
        <f t="shared" si="62"/>
        <v>878.40684238839219</v>
      </c>
      <c r="BI100" s="62">
        <f ca="1">AVERAGE(OFFSET($BH$3,0,0,'Données projet'!$E$11+1,1))-AVERAGE(OFFSET($H$3,0,0,'Données projet'!$E$11+1,1))</f>
        <v>496.33873798282525</v>
      </c>
      <c r="BJ100" s="62">
        <f t="shared" si="92"/>
        <v>280.25465074992246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>
        <f>EXP(-LN(2)/35)*BP99+(1-EXP(-LN(2)/35))/(LN(2)/35)*BL100*BM100*VLOOKUP('Données projet'!$B$11,Paramètres!$A$1:$I$89,3,0)*0.475*44/12</f>
        <v>0</v>
      </c>
      <c r="BQ100" s="23">
        <f>EXP(-LN(2)/25)*BQ99+(1-EXP(-LN(2)/25))/(LN(2)/25)*Calculateur!BL100*Calculateur!BN100*VLOOKUP('Données projet'!$B$11,Paramètres!$A$1:$I$89,3,0)*0.475*44/12</f>
        <v>0</v>
      </c>
      <c r="BR100" s="23">
        <f>EXP(-LN(2)/2)*BR99+(1-EXP(-LN(2)/2))/(LN(2)/2)*BL100*BO100*VLOOKUP('Données projet'!$B$11,Paramètres!$A$1:$I$89,3,0)*0.475*44/12</f>
        <v>0</v>
      </c>
      <c r="BS100" s="24">
        <f t="shared" si="63"/>
        <v>0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-1.1368683772161603E-13</v>
      </c>
      <c r="BZ100" s="14">
        <f>BY100*VLOOKUP('Données projet'!$B$12,Paramètres!$A$1:$I$89,3,0)*VLOOKUP('Données projet'!$B$12,Paramètres!$A$1:$I$89,5,0)</f>
        <v>-9.9316821433603781E-14</v>
      </c>
      <c r="CA100" s="14" t="e">
        <f t="shared" si="93"/>
        <v>#NUM!</v>
      </c>
      <c r="CB100" s="22" t="e">
        <f t="shared" si="64"/>
        <v>#NUM!</v>
      </c>
      <c r="CC100" s="62" t="e">
        <f t="shared" si="65"/>
        <v>#NUM!</v>
      </c>
      <c r="CD100" s="62">
        <f ca="1">AVERAGE(OFFSET($CC$3,0,0,'Données projet'!$E$12+1,1))-AVERAGE(OFFSET($H$3,0,0,'Données projet'!$E$12+1,1))</f>
        <v>298.56812743477741</v>
      </c>
      <c r="CE100" s="62">
        <f t="shared" si="94"/>
        <v>276.01618888357268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>
        <f>EXP(-LN(2)/35)*CK99+(1-EXP(-LN(2)/35))/(LN(2)/35)*CG100*CH100*VLOOKUP('Données projet'!$B$12,Paramètres!$A$1:$I$89,3,0)*0.475*44/12</f>
        <v>0</v>
      </c>
      <c r="CL100" s="23">
        <f>EXP(-LN(2)/25)*CL99+(1-EXP(-LN(2)/25))/(LN(2)/25)*Calculateur!CG100*Calculateur!CI100*VLOOKUP('Données projet'!$B$12,Paramètres!$A$1:$I$89,3,0)*0.475*44/12</f>
        <v>0</v>
      </c>
      <c r="CM100" s="23">
        <f>EXP(-LN(2)/2)*CM99+(1-EXP(-LN(2)/2))/(LN(2)/2)*CG100*CJ100*VLOOKUP('Données projet'!$B$12,Paramètres!$A$1:$I$89,3,0)*0.475*44/12</f>
        <v>0</v>
      </c>
      <c r="CN100" s="24">
        <f t="shared" si="66"/>
        <v>0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3.5897435897435912</v>
      </c>
      <c r="CT100" s="13">
        <f>IF('Données projet'!$A$140&gt;35,CT99+CS100-DB99,IF(A100&lt;'Données projet'!$A$140,$CQ$205^A100,IF(A100='Données projet'!$A$140,'Données projet'!$B$140,CT99+CS100-DB99)))</f>
        <v>285.38461538461553</v>
      </c>
      <c r="CU100" s="18">
        <f>CT100*VLOOKUP('Données projet'!$B$13,Paramètres!$A$1:$I$89,3,0)*VLOOKUP('Données projet'!$B$13,Paramètres!$A$1:$I$89,5,0)</f>
        <v>191.43600000000009</v>
      </c>
      <c r="CV100" s="14">
        <f t="shared" si="95"/>
        <v>47.857292804386063</v>
      </c>
      <c r="CW100" s="22">
        <f t="shared" si="67"/>
        <v>416.7691516343059</v>
      </c>
      <c r="CX100" s="62">
        <f t="shared" si="68"/>
        <v>693.31457791368871</v>
      </c>
      <c r="CY100" s="62">
        <f ca="1">AVERAGE(OFFSET($CX$3,0,0,'Données projet'!$E$13+1,1))-AVERAGE(OFFSET($H$3,0,0,'Données projet'!$E$13+1,1))</f>
        <v>346.82725381974132</v>
      </c>
      <c r="CZ100" s="62">
        <f t="shared" si="96"/>
        <v>254.09787950201044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>
        <f>EXP(-LN(2)/35)*DF99+(1-EXP(-LN(2)/35))/(LN(2)/35)*DB100*DC100*VLOOKUP('Données projet'!$B$13,Paramètres!$A$1:$I$89,3,0)*0.475*44/12</f>
        <v>0</v>
      </c>
      <c r="DG100" s="23">
        <f>EXP(-LN(2)/25)*DG99+(1-EXP(-LN(2)/25))/(LN(2)/25)*Calculateur!DB100*Calculateur!DD100*VLOOKUP('Données projet'!$B$13,Paramètres!$A$1:$I$89,3,0)*0.475*44/12</f>
        <v>0</v>
      </c>
      <c r="DH100" s="23">
        <f>EXP(-LN(2)/2)*DH99+(1-EXP(-LN(2)/2))/(LN(2)/2)*DB100*DE100*VLOOKUP('Données projet'!$B$13,Paramètres!$A$1:$I$89,3,0)*0.475*44/12</f>
        <v>0</v>
      </c>
      <c r="DI100" s="24">
        <f t="shared" si="69"/>
        <v>0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5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2">
        <f t="shared" si="86"/>
        <v>0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18.333333333333332</v>
      </c>
      <c r="H101" s="70">
        <f t="shared" si="56"/>
        <v>183.33333333333334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4.9000000000000004</v>
      </c>
      <c r="N101" s="14">
        <f>IF('Données projet'!$A$36&gt;35,N100+M101-V100,IF(A101&lt;'Données projet'!$A$36,$K$205^A101,IF(A101='Données projet'!$A$36,'Données projet'!$B$36,N100+M101-V100)))</f>
        <v>293.19999999999987</v>
      </c>
      <c r="O101" s="14">
        <f>N101*VLOOKUP('Données projet'!$B$9,Paramètres!$A$1:$I$89,3,0)*VLOOKUP('Données projet'!$B$9,Paramètres!$A$1:$I$89,5,0)</f>
        <v>265.28735999999992</v>
      </c>
      <c r="P101" s="14">
        <f t="shared" si="87"/>
        <v>63.84810550096995</v>
      </c>
      <c r="Q101" s="22">
        <f t="shared" si="107"/>
        <v>573.24426908085582</v>
      </c>
      <c r="R101" s="62">
        <f t="shared" si="55"/>
        <v>850.08092801548719</v>
      </c>
      <c r="S101" s="62">
        <f ca="1">AVERAGE(OFFSET($R$3,0,0,'Données projet'!$E$9+1,1))-AVERAGE(OFFSET($H$3,0,0,'Données projet'!$E$9+1,1))</f>
        <v>469.67944008675863</v>
      </c>
      <c r="T101" s="62">
        <f t="shared" si="88"/>
        <v>266.11908070867173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0</v>
      </c>
      <c r="AA101" s="23">
        <f>EXP(-LN(2)/25)*AA100+(1-EXP(-LN(2)/25))/(LN(2)/25)*Calculateur!V101*Calculateur!X101*VLOOKUP('Données projet'!$B$9,Paramètres!$A$1:$I$89,3,0)*0.475*44/12</f>
        <v>0</v>
      </c>
      <c r="AB101" s="23">
        <f>EXP(-LN(2)/2)*AB100+(1-EXP(-LN(2)/2))/(LN(2)/2)*V101*Y101*VLOOKUP('Données projet'!$B$9,Paramètres!$A$1:$I$89,3,0)*0.475*44/12</f>
        <v>0</v>
      </c>
      <c r="AC101" s="24">
        <f t="shared" si="57"/>
        <v>0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3.333333333333337</v>
      </c>
      <c r="AI101" s="14">
        <f>IF('Données projet'!$A$62&gt;35,AI100+AH101-AQ100,IF(A101&lt;'Données projet'!$A$62,$AF$205^A101,IF(A101='Données projet'!$A$62,'Données projet'!$B$62,AI100+AH101-AQ100)))</f>
        <v>227.30769230769221</v>
      </c>
      <c r="AJ101" s="14">
        <f>AI101*VLOOKUP('Données projet'!$B$10,Paramètres!$A$1:$I$89,3,0)*VLOOKUP('Données projet'!$B$10,Paramètres!$A$1:$I$89,5,0)</f>
        <v>216.3059999999999</v>
      </c>
      <c r="AK101" s="14">
        <f t="shared" si="89"/>
        <v>53.311223533459987</v>
      </c>
      <c r="AL101" s="22">
        <f t="shared" si="58"/>
        <v>469.58333098744265</v>
      </c>
      <c r="AM101" s="62">
        <f t="shared" si="59"/>
        <v>746.41998992207402</v>
      </c>
      <c r="AN101" s="62">
        <f ca="1">AVERAGE(OFFSET($AM$3,0,0,'Données projet'!$E$10+1,1))-AVERAGE(OFFSET($H$3,0,0,'Données projet'!$E$10+1,1))</f>
        <v>400.48230125343474</v>
      </c>
      <c r="AO101" s="62">
        <f t="shared" si="90"/>
        <v>275.67023303885048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0</v>
      </c>
      <c r="AV101" s="23">
        <f>EXP(-LN(2)/25)*AV100+(1-EXP(-LN(2)/25))/(LN(2)/25)*Calculateur!AQ101*Calculateur!AS101*VLOOKUP('Données projet'!$B$10,Paramètres!$A$1:$I$89,3,0)*0.475*44/12</f>
        <v>0</v>
      </c>
      <c r="AW101" s="23">
        <f>EXP(-LN(2)/2)*AW100+(1-EXP(-LN(2)/2))/(LN(2)/2)*AQ101*AT101*VLOOKUP('Données projet'!$B$10,Paramètres!$A$1:$I$89,3,0)*0.475*44/12</f>
        <v>0</v>
      </c>
      <c r="AX101" s="23">
        <f t="shared" si="60"/>
        <v>0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4.9000000000000004</v>
      </c>
      <c r="BD101" s="13">
        <f>IF('Données projet'!$A$88&gt;35,BD100+BC101-BL100,IF(A101&lt;'Données projet'!$A$88,$BA$205^A101,IF(A101='Données projet'!$A$88,'Données projet'!$B$88,BD100+BC101-BL100)))</f>
        <v>293.19999999999987</v>
      </c>
      <c r="BE101" s="14">
        <f>BD101*VLOOKUP('Données projet'!$B$11,Paramètres!$A$1:$I$89,3,0)*VLOOKUP('Données projet'!$B$11,Paramètres!$A$1:$I$89,5,0)</f>
        <v>283.58303999999993</v>
      </c>
      <c r="BF101" s="14">
        <f t="shared" si="91"/>
        <v>67.723646968605209</v>
      </c>
      <c r="BG101" s="22">
        <f t="shared" si="61"/>
        <v>611.85914647032064</v>
      </c>
      <c r="BH101" s="62">
        <f t="shared" si="62"/>
        <v>888.69580540495201</v>
      </c>
      <c r="BI101" s="62">
        <f ca="1">AVERAGE(OFFSET($BH$3,0,0,'Données projet'!$E$11+1,1))-AVERAGE(OFFSET($H$3,0,0,'Données projet'!$E$11+1,1))</f>
        <v>496.33873798282525</v>
      </c>
      <c r="BJ101" s="62">
        <f t="shared" si="92"/>
        <v>280.25465074992246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>
        <f>EXP(-LN(2)/35)*BP100+(1-EXP(-LN(2)/35))/(LN(2)/35)*BL101*BM101*VLOOKUP('Données projet'!$B$11,Paramètres!$A$1:$I$89,3,0)*0.475*44/12</f>
        <v>0</v>
      </c>
      <c r="BQ101" s="23">
        <f>EXP(-LN(2)/25)*BQ100+(1-EXP(-LN(2)/25))/(LN(2)/25)*Calculateur!BL101*Calculateur!BN101*VLOOKUP('Données projet'!$B$11,Paramètres!$A$1:$I$89,3,0)*0.475*44/12</f>
        <v>0</v>
      </c>
      <c r="BR101" s="23">
        <f>EXP(-LN(2)/2)*BR100+(1-EXP(-LN(2)/2))/(LN(2)/2)*BL101*BO101*VLOOKUP('Données projet'!$B$11,Paramètres!$A$1:$I$89,3,0)*0.475*44/12</f>
        <v>0</v>
      </c>
      <c r="BS101" s="24">
        <f t="shared" si="63"/>
        <v>0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-1.1368683772161603E-13</v>
      </c>
      <c r="BZ101" s="14">
        <f>BY101*VLOOKUP('Données projet'!$B$12,Paramètres!$A$1:$I$89,3,0)*VLOOKUP('Données projet'!$B$12,Paramètres!$A$1:$I$89,5,0)</f>
        <v>-9.9316821433603781E-14</v>
      </c>
      <c r="CA101" s="14" t="e">
        <f t="shared" si="93"/>
        <v>#NUM!</v>
      </c>
      <c r="CB101" s="22" t="e">
        <f t="shared" si="64"/>
        <v>#NUM!</v>
      </c>
      <c r="CC101" s="62" t="e">
        <f t="shared" si="65"/>
        <v>#NUM!</v>
      </c>
      <c r="CD101" s="62">
        <f ca="1">AVERAGE(OFFSET($CC$3,0,0,'Données projet'!$E$12+1,1))-AVERAGE(OFFSET($H$3,0,0,'Données projet'!$E$12+1,1))</f>
        <v>298.56812743477741</v>
      </c>
      <c r="CE101" s="62">
        <f t="shared" si="94"/>
        <v>276.01618888357268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>
        <f>EXP(-LN(2)/35)*CK100+(1-EXP(-LN(2)/35))/(LN(2)/35)*CG101*CH101*VLOOKUP('Données projet'!$B$12,Paramètres!$A$1:$I$89,3,0)*0.475*44/12</f>
        <v>0</v>
      </c>
      <c r="CL101" s="23">
        <f>EXP(-LN(2)/25)*CL100+(1-EXP(-LN(2)/25))/(LN(2)/25)*Calculateur!CG101*Calculateur!CI101*VLOOKUP('Données projet'!$B$12,Paramètres!$A$1:$I$89,3,0)*0.475*44/12</f>
        <v>0</v>
      </c>
      <c r="CM101" s="23">
        <f>EXP(-LN(2)/2)*CM100+(1-EXP(-LN(2)/2))/(LN(2)/2)*CG101*CJ101*VLOOKUP('Données projet'!$B$12,Paramètres!$A$1:$I$89,3,0)*0.475*44/12</f>
        <v>0</v>
      </c>
      <c r="CN101" s="24">
        <f t="shared" si="66"/>
        <v>0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3.5897435897435912</v>
      </c>
      <c r="CT101" s="13">
        <f>IF('Données projet'!$A$140&gt;35,CT100+CS101-DB100,IF(A101&lt;'Données projet'!$A$140,$CQ$205^A101,IF(A101='Données projet'!$A$140,'Données projet'!$B$140,CT100+CS101-DB100)))</f>
        <v>288.97435897435912</v>
      </c>
      <c r="CU101" s="18">
        <f>CT101*VLOOKUP('Données projet'!$B$13,Paramètres!$A$1:$I$89,3,0)*VLOOKUP('Données projet'!$B$13,Paramètres!$A$1:$I$89,5,0)</f>
        <v>193.84400000000008</v>
      </c>
      <c r="CV101" s="14">
        <f t="shared" si="95"/>
        <v>48.388813443554795</v>
      </c>
      <c r="CW101" s="22">
        <f t="shared" si="67"/>
        <v>421.88881674752474</v>
      </c>
      <c r="CX101" s="62">
        <f t="shared" si="68"/>
        <v>698.72547568215612</v>
      </c>
      <c r="CY101" s="62">
        <f ca="1">AVERAGE(OFFSET($CX$3,0,0,'Données projet'!$E$13+1,1))-AVERAGE(OFFSET($H$3,0,0,'Données projet'!$E$13+1,1))</f>
        <v>346.82725381974132</v>
      </c>
      <c r="CZ101" s="62">
        <f t="shared" si="96"/>
        <v>254.09787950201044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>
        <f>EXP(-LN(2)/35)*DF100+(1-EXP(-LN(2)/35))/(LN(2)/35)*DB101*DC101*VLOOKUP('Données projet'!$B$13,Paramètres!$A$1:$I$89,3,0)*0.475*44/12</f>
        <v>0</v>
      </c>
      <c r="DG101" s="23">
        <f>EXP(-LN(2)/25)*DG100+(1-EXP(-LN(2)/25))/(LN(2)/25)*Calculateur!DB101*Calculateur!DD101*VLOOKUP('Données projet'!$B$13,Paramètres!$A$1:$I$89,3,0)*0.475*44/12</f>
        <v>0</v>
      </c>
      <c r="DH101" s="23">
        <f>EXP(-LN(2)/2)*DH100+(1-EXP(-LN(2)/2))/(LN(2)/2)*DB101*DE101*VLOOKUP('Données projet'!$B$13,Paramètres!$A$1:$I$89,3,0)*0.475*44/12</f>
        <v>0</v>
      </c>
      <c r="DI101" s="24">
        <f t="shared" si="69"/>
        <v>0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5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2">
        <f t="shared" si="86"/>
        <v>0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18.333333333333332</v>
      </c>
      <c r="H102" s="70">
        <f t="shared" si="56"/>
        <v>183.33333333333334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4.9000000000000004</v>
      </c>
      <c r="N102" s="14">
        <f>IF('Données projet'!$A$36&gt;35,N101+M102-V101,IF(A102&lt;'Données projet'!$A$36,$K$205^A102,IF(A102='Données projet'!$A$36,'Données projet'!$B$36,N101+M102-V101)))</f>
        <v>298.09999999999985</v>
      </c>
      <c r="O102" s="14">
        <f>N102*VLOOKUP('Données projet'!$B$9,Paramètres!$A$1:$I$89,3,0)*VLOOKUP('Données projet'!$B$9,Paramètres!$A$1:$I$89,5,0)</f>
        <v>269.72087999999985</v>
      </c>
      <c r="P102" s="14">
        <f t="shared" si="87"/>
        <v>64.790029413946939</v>
      </c>
      <c r="Q102" s="22">
        <f t="shared" si="107"/>
        <v>582.60650056262409</v>
      </c>
      <c r="R102" s="62">
        <f t="shared" si="55"/>
        <v>859.72933991703417</v>
      </c>
      <c r="S102" s="62">
        <f ca="1">AVERAGE(OFFSET($R$3,0,0,'Données projet'!$E$9+1,1))-AVERAGE(OFFSET($H$3,0,0,'Données projet'!$E$9+1,1))</f>
        <v>469.67944008675863</v>
      </c>
      <c r="T102" s="62">
        <f t="shared" si="88"/>
        <v>266.11908070867173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0</v>
      </c>
      <c r="AA102" s="23">
        <f>EXP(-LN(2)/25)*AA101+(1-EXP(-LN(2)/25))/(LN(2)/25)*Calculateur!V102*Calculateur!X102*VLOOKUP('Données projet'!$B$9,Paramètres!$A$1:$I$89,3,0)*0.475*44/12</f>
        <v>0</v>
      </c>
      <c r="AB102" s="23">
        <f>EXP(-LN(2)/2)*AB101+(1-EXP(-LN(2)/2))/(LN(2)/2)*V102*Y102*VLOOKUP('Données projet'!$B$9,Paramètres!$A$1:$I$89,3,0)*0.475*44/12</f>
        <v>0</v>
      </c>
      <c r="AC102" s="24">
        <f t="shared" si="57"/>
        <v>0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3.333333333333337</v>
      </c>
      <c r="AI102" s="14">
        <f>IF('Données projet'!$A$62&gt;35,AI101+AH102-AQ101,IF(A102&lt;'Données projet'!$A$62,$AF$205^A102,IF(A102='Données projet'!$A$62,'Données projet'!$B$62,AI101+AH102-AQ101)))</f>
        <v>230.64102564102555</v>
      </c>
      <c r="AJ102" s="14">
        <f>AI102*VLOOKUP('Données projet'!$B$10,Paramètres!$A$1:$I$89,3,0)*VLOOKUP('Données projet'!$B$10,Paramètres!$A$1:$I$89,5,0)</f>
        <v>219.47799999999992</v>
      </c>
      <c r="AK102" s="14">
        <f t="shared" si="89"/>
        <v>54.001415918656583</v>
      </c>
      <c r="AL102" s="22">
        <f t="shared" si="58"/>
        <v>476.3099827249934</v>
      </c>
      <c r="AM102" s="62">
        <f t="shared" si="59"/>
        <v>753.43282207940354</v>
      </c>
      <c r="AN102" s="62">
        <f ca="1">AVERAGE(OFFSET($AM$3,0,0,'Données projet'!$E$10+1,1))-AVERAGE(OFFSET($H$3,0,0,'Données projet'!$E$10+1,1))</f>
        <v>400.48230125343474</v>
      </c>
      <c r="AO102" s="62">
        <f t="shared" si="90"/>
        <v>275.67023303885048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0</v>
      </c>
      <c r="AV102" s="23">
        <f>EXP(-LN(2)/25)*AV101+(1-EXP(-LN(2)/25))/(LN(2)/25)*Calculateur!AQ102*Calculateur!AS102*VLOOKUP('Données projet'!$B$10,Paramètres!$A$1:$I$89,3,0)*0.475*44/12</f>
        <v>0</v>
      </c>
      <c r="AW102" s="23">
        <f>EXP(-LN(2)/2)*AW101+(1-EXP(-LN(2)/2))/(LN(2)/2)*AQ102*AT102*VLOOKUP('Données projet'!$B$10,Paramètres!$A$1:$I$89,3,0)*0.475*44/12</f>
        <v>0</v>
      </c>
      <c r="AX102" s="23">
        <f t="shared" si="60"/>
        <v>0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4.9000000000000004</v>
      </c>
      <c r="BD102" s="13">
        <f>IF('Données projet'!$A$88&gt;35,BD101+BC102-BL101,IF(A102&lt;'Données projet'!$A$88,$BA$205^A102,IF(A102='Données projet'!$A$88,'Données projet'!$B$88,BD101+BC102-BL101)))</f>
        <v>298.09999999999985</v>
      </c>
      <c r="BE102" s="14">
        <f>BD102*VLOOKUP('Données projet'!$B$11,Paramètres!$A$1:$I$89,3,0)*VLOOKUP('Données projet'!$B$11,Paramètres!$A$1:$I$89,5,0)</f>
        <v>288.32231999999988</v>
      </c>
      <c r="BF102" s="14">
        <f t="shared" si="91"/>
        <v>68.722745094590621</v>
      </c>
      <c r="BG102" s="22">
        <f t="shared" si="61"/>
        <v>621.85348837307845</v>
      </c>
      <c r="BH102" s="62">
        <f t="shared" si="62"/>
        <v>898.97632772748852</v>
      </c>
      <c r="BI102" s="62">
        <f ca="1">AVERAGE(OFFSET($BH$3,0,0,'Données projet'!$E$11+1,1))-AVERAGE(OFFSET($H$3,0,0,'Données projet'!$E$11+1,1))</f>
        <v>496.33873798282525</v>
      </c>
      <c r="BJ102" s="62">
        <f t="shared" si="92"/>
        <v>280.25465074992246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>
        <f>EXP(-LN(2)/35)*BP101+(1-EXP(-LN(2)/35))/(LN(2)/35)*BL102*BM102*VLOOKUP('Données projet'!$B$11,Paramètres!$A$1:$I$89,3,0)*0.475*44/12</f>
        <v>0</v>
      </c>
      <c r="BQ102" s="23">
        <f>EXP(-LN(2)/25)*BQ101+(1-EXP(-LN(2)/25))/(LN(2)/25)*Calculateur!BL102*Calculateur!BN102*VLOOKUP('Données projet'!$B$11,Paramètres!$A$1:$I$89,3,0)*0.475*44/12</f>
        <v>0</v>
      </c>
      <c r="BR102" s="23">
        <f>EXP(-LN(2)/2)*BR101+(1-EXP(-LN(2)/2))/(LN(2)/2)*BL102*BO102*VLOOKUP('Données projet'!$B$11,Paramètres!$A$1:$I$89,3,0)*0.475*44/12</f>
        <v>0</v>
      </c>
      <c r="BS102" s="24">
        <f t="shared" si="63"/>
        <v>0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-1.1368683772161603E-13</v>
      </c>
      <c r="BZ102" s="14">
        <f>BY102*VLOOKUP('Données projet'!$B$12,Paramètres!$A$1:$I$89,3,0)*VLOOKUP('Données projet'!$B$12,Paramètres!$A$1:$I$89,5,0)</f>
        <v>-9.9316821433603781E-14</v>
      </c>
      <c r="CA102" s="14" t="e">
        <f t="shared" si="93"/>
        <v>#NUM!</v>
      </c>
      <c r="CB102" s="22" t="e">
        <f t="shared" si="64"/>
        <v>#NUM!</v>
      </c>
      <c r="CC102" s="62" t="e">
        <f t="shared" si="65"/>
        <v>#NUM!</v>
      </c>
      <c r="CD102" s="62">
        <f ca="1">AVERAGE(OFFSET($CC$3,0,0,'Données projet'!$E$12+1,1))-AVERAGE(OFFSET($H$3,0,0,'Données projet'!$E$12+1,1))</f>
        <v>298.56812743477741</v>
      </c>
      <c r="CE102" s="62">
        <f t="shared" si="94"/>
        <v>276.01618888357268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>
        <f>EXP(-LN(2)/35)*CK101+(1-EXP(-LN(2)/35))/(LN(2)/35)*CG102*CH102*VLOOKUP('Données projet'!$B$12,Paramètres!$A$1:$I$89,3,0)*0.475*44/12</f>
        <v>0</v>
      </c>
      <c r="CL102" s="23">
        <f>EXP(-LN(2)/25)*CL101+(1-EXP(-LN(2)/25))/(LN(2)/25)*Calculateur!CG102*Calculateur!CI102*VLOOKUP('Données projet'!$B$12,Paramètres!$A$1:$I$89,3,0)*0.475*44/12</f>
        <v>0</v>
      </c>
      <c r="CM102" s="23">
        <f>EXP(-LN(2)/2)*CM101+(1-EXP(-LN(2)/2))/(LN(2)/2)*CG102*CJ102*VLOOKUP('Données projet'!$B$12,Paramètres!$A$1:$I$89,3,0)*0.475*44/12</f>
        <v>0</v>
      </c>
      <c r="CN102" s="24">
        <f t="shared" si="66"/>
        <v>0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3.5897435897435912</v>
      </c>
      <c r="CT102" s="13">
        <f>IF('Données projet'!$A$140&gt;35,CT101+CS102-DB101,IF(A102&lt;'Données projet'!$A$140,$CQ$205^A102,IF(A102='Données projet'!$A$140,'Données projet'!$B$140,CT101+CS102-DB101)))</f>
        <v>292.56410256410271</v>
      </c>
      <c r="CU102" s="18">
        <f>CT102*VLOOKUP('Données projet'!$B$13,Paramètres!$A$1:$I$89,3,0)*VLOOKUP('Données projet'!$B$13,Paramètres!$A$1:$I$89,5,0)</f>
        <v>196.25200000000009</v>
      </c>
      <c r="CV102" s="14">
        <f t="shared" si="95"/>
        <v>48.919566058185353</v>
      </c>
      <c r="CW102" s="22">
        <f t="shared" si="67"/>
        <v>427.00714421800632</v>
      </c>
      <c r="CX102" s="62">
        <f t="shared" si="68"/>
        <v>704.12998357241645</v>
      </c>
      <c r="CY102" s="62">
        <f ca="1">AVERAGE(OFFSET($CX$3,0,0,'Données projet'!$E$13+1,1))-AVERAGE(OFFSET($H$3,0,0,'Données projet'!$E$13+1,1))</f>
        <v>346.82725381974132</v>
      </c>
      <c r="CZ102" s="62">
        <f t="shared" si="96"/>
        <v>254.09787950201044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>
        <f>EXP(-LN(2)/35)*DF101+(1-EXP(-LN(2)/35))/(LN(2)/35)*DB102*DC102*VLOOKUP('Données projet'!$B$13,Paramètres!$A$1:$I$89,3,0)*0.475*44/12</f>
        <v>0</v>
      </c>
      <c r="DG102" s="23">
        <f>EXP(-LN(2)/25)*DG101+(1-EXP(-LN(2)/25))/(LN(2)/25)*Calculateur!DB102*Calculateur!DD102*VLOOKUP('Données projet'!$B$13,Paramètres!$A$1:$I$89,3,0)*0.475*44/12</f>
        <v>0</v>
      </c>
      <c r="DH102" s="23">
        <f>EXP(-LN(2)/2)*DH101+(1-EXP(-LN(2)/2))/(LN(2)/2)*DB102*DE102*VLOOKUP('Données projet'!$B$13,Paramètres!$A$1:$I$89,3,0)*0.475*44/12</f>
        <v>0</v>
      </c>
      <c r="DI102" s="24">
        <f t="shared" si="69"/>
        <v>0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5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2">
        <f t="shared" si="86"/>
        <v>0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18.333333333333332</v>
      </c>
      <c r="H103" s="70">
        <f t="shared" si="56"/>
        <v>183.33333333333334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>
        <f>VLOOKUP(A103,'Données projet'!$A$35:$I$55,2,0)</f>
        <v>303</v>
      </c>
      <c r="L103" s="13">
        <f>VLOOKUP(A103,'Données projet'!$A$35:$I$55,9,0)</f>
        <v>4.9000000000000004</v>
      </c>
      <c r="M103" s="13">
        <f t="array" ref="M103">INDEX(L:L,MIN(IF(ISNUMBER(L103:L299),ROW(L103:L299),"")))</f>
        <v>4.9000000000000004</v>
      </c>
      <c r="N103" s="14">
        <f>IF('Données projet'!$A$36&gt;35,N102+M103-V102,IF(A103&lt;'Données projet'!$A$36,$K$205^A103,IF(A103='Données projet'!$A$36,'Données projet'!$B$36,N102+M103-V102)))</f>
        <v>302.99999999999983</v>
      </c>
      <c r="O103" s="14">
        <f>N103*VLOOKUP('Données projet'!$B$9,Paramètres!$A$1:$I$89,3,0)*VLOOKUP('Données projet'!$B$9,Paramètres!$A$1:$I$89,5,0)</f>
        <v>274.15439999999984</v>
      </c>
      <c r="P103" s="14">
        <f t="shared" si="87"/>
        <v>65.730152764515779</v>
      </c>
      <c r="Q103" s="22">
        <f t="shared" si="107"/>
        <v>591.9655960648646</v>
      </c>
      <c r="R103" s="62">
        <f t="shared" si="55"/>
        <v>869.36965124857375</v>
      </c>
      <c r="S103" s="62">
        <f ca="1">AVERAGE(OFFSET($R$3,0,0,'Données projet'!$E$9+1,1))-AVERAGE(OFFSET($H$3,0,0,'Données projet'!$E$9+1,1))</f>
        <v>469.67944008675863</v>
      </c>
      <c r="T103" s="62">
        <f t="shared" si="88"/>
        <v>266.11908070867173</v>
      </c>
      <c r="U103" s="16">
        <f>IF(ISNA(VLOOKUP(A103,'Données projet'!$A$35:$I$55,3,0)),0,VLOOKUP(A103,'Données projet'!$A$35:$I$55,3,0))</f>
        <v>8</v>
      </c>
      <c r="V103" s="16">
        <f>IF(ISNA(VLOOKUP(A103,'Données projet'!$A$35:$I$55,4,0)),0,VLOOKUP(A103,'Données projet'!$A$35:$I$55,4,0))</f>
        <v>42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0</v>
      </c>
      <c r="AA103" s="23">
        <f>EXP(-LN(2)/25)*AA102+(1-EXP(-LN(2)/25))/(LN(2)/25)*Calculateur!V103*Calculateur!X103*VLOOKUP('Données projet'!$B$9,Paramètres!$A$1:$I$89,3,0)*0.475*44/12</f>
        <v>0</v>
      </c>
      <c r="AB103" s="23">
        <f>EXP(-LN(2)/2)*AB102+(1-EXP(-LN(2)/2))/(LN(2)/2)*V103*Y103*VLOOKUP('Données projet'!$B$9,Paramètres!$A$1:$I$89,3,0)*0.475*44/12</f>
        <v>0</v>
      </c>
      <c r="AC103" s="24">
        <f t="shared" si="57"/>
        <v>0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>
        <f>VLOOKUP(A103,'Données projet'!$A$61:$I$81,2,0)</f>
        <v>233.97435897435898</v>
      </c>
      <c r="AG103" s="13">
        <f>VLOOKUP(A103,'Données projet'!$A$61:$I$81,9,0)</f>
        <v>3.333333333333337</v>
      </c>
      <c r="AH103" s="13">
        <f t="array" ref="AH103">INDEX(AG:AG,MIN(IF(ISNUMBER(AG103:AG299),ROW(AG103:AG299),"")))</f>
        <v>3.333333333333337</v>
      </c>
      <c r="AI103" s="14">
        <f>IF('Données projet'!$A$62&gt;35,AI102+AH103-AQ102,IF(A103&lt;'Données projet'!$A$62,$AF$205^A103,IF(A103='Données projet'!$A$62,'Données projet'!$B$62,AI102+AH103-AQ102)))</f>
        <v>233.97435897435889</v>
      </c>
      <c r="AJ103" s="14">
        <f>AI103*VLOOKUP('Données projet'!$B$10,Paramètres!$A$1:$I$89,3,0)*VLOOKUP('Données projet'!$B$10,Paramètres!$A$1:$I$89,5,0)</f>
        <v>222.64999999999992</v>
      </c>
      <c r="AK103" s="14">
        <f t="shared" si="89"/>
        <v>54.690448148719405</v>
      </c>
      <c r="AL103" s="22">
        <f t="shared" si="58"/>
        <v>483.03461385901943</v>
      </c>
      <c r="AM103" s="62">
        <f t="shared" si="59"/>
        <v>760.43866904272863</v>
      </c>
      <c r="AN103" s="62">
        <f ca="1">AVERAGE(OFFSET($AM$3,0,0,'Données projet'!$E$10+1,1))-AVERAGE(OFFSET($H$3,0,0,'Données projet'!$E$10+1,1))</f>
        <v>400.48230125343474</v>
      </c>
      <c r="AO103" s="62">
        <f t="shared" si="90"/>
        <v>275.67023303885048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0</v>
      </c>
      <c r="AV103" s="23">
        <f>EXP(-LN(2)/25)*AV102+(1-EXP(-LN(2)/25))/(LN(2)/25)*Calculateur!AQ103*Calculateur!AS103*VLOOKUP('Données projet'!$B$10,Paramètres!$A$1:$I$89,3,0)*0.475*44/12</f>
        <v>0</v>
      </c>
      <c r="AW103" s="23">
        <f>EXP(-LN(2)/2)*AW102+(1-EXP(-LN(2)/2))/(LN(2)/2)*AQ103*AT103*VLOOKUP('Données projet'!$B$10,Paramètres!$A$1:$I$89,3,0)*0.475*44/12</f>
        <v>0</v>
      </c>
      <c r="AX103" s="23">
        <f t="shared" si="60"/>
        <v>0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>
        <f>VLOOKUP(A103,'Données projet'!$A$87:$I$107,2,0)</f>
        <v>303</v>
      </c>
      <c r="BB103" s="13">
        <f>VLOOKUP(A103,'Données projet'!$A$87:$I$107,9,0)</f>
        <v>4.9000000000000004</v>
      </c>
      <c r="BC103" s="13">
        <f t="array" ref="BC103">INDEX(BB:BB,MIN(IF(ISNUMBER(BB103:BB299),ROW(BB103:BB299),"")))</f>
        <v>4.9000000000000004</v>
      </c>
      <c r="BD103" s="13">
        <f>IF('Données projet'!$A$88&gt;35,BD102+BC103-BL102,IF(A103&lt;'Données projet'!$A$88,$BA$205^A103,IF(A103='Données projet'!$A$88,'Données projet'!$B$88,BD102+BC103-BL102)))</f>
        <v>302.99999999999983</v>
      </c>
      <c r="BE103" s="14">
        <f>BD103*VLOOKUP('Données projet'!$B$11,Paramètres!$A$1:$I$89,3,0)*VLOOKUP('Données projet'!$B$11,Paramètres!$A$1:$I$89,5,0)</f>
        <v>293.06159999999983</v>
      </c>
      <c r="BF103" s="14">
        <f t="shared" si="91"/>
        <v>69.719933365116546</v>
      </c>
      <c r="BG103" s="22">
        <f t="shared" si="61"/>
        <v>631.84450394424437</v>
      </c>
      <c r="BH103" s="62">
        <f t="shared" si="62"/>
        <v>909.24855912795351</v>
      </c>
      <c r="BI103" s="62">
        <f ca="1">AVERAGE(OFFSET($BH$3,0,0,'Données projet'!$E$11+1,1))-AVERAGE(OFFSET($H$3,0,0,'Données projet'!$E$11+1,1))</f>
        <v>496.33873798282525</v>
      </c>
      <c r="BJ103" s="62">
        <f t="shared" si="92"/>
        <v>280.25465074992246</v>
      </c>
      <c r="BK103" s="16">
        <f>IF(ISNA(VLOOKUP(A103,'Données projet'!$A$87:$I$107,3,0)),0,VLOOKUP(A103,'Données projet'!$A$87:$I$107,3,0))</f>
        <v>8</v>
      </c>
      <c r="BL103" s="16">
        <f>IF(ISNA(VLOOKUP(A103,'Données projet'!$A$87:$I$107,4,0)),0,VLOOKUP(A103,'Données projet'!$A$87:$I$107,4,0))</f>
        <v>42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>
        <f>EXP(-LN(2)/35)*BP102+(1-EXP(-LN(2)/35))/(LN(2)/35)*BL103*BM103*VLOOKUP('Données projet'!$B$11,Paramètres!$A$1:$I$89,3,0)*0.475*44/12</f>
        <v>0</v>
      </c>
      <c r="BQ103" s="23">
        <f>EXP(-LN(2)/25)*BQ102+(1-EXP(-LN(2)/25))/(LN(2)/25)*Calculateur!BL103*Calculateur!BN103*VLOOKUP('Données projet'!$B$11,Paramètres!$A$1:$I$89,3,0)*0.475*44/12</f>
        <v>0</v>
      </c>
      <c r="BR103" s="23">
        <f>EXP(-LN(2)/2)*BR102+(1-EXP(-LN(2)/2))/(LN(2)/2)*BL103*BO103*VLOOKUP('Données projet'!$B$11,Paramètres!$A$1:$I$89,3,0)*0.475*44/12</f>
        <v>0</v>
      </c>
      <c r="BS103" s="24">
        <f t="shared" si="63"/>
        <v>0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-1.1368683772161603E-13</v>
      </c>
      <c r="BZ103" s="14">
        <f>BY103*VLOOKUP('Données projet'!$B$12,Paramètres!$A$1:$I$89,3,0)*VLOOKUP('Données projet'!$B$12,Paramètres!$A$1:$I$89,5,0)</f>
        <v>-9.9316821433603781E-14</v>
      </c>
      <c r="CA103" s="14" t="e">
        <f t="shared" si="93"/>
        <v>#NUM!</v>
      </c>
      <c r="CB103" s="22" t="e">
        <f t="shared" si="64"/>
        <v>#NUM!</v>
      </c>
      <c r="CC103" s="62" t="e">
        <f t="shared" si="65"/>
        <v>#NUM!</v>
      </c>
      <c r="CD103" s="62">
        <f ca="1">AVERAGE(OFFSET($CC$3,0,0,'Données projet'!$E$12+1,1))-AVERAGE(OFFSET($H$3,0,0,'Données projet'!$E$12+1,1))</f>
        <v>298.56812743477741</v>
      </c>
      <c r="CE103" s="62">
        <f t="shared" si="94"/>
        <v>276.01618888357268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>
        <f>EXP(-LN(2)/35)*CK102+(1-EXP(-LN(2)/35))/(LN(2)/35)*CG103*CH103*VLOOKUP('Données projet'!$B$12,Paramètres!$A$1:$I$89,3,0)*0.475*44/12</f>
        <v>0</v>
      </c>
      <c r="CL103" s="23">
        <f>EXP(-LN(2)/25)*CL102+(1-EXP(-LN(2)/25))/(LN(2)/25)*Calculateur!CG103*Calculateur!CI103*VLOOKUP('Données projet'!$B$12,Paramètres!$A$1:$I$89,3,0)*0.475*44/12</f>
        <v>0</v>
      </c>
      <c r="CM103" s="23">
        <f>EXP(-LN(2)/2)*CM102+(1-EXP(-LN(2)/2))/(LN(2)/2)*CG103*CJ103*VLOOKUP('Données projet'!$B$12,Paramètres!$A$1:$I$89,3,0)*0.475*44/12</f>
        <v>0</v>
      </c>
      <c r="CN103" s="24">
        <f t="shared" si="66"/>
        <v>0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>
        <f>VLOOKUP(A103,'Données projet'!$A$139:$I$159,2,0)</f>
        <v>296.15384615384613</v>
      </c>
      <c r="CR103" s="13">
        <f>VLOOKUP(A103,'Données projet'!$A$139:$I$159,9,0)</f>
        <v>3.5897435897435912</v>
      </c>
      <c r="CS103" s="13">
        <f t="array" ref="CS103">INDEX(CR:CR,MIN(IF(ISNUMBER(CR103:CR299),ROW(CR103:CR299),"")))</f>
        <v>3.5897435897435912</v>
      </c>
      <c r="CT103" s="13">
        <f>IF('Données projet'!$A$140&gt;35,CT102+CS103-DB102,IF(A103&lt;'Données projet'!$A$140,$CQ$205^A103,IF(A103='Données projet'!$A$140,'Données projet'!$B$140,CT102+CS103-DB102)))</f>
        <v>296.1538461538463</v>
      </c>
      <c r="CU103" s="18">
        <f>CT103*VLOOKUP('Données projet'!$B$13,Paramètres!$A$1:$I$89,3,0)*VLOOKUP('Données projet'!$B$13,Paramètres!$A$1:$I$89,5,0)</f>
        <v>198.66000000000011</v>
      </c>
      <c r="CV103" s="14">
        <f t="shared" si="95"/>
        <v>49.449561161821755</v>
      </c>
      <c r="CW103" s="22">
        <f t="shared" si="67"/>
        <v>432.12415235683972</v>
      </c>
      <c r="CX103" s="62">
        <f t="shared" si="68"/>
        <v>709.52820754054892</v>
      </c>
      <c r="CY103" s="62">
        <f ca="1">AVERAGE(OFFSET($CX$3,0,0,'Données projet'!$E$13+1,1))-AVERAGE(OFFSET($H$3,0,0,'Données projet'!$E$13+1,1))</f>
        <v>346.82725381974132</v>
      </c>
      <c r="CZ103" s="62">
        <f t="shared" si="96"/>
        <v>254.09787950201044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>
        <f>EXP(-LN(2)/35)*DF102+(1-EXP(-LN(2)/35))/(LN(2)/35)*DB103*DC103*VLOOKUP('Données projet'!$B$13,Paramètres!$A$1:$I$89,3,0)*0.475*44/12</f>
        <v>0</v>
      </c>
      <c r="DG103" s="23">
        <f>EXP(-LN(2)/25)*DG102+(1-EXP(-LN(2)/25))/(LN(2)/25)*Calculateur!DB103*Calculateur!DD103*VLOOKUP('Données projet'!$B$13,Paramètres!$A$1:$I$89,3,0)*0.475*44/12</f>
        <v>0</v>
      </c>
      <c r="DH103" s="23">
        <f>EXP(-LN(2)/2)*DH102+(1-EXP(-LN(2)/2))/(LN(2)/2)*DB103*DE103*VLOOKUP('Données projet'!$B$13,Paramètres!$A$1:$I$89,3,0)*0.475*44/12</f>
        <v>0</v>
      </c>
      <c r="DI103" s="24">
        <f t="shared" si="69"/>
        <v>0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5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2">
        <f t="shared" si="86"/>
        <v>0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18.333333333333332</v>
      </c>
      <c r="H104" s="70">
        <f t="shared" si="56"/>
        <v>183.33333333333334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4.4000000000000004</v>
      </c>
      <c r="N104" s="14">
        <f>IF('Données projet'!$A$36&gt;35,N103+M104-V103,IF(A104&lt;'Données projet'!$A$36,$K$205^A104,IF(A104='Données projet'!$A$36,'Données projet'!$B$36,N103+M104-V103)))</f>
        <v>265.39999999999981</v>
      </c>
      <c r="O104" s="14">
        <f>N104*VLOOKUP('Données projet'!$B$9,Paramètres!$A$1:$I$89,3,0)*VLOOKUP('Données projet'!$B$9,Paramètres!$A$1:$I$89,5,0)</f>
        <v>240.13391999999982</v>
      </c>
      <c r="P104" s="14">
        <f t="shared" si="87"/>
        <v>58.468343087048559</v>
      </c>
      <c r="Q104" s="22">
        <f t="shared" si="107"/>
        <v>520.06560820994252</v>
      </c>
      <c r="R104" s="62">
        <f t="shared" si="55"/>
        <v>797.74600075701687</v>
      </c>
      <c r="S104" s="62">
        <f ca="1">AVERAGE(OFFSET($R$3,0,0,'Données projet'!$E$9+1,1))-AVERAGE(OFFSET($H$3,0,0,'Données projet'!$E$9+1,1))</f>
        <v>469.67944008675863</v>
      </c>
      <c r="T104" s="62">
        <f t="shared" si="88"/>
        <v>266.11908070867173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0</v>
      </c>
      <c r="AA104" s="23">
        <f>EXP(-LN(2)/25)*AA103+(1-EXP(-LN(2)/25))/(LN(2)/25)*Calculateur!V104*Calculateur!X104*VLOOKUP('Données projet'!$B$9,Paramètres!$A$1:$I$89,3,0)*0.475*44/12</f>
        <v>0</v>
      </c>
      <c r="AB104" s="23">
        <f>EXP(-LN(2)/2)*AB103+(1-EXP(-LN(2)/2))/(LN(2)/2)*V104*Y104*VLOOKUP('Données projet'!$B$9,Paramètres!$A$1:$I$89,3,0)*0.475*44/12</f>
        <v>0</v>
      </c>
      <c r="AC104" s="24">
        <f t="shared" si="57"/>
        <v>0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3.0769230769230718</v>
      </c>
      <c r="AI104" s="14">
        <f>IF('Données projet'!$A$62&gt;35,AI103+AH104-AQ103,IF(A104&lt;'Données projet'!$A$62,$AF$205^A104,IF(A104='Données projet'!$A$62,'Données projet'!$B$62,AI103+AH104-AQ103)))</f>
        <v>237.05128205128196</v>
      </c>
      <c r="AJ104" s="14">
        <f>AI104*VLOOKUP('Données projet'!$B$10,Paramètres!$A$1:$I$89,3,0)*VLOOKUP('Données projet'!$B$10,Paramètres!$A$1:$I$89,5,0)</f>
        <v>225.57799999999992</v>
      </c>
      <c r="AK104" s="14">
        <f t="shared" si="89"/>
        <v>55.325464130798579</v>
      </c>
      <c r="AL104" s="22">
        <f t="shared" si="58"/>
        <v>489.24020002780748</v>
      </c>
      <c r="AM104" s="62">
        <f t="shared" si="59"/>
        <v>766.92059257488188</v>
      </c>
      <c r="AN104" s="62">
        <f ca="1">AVERAGE(OFFSET($AM$3,0,0,'Données projet'!$E$10+1,1))-AVERAGE(OFFSET($H$3,0,0,'Données projet'!$E$10+1,1))</f>
        <v>400.48230125343474</v>
      </c>
      <c r="AO104" s="62">
        <f t="shared" si="90"/>
        <v>275.67023303885048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0</v>
      </c>
      <c r="AV104" s="23">
        <f>EXP(-LN(2)/25)*AV103+(1-EXP(-LN(2)/25))/(LN(2)/25)*Calculateur!AQ104*Calculateur!AS104*VLOOKUP('Données projet'!$B$10,Paramètres!$A$1:$I$89,3,0)*0.475*44/12</f>
        <v>0</v>
      </c>
      <c r="AW104" s="23">
        <f>EXP(-LN(2)/2)*AW103+(1-EXP(-LN(2)/2))/(LN(2)/2)*AQ104*AT104*VLOOKUP('Données projet'!$B$10,Paramètres!$A$1:$I$89,3,0)*0.475*44/12</f>
        <v>0</v>
      </c>
      <c r="AX104" s="23">
        <f t="shared" si="60"/>
        <v>0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4.4000000000000004</v>
      </c>
      <c r="BD104" s="13">
        <f>IF('Données projet'!$A$88&gt;35,BD103+BC104-BL103,IF(A104&lt;'Données projet'!$A$88,$BA$205^A104,IF(A104='Données projet'!$A$88,'Données projet'!$B$88,BD103+BC104-BL103)))</f>
        <v>265.39999999999981</v>
      </c>
      <c r="BE104" s="14">
        <f>BD104*VLOOKUP('Données projet'!$B$11,Paramètres!$A$1:$I$89,3,0)*VLOOKUP('Données projet'!$B$11,Paramètres!$A$1:$I$89,5,0)</f>
        <v>256.69487999999984</v>
      </c>
      <c r="BF104" s="14">
        <f t="shared" si="91"/>
        <v>62.017336223177502</v>
      </c>
      <c r="BG104" s="22">
        <f t="shared" si="61"/>
        <v>555.09044325536718</v>
      </c>
      <c r="BH104" s="62">
        <f t="shared" si="62"/>
        <v>832.77083580244152</v>
      </c>
      <c r="BI104" s="62">
        <f ca="1">AVERAGE(OFFSET($BH$3,0,0,'Données projet'!$E$11+1,1))-AVERAGE(OFFSET($H$3,0,0,'Données projet'!$E$11+1,1))</f>
        <v>496.33873798282525</v>
      </c>
      <c r="BJ104" s="62">
        <f t="shared" si="92"/>
        <v>280.25465074992246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>
        <f>EXP(-LN(2)/35)*BP103+(1-EXP(-LN(2)/35))/(LN(2)/35)*BL104*BM104*VLOOKUP('Données projet'!$B$11,Paramètres!$A$1:$I$89,3,0)*0.475*44/12</f>
        <v>0</v>
      </c>
      <c r="BQ104" s="23">
        <f>EXP(-LN(2)/25)*BQ103+(1-EXP(-LN(2)/25))/(LN(2)/25)*Calculateur!BL104*Calculateur!BN104*VLOOKUP('Données projet'!$B$11,Paramètres!$A$1:$I$89,3,0)*0.475*44/12</f>
        <v>0</v>
      </c>
      <c r="BR104" s="23">
        <f>EXP(-LN(2)/2)*BR103+(1-EXP(-LN(2)/2))/(LN(2)/2)*BL104*BO104*VLOOKUP('Données projet'!$B$11,Paramètres!$A$1:$I$89,3,0)*0.475*44/12</f>
        <v>0</v>
      </c>
      <c r="BS104" s="24">
        <f t="shared" si="63"/>
        <v>0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-1.1368683772161603E-13</v>
      </c>
      <c r="BZ104" s="14">
        <f>BY104*VLOOKUP('Données projet'!$B$12,Paramètres!$A$1:$I$89,3,0)*VLOOKUP('Données projet'!$B$12,Paramètres!$A$1:$I$89,5,0)</f>
        <v>-9.9316821433603781E-14</v>
      </c>
      <c r="CA104" s="14" t="e">
        <f t="shared" si="93"/>
        <v>#NUM!</v>
      </c>
      <c r="CB104" s="22" t="e">
        <f t="shared" si="64"/>
        <v>#NUM!</v>
      </c>
      <c r="CC104" s="62" t="e">
        <f t="shared" si="65"/>
        <v>#NUM!</v>
      </c>
      <c r="CD104" s="62">
        <f ca="1">AVERAGE(OFFSET($CC$3,0,0,'Données projet'!$E$12+1,1))-AVERAGE(OFFSET($H$3,0,0,'Données projet'!$E$12+1,1))</f>
        <v>298.56812743477741</v>
      </c>
      <c r="CE104" s="62">
        <f t="shared" si="94"/>
        <v>276.01618888357268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>
        <f>EXP(-LN(2)/35)*CK103+(1-EXP(-LN(2)/35))/(LN(2)/35)*CG104*CH104*VLOOKUP('Données projet'!$B$12,Paramètres!$A$1:$I$89,3,0)*0.475*44/12</f>
        <v>0</v>
      </c>
      <c r="CL104" s="23">
        <f>EXP(-LN(2)/25)*CL103+(1-EXP(-LN(2)/25))/(LN(2)/25)*Calculateur!CG104*Calculateur!CI104*VLOOKUP('Données projet'!$B$12,Paramètres!$A$1:$I$89,3,0)*0.475*44/12</f>
        <v>0</v>
      </c>
      <c r="CM104" s="23">
        <f>EXP(-LN(2)/2)*CM103+(1-EXP(-LN(2)/2))/(LN(2)/2)*CG104*CJ104*VLOOKUP('Données projet'!$B$12,Paramètres!$A$1:$I$89,3,0)*0.475*44/12</f>
        <v>0</v>
      </c>
      <c r="CN104" s="24">
        <f t="shared" si="66"/>
        <v>0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3.2051282051282102</v>
      </c>
      <c r="CT104" s="13">
        <f>IF('Données projet'!$A$140&gt;35,CT103+CS104-DB103,IF(A104&lt;'Données projet'!$A$140,$CQ$205^A104,IF(A104='Données projet'!$A$140,'Données projet'!$B$140,CT103+CS104-DB103)))</f>
        <v>299.35897435897454</v>
      </c>
      <c r="CU104" s="18">
        <f>CT104*VLOOKUP('Données projet'!$B$13,Paramètres!$A$1:$I$89,3,0)*VLOOKUP('Données projet'!$B$13,Paramètres!$A$1:$I$89,5,0)</f>
        <v>200.81000000000009</v>
      </c>
      <c r="CV104" s="14">
        <f t="shared" si="95"/>
        <v>49.922139312667404</v>
      </c>
      <c r="CW104" s="22">
        <f t="shared" si="67"/>
        <v>436.69180930289593</v>
      </c>
      <c r="CX104" s="62">
        <f t="shared" si="68"/>
        <v>714.37220184997034</v>
      </c>
      <c r="CY104" s="62">
        <f ca="1">AVERAGE(OFFSET($CX$3,0,0,'Données projet'!$E$13+1,1))-AVERAGE(OFFSET($H$3,0,0,'Données projet'!$E$13+1,1))</f>
        <v>346.82725381974132</v>
      </c>
      <c r="CZ104" s="62">
        <f t="shared" si="96"/>
        <v>254.09787950201044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>
        <f>EXP(-LN(2)/35)*DF103+(1-EXP(-LN(2)/35))/(LN(2)/35)*DB104*DC104*VLOOKUP('Données projet'!$B$13,Paramètres!$A$1:$I$89,3,0)*0.475*44/12</f>
        <v>0</v>
      </c>
      <c r="DG104" s="23">
        <f>EXP(-LN(2)/25)*DG103+(1-EXP(-LN(2)/25))/(LN(2)/25)*Calculateur!DB104*Calculateur!DD104*VLOOKUP('Données projet'!$B$13,Paramètres!$A$1:$I$89,3,0)*0.475*44/12</f>
        <v>0</v>
      </c>
      <c r="DH104" s="23">
        <f>EXP(-LN(2)/2)*DH103+(1-EXP(-LN(2)/2))/(LN(2)/2)*DB104*DE104*VLOOKUP('Données projet'!$B$13,Paramètres!$A$1:$I$89,3,0)*0.475*44/12</f>
        <v>0</v>
      </c>
      <c r="DI104" s="24">
        <f t="shared" si="69"/>
        <v>0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5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2">
        <f t="shared" si="86"/>
        <v>0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18.333333333333332</v>
      </c>
      <c r="H105" s="70">
        <f t="shared" si="56"/>
        <v>183.33333333333334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4.4000000000000004</v>
      </c>
      <c r="N105" s="14">
        <f>IF('Données projet'!$A$36&gt;35,N104+M105-V104,IF(A105&lt;'Données projet'!$A$36,$K$205^A105,IF(A105='Données projet'!$A$36,'Données projet'!$B$36,N104+M105-V104)))</f>
        <v>269.79999999999978</v>
      </c>
      <c r="O105" s="14">
        <f>N105*VLOOKUP('Données projet'!$B$9,Paramètres!$A$1:$I$89,3,0)*VLOOKUP('Données projet'!$B$9,Paramètres!$A$1:$I$89,5,0)</f>
        <v>244.11503999999979</v>
      </c>
      <c r="P105" s="14">
        <f t="shared" si="87"/>
        <v>59.324023461759012</v>
      </c>
      <c r="Q105" s="22">
        <f t="shared" si="107"/>
        <v>528.48970219589648</v>
      </c>
      <c r="R105" s="62">
        <f t="shared" si="55"/>
        <v>806.44163827087937</v>
      </c>
      <c r="S105" s="62">
        <f ca="1">AVERAGE(OFFSET($R$3,0,0,'Données projet'!$E$9+1,1))-AVERAGE(OFFSET($H$3,0,0,'Données projet'!$E$9+1,1))</f>
        <v>469.67944008675863</v>
      </c>
      <c r="T105" s="62">
        <f t="shared" si="88"/>
        <v>266.11908070867173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0</v>
      </c>
      <c r="AA105" s="23">
        <f>EXP(-LN(2)/25)*AA104+(1-EXP(-LN(2)/25))/(LN(2)/25)*Calculateur!V105*Calculateur!X105*VLOOKUP('Données projet'!$B$9,Paramètres!$A$1:$I$89,3,0)*0.475*44/12</f>
        <v>0</v>
      </c>
      <c r="AB105" s="23">
        <f>EXP(-LN(2)/2)*AB104+(1-EXP(-LN(2)/2))/(LN(2)/2)*V105*Y105*VLOOKUP('Données projet'!$B$9,Paramètres!$A$1:$I$89,3,0)*0.475*44/12</f>
        <v>0</v>
      </c>
      <c r="AC105" s="24">
        <f t="shared" si="57"/>
        <v>0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3.0769230769230718</v>
      </c>
      <c r="AI105" s="14">
        <f>IF('Données projet'!$A$62&gt;35,AI104+AH105-AQ104,IF(A105&lt;'Données projet'!$A$62,$AF$205^A105,IF(A105='Données projet'!$A$62,'Données projet'!$B$62,AI104+AH105-AQ104)))</f>
        <v>240.12820512820502</v>
      </c>
      <c r="AJ105" s="14">
        <f>AI105*VLOOKUP('Données projet'!$B$10,Paramètres!$A$1:$I$89,3,0)*VLOOKUP('Données projet'!$B$10,Paramètres!$A$1:$I$89,5,0)</f>
        <v>228.50599999999991</v>
      </c>
      <c r="AK105" s="14">
        <f t="shared" si="89"/>
        <v>55.959521381763061</v>
      </c>
      <c r="AL105" s="22">
        <f t="shared" si="58"/>
        <v>495.44411640657046</v>
      </c>
      <c r="AM105" s="62">
        <f t="shared" si="59"/>
        <v>773.3960524815534</v>
      </c>
      <c r="AN105" s="62">
        <f ca="1">AVERAGE(OFFSET($AM$3,0,0,'Données projet'!$E$10+1,1))-AVERAGE(OFFSET($H$3,0,0,'Données projet'!$E$10+1,1))</f>
        <v>400.48230125343474</v>
      </c>
      <c r="AO105" s="62">
        <f t="shared" si="90"/>
        <v>275.67023303885048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0</v>
      </c>
      <c r="AV105" s="23">
        <f>EXP(-LN(2)/25)*AV104+(1-EXP(-LN(2)/25))/(LN(2)/25)*Calculateur!AQ105*Calculateur!AS105*VLOOKUP('Données projet'!$B$10,Paramètres!$A$1:$I$89,3,0)*0.475*44/12</f>
        <v>0</v>
      </c>
      <c r="AW105" s="23">
        <f>EXP(-LN(2)/2)*AW104+(1-EXP(-LN(2)/2))/(LN(2)/2)*AQ105*AT105*VLOOKUP('Données projet'!$B$10,Paramètres!$A$1:$I$89,3,0)*0.475*44/12</f>
        <v>0</v>
      </c>
      <c r="AX105" s="23">
        <f t="shared" si="60"/>
        <v>0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4.4000000000000004</v>
      </c>
      <c r="BD105" s="13">
        <f>IF('Données projet'!$A$88&gt;35,BD104+BC105-BL104,IF(A105&lt;'Données projet'!$A$88,$BA$205^A105,IF(A105='Données projet'!$A$88,'Données projet'!$B$88,BD104+BC105-BL104)))</f>
        <v>269.79999999999978</v>
      </c>
      <c r="BE105" s="14">
        <f>BD105*VLOOKUP('Données projet'!$B$11,Paramètres!$A$1:$I$89,3,0)*VLOOKUP('Données projet'!$B$11,Paramètres!$A$1:$I$89,5,0)</f>
        <v>260.95055999999983</v>
      </c>
      <c r="BF105" s="14">
        <f t="shared" si="91"/>
        <v>62.924955880176938</v>
      </c>
      <c r="BG105" s="22">
        <f t="shared" si="61"/>
        <v>564.08319015797451</v>
      </c>
      <c r="BH105" s="62">
        <f t="shared" si="62"/>
        <v>842.03512623295751</v>
      </c>
      <c r="BI105" s="62">
        <f ca="1">AVERAGE(OFFSET($BH$3,0,0,'Données projet'!$E$11+1,1))-AVERAGE(OFFSET($H$3,0,0,'Données projet'!$E$11+1,1))</f>
        <v>496.33873798282525</v>
      </c>
      <c r="BJ105" s="62">
        <f t="shared" si="92"/>
        <v>280.25465074992246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>
        <f>EXP(-LN(2)/35)*BP104+(1-EXP(-LN(2)/35))/(LN(2)/35)*BL105*BM105*VLOOKUP('Données projet'!$B$11,Paramètres!$A$1:$I$89,3,0)*0.475*44/12</f>
        <v>0</v>
      </c>
      <c r="BQ105" s="23">
        <f>EXP(-LN(2)/25)*BQ104+(1-EXP(-LN(2)/25))/(LN(2)/25)*Calculateur!BL105*Calculateur!BN105*VLOOKUP('Données projet'!$B$11,Paramètres!$A$1:$I$89,3,0)*0.475*44/12</f>
        <v>0</v>
      </c>
      <c r="BR105" s="23">
        <f>EXP(-LN(2)/2)*BR104+(1-EXP(-LN(2)/2))/(LN(2)/2)*BL105*BO105*VLOOKUP('Données projet'!$B$11,Paramètres!$A$1:$I$89,3,0)*0.475*44/12</f>
        <v>0</v>
      </c>
      <c r="BS105" s="24">
        <f t="shared" si="63"/>
        <v>0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-1.1368683772161603E-13</v>
      </c>
      <c r="BZ105" s="14">
        <f>BY105*VLOOKUP('Données projet'!$B$12,Paramètres!$A$1:$I$89,3,0)*VLOOKUP('Données projet'!$B$12,Paramètres!$A$1:$I$89,5,0)</f>
        <v>-9.9316821433603781E-14</v>
      </c>
      <c r="CA105" s="14" t="e">
        <f t="shared" si="93"/>
        <v>#NUM!</v>
      </c>
      <c r="CB105" s="22" t="e">
        <f t="shared" si="64"/>
        <v>#NUM!</v>
      </c>
      <c r="CC105" s="62" t="e">
        <f t="shared" si="65"/>
        <v>#NUM!</v>
      </c>
      <c r="CD105" s="62">
        <f ca="1">AVERAGE(OFFSET($CC$3,0,0,'Données projet'!$E$12+1,1))-AVERAGE(OFFSET($H$3,0,0,'Données projet'!$E$12+1,1))</f>
        <v>298.56812743477741</v>
      </c>
      <c r="CE105" s="62">
        <f t="shared" si="94"/>
        <v>276.01618888357268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>
        <f>EXP(-LN(2)/35)*CK104+(1-EXP(-LN(2)/35))/(LN(2)/35)*CG105*CH105*VLOOKUP('Données projet'!$B$12,Paramètres!$A$1:$I$89,3,0)*0.475*44/12</f>
        <v>0</v>
      </c>
      <c r="CL105" s="23">
        <f>EXP(-LN(2)/25)*CL104+(1-EXP(-LN(2)/25))/(LN(2)/25)*Calculateur!CG105*Calculateur!CI105*VLOOKUP('Données projet'!$B$12,Paramètres!$A$1:$I$89,3,0)*0.475*44/12</f>
        <v>0</v>
      </c>
      <c r="CM105" s="23">
        <f>EXP(-LN(2)/2)*CM104+(1-EXP(-LN(2)/2))/(LN(2)/2)*CG105*CJ105*VLOOKUP('Données projet'!$B$12,Paramètres!$A$1:$I$89,3,0)*0.475*44/12</f>
        <v>0</v>
      </c>
      <c r="CN105" s="24">
        <f t="shared" si="66"/>
        <v>0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3.2051282051282102</v>
      </c>
      <c r="CT105" s="13">
        <f>IF('Données projet'!$A$140&gt;35,CT104+CS105-DB104,IF(A105&lt;'Données projet'!$A$140,$CQ$205^A105,IF(A105='Données projet'!$A$140,'Données projet'!$B$140,CT104+CS105-DB104)))</f>
        <v>302.56410256410277</v>
      </c>
      <c r="CU105" s="18">
        <f>CT105*VLOOKUP('Données projet'!$B$13,Paramètres!$A$1:$I$89,3,0)*VLOOKUP('Données projet'!$B$13,Paramètres!$A$1:$I$89,5,0)</f>
        <v>202.96000000000015</v>
      </c>
      <c r="CV105" s="14">
        <f t="shared" si="95"/>
        <v>50.394128866673839</v>
      </c>
      <c r="CW105" s="22">
        <f t="shared" si="67"/>
        <v>441.25844110945718</v>
      </c>
      <c r="CX105" s="62">
        <f t="shared" si="68"/>
        <v>719.21037718444018</v>
      </c>
      <c r="CY105" s="62">
        <f ca="1">AVERAGE(OFFSET($CX$3,0,0,'Données projet'!$E$13+1,1))-AVERAGE(OFFSET($H$3,0,0,'Données projet'!$E$13+1,1))</f>
        <v>346.82725381974132</v>
      </c>
      <c r="CZ105" s="62">
        <f t="shared" si="96"/>
        <v>254.09787950201044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>
        <f>EXP(-LN(2)/35)*DF104+(1-EXP(-LN(2)/35))/(LN(2)/35)*DB105*DC105*VLOOKUP('Données projet'!$B$13,Paramètres!$A$1:$I$89,3,0)*0.475*44/12</f>
        <v>0</v>
      </c>
      <c r="DG105" s="23">
        <f>EXP(-LN(2)/25)*DG104+(1-EXP(-LN(2)/25))/(LN(2)/25)*Calculateur!DB105*Calculateur!DD105*VLOOKUP('Données projet'!$B$13,Paramètres!$A$1:$I$89,3,0)*0.475*44/12</f>
        <v>0</v>
      </c>
      <c r="DH105" s="23">
        <f>EXP(-LN(2)/2)*DH104+(1-EXP(-LN(2)/2))/(LN(2)/2)*DB105*DE105*VLOOKUP('Données projet'!$B$13,Paramètres!$A$1:$I$89,3,0)*0.475*44/12</f>
        <v>0</v>
      </c>
      <c r="DI105" s="24">
        <f t="shared" si="69"/>
        <v>0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5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2">
        <f t="shared" si="86"/>
        <v>0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18.333333333333332</v>
      </c>
      <c r="H106" s="70">
        <f t="shared" si="56"/>
        <v>183.33333333333334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4.4000000000000004</v>
      </c>
      <c r="N106" s="14">
        <f>IF('Données projet'!$A$36&gt;35,N105+M106-V105,IF(A106&lt;'Données projet'!$A$36,$K$205^A106,IF(A106='Données projet'!$A$36,'Données projet'!$B$36,N105+M106-V105)))</f>
        <v>274.19999999999976</v>
      </c>
      <c r="O106" s="14">
        <f>N106*VLOOKUP('Données projet'!$B$9,Paramètres!$A$1:$I$89,3,0)*VLOOKUP('Données projet'!$B$9,Paramètres!$A$1:$I$89,5,0)</f>
        <v>248.0961599999998</v>
      </c>
      <c r="P106" s="14">
        <f t="shared" si="87"/>
        <v>60.178080967364686</v>
      </c>
      <c r="Q106" s="22">
        <f t="shared" si="107"/>
        <v>536.91096968482657</v>
      </c>
      <c r="R106" s="62">
        <f t="shared" si="55"/>
        <v>815.12973861458931</v>
      </c>
      <c r="S106" s="62">
        <f ca="1">AVERAGE(OFFSET($R$3,0,0,'Données projet'!$E$9+1,1))-AVERAGE(OFFSET($H$3,0,0,'Données projet'!$E$9+1,1))</f>
        <v>469.67944008675863</v>
      </c>
      <c r="T106" s="62">
        <f t="shared" si="88"/>
        <v>266.11908070867173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0</v>
      </c>
      <c r="AA106" s="23">
        <f>EXP(-LN(2)/25)*AA105+(1-EXP(-LN(2)/25))/(LN(2)/25)*Calculateur!V106*Calculateur!X106*VLOOKUP('Données projet'!$B$9,Paramètres!$A$1:$I$89,3,0)*0.475*44/12</f>
        <v>0</v>
      </c>
      <c r="AB106" s="23">
        <f>EXP(-LN(2)/2)*AB105+(1-EXP(-LN(2)/2))/(LN(2)/2)*V106*Y106*VLOOKUP('Données projet'!$B$9,Paramètres!$A$1:$I$89,3,0)*0.475*44/12</f>
        <v>0</v>
      </c>
      <c r="AC106" s="24">
        <f t="shared" si="57"/>
        <v>0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3.0769230769230718</v>
      </c>
      <c r="AI106" s="14">
        <f>IF('Données projet'!$A$62&gt;35,AI105+AH106-AQ105,IF(A106&lt;'Données projet'!$A$62,$AF$205^A106,IF(A106='Données projet'!$A$62,'Données projet'!$B$62,AI105+AH106-AQ105)))</f>
        <v>243.20512820512809</v>
      </c>
      <c r="AJ106" s="14">
        <f>AI106*VLOOKUP('Données projet'!$B$10,Paramètres!$A$1:$I$89,3,0)*VLOOKUP('Données projet'!$B$10,Paramètres!$A$1:$I$89,5,0)</f>
        <v>231.43399999999988</v>
      </c>
      <c r="AK106" s="14">
        <f t="shared" si="89"/>
        <v>56.592633606964512</v>
      </c>
      <c r="AL106" s="22">
        <f t="shared" si="58"/>
        <v>501.64638686546306</v>
      </c>
      <c r="AM106" s="62">
        <f t="shared" si="59"/>
        <v>779.86515579522575</v>
      </c>
      <c r="AN106" s="62">
        <f ca="1">AVERAGE(OFFSET($AM$3,0,0,'Données projet'!$E$10+1,1))-AVERAGE(OFFSET($H$3,0,0,'Données projet'!$E$10+1,1))</f>
        <v>400.48230125343474</v>
      </c>
      <c r="AO106" s="62">
        <f t="shared" si="90"/>
        <v>275.67023303885048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0</v>
      </c>
      <c r="AV106" s="23">
        <f>EXP(-LN(2)/25)*AV105+(1-EXP(-LN(2)/25))/(LN(2)/25)*Calculateur!AQ106*Calculateur!AS106*VLOOKUP('Données projet'!$B$10,Paramètres!$A$1:$I$89,3,0)*0.475*44/12</f>
        <v>0</v>
      </c>
      <c r="AW106" s="23">
        <f>EXP(-LN(2)/2)*AW105+(1-EXP(-LN(2)/2))/(LN(2)/2)*AQ106*AT106*VLOOKUP('Données projet'!$B$10,Paramètres!$A$1:$I$89,3,0)*0.475*44/12</f>
        <v>0</v>
      </c>
      <c r="AX106" s="23">
        <f t="shared" si="60"/>
        <v>0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4.4000000000000004</v>
      </c>
      <c r="BD106" s="13">
        <f>IF('Données projet'!$A$88&gt;35,BD105+BC106-BL105,IF(A106&lt;'Données projet'!$A$88,$BA$205^A106,IF(A106='Données projet'!$A$88,'Données projet'!$B$88,BD105+BC106-BL105)))</f>
        <v>274.19999999999976</v>
      </c>
      <c r="BE106" s="14">
        <f>BD106*VLOOKUP('Données projet'!$B$11,Paramètres!$A$1:$I$89,3,0)*VLOOKUP('Données projet'!$B$11,Paramètres!$A$1:$I$89,5,0)</f>
        <v>265.20623999999975</v>
      </c>
      <c r="BF106" s="14">
        <f t="shared" si="91"/>
        <v>63.830854160896386</v>
      </c>
      <c r="BG106" s="22">
        <f t="shared" si="61"/>
        <v>573.07293899689409</v>
      </c>
      <c r="BH106" s="62">
        <f t="shared" si="62"/>
        <v>851.29170792665673</v>
      </c>
      <c r="BI106" s="62">
        <f ca="1">AVERAGE(OFFSET($BH$3,0,0,'Données projet'!$E$11+1,1))-AVERAGE(OFFSET($H$3,0,0,'Données projet'!$E$11+1,1))</f>
        <v>496.33873798282525</v>
      </c>
      <c r="BJ106" s="62">
        <f t="shared" si="92"/>
        <v>280.25465074992246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>
        <f>EXP(-LN(2)/35)*BP105+(1-EXP(-LN(2)/35))/(LN(2)/35)*BL106*BM106*VLOOKUP('Données projet'!$B$11,Paramètres!$A$1:$I$89,3,0)*0.475*44/12</f>
        <v>0</v>
      </c>
      <c r="BQ106" s="23">
        <f>EXP(-LN(2)/25)*BQ105+(1-EXP(-LN(2)/25))/(LN(2)/25)*Calculateur!BL106*Calculateur!BN106*VLOOKUP('Données projet'!$B$11,Paramètres!$A$1:$I$89,3,0)*0.475*44/12</f>
        <v>0</v>
      </c>
      <c r="BR106" s="23">
        <f>EXP(-LN(2)/2)*BR105+(1-EXP(-LN(2)/2))/(LN(2)/2)*BL106*BO106*VLOOKUP('Données projet'!$B$11,Paramètres!$A$1:$I$89,3,0)*0.475*44/12</f>
        <v>0</v>
      </c>
      <c r="BS106" s="24">
        <f t="shared" si="63"/>
        <v>0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-1.1368683772161603E-13</v>
      </c>
      <c r="BZ106" s="14">
        <f>BY106*VLOOKUP('Données projet'!$B$12,Paramètres!$A$1:$I$89,3,0)*VLOOKUP('Données projet'!$B$12,Paramètres!$A$1:$I$89,5,0)</f>
        <v>-9.9316821433603781E-14</v>
      </c>
      <c r="CA106" s="14" t="e">
        <f t="shared" si="93"/>
        <v>#NUM!</v>
      </c>
      <c r="CB106" s="22" t="e">
        <f t="shared" si="64"/>
        <v>#NUM!</v>
      </c>
      <c r="CC106" s="62" t="e">
        <f t="shared" si="65"/>
        <v>#NUM!</v>
      </c>
      <c r="CD106" s="62">
        <f ca="1">AVERAGE(OFFSET($CC$3,0,0,'Données projet'!$E$12+1,1))-AVERAGE(OFFSET($H$3,0,0,'Données projet'!$E$12+1,1))</f>
        <v>298.56812743477741</v>
      </c>
      <c r="CE106" s="62">
        <f t="shared" si="94"/>
        <v>276.01618888357268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>
        <f>EXP(-LN(2)/35)*CK105+(1-EXP(-LN(2)/35))/(LN(2)/35)*CG106*CH106*VLOOKUP('Données projet'!$B$12,Paramètres!$A$1:$I$89,3,0)*0.475*44/12</f>
        <v>0</v>
      </c>
      <c r="CL106" s="23">
        <f>EXP(-LN(2)/25)*CL105+(1-EXP(-LN(2)/25))/(LN(2)/25)*Calculateur!CG106*Calculateur!CI106*VLOOKUP('Données projet'!$B$12,Paramètres!$A$1:$I$89,3,0)*0.475*44/12</f>
        <v>0</v>
      </c>
      <c r="CM106" s="23">
        <f>EXP(-LN(2)/2)*CM105+(1-EXP(-LN(2)/2))/(LN(2)/2)*CG106*CJ106*VLOOKUP('Données projet'!$B$12,Paramètres!$A$1:$I$89,3,0)*0.475*44/12</f>
        <v>0</v>
      </c>
      <c r="CN106" s="24">
        <f t="shared" si="66"/>
        <v>0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3.2051282051282102</v>
      </c>
      <c r="CT106" s="13">
        <f>IF('Données projet'!$A$140&gt;35,CT105+CS106-DB105,IF(A106&lt;'Données projet'!$A$140,$CQ$205^A106,IF(A106='Données projet'!$A$140,'Données projet'!$B$140,CT105+CS106-DB105)))</f>
        <v>305.769230769231</v>
      </c>
      <c r="CU106" s="18">
        <f>CT106*VLOOKUP('Données projet'!$B$13,Paramètres!$A$1:$I$89,3,0)*VLOOKUP('Données projet'!$B$13,Paramètres!$A$1:$I$89,5,0)</f>
        <v>205.11000000000018</v>
      </c>
      <c r="CV106" s="14">
        <f t="shared" si="95"/>
        <v>50.865536780718593</v>
      </c>
      <c r="CW106" s="22">
        <f t="shared" si="67"/>
        <v>445.82405989308518</v>
      </c>
      <c r="CX106" s="62">
        <f t="shared" si="68"/>
        <v>724.04282882284792</v>
      </c>
      <c r="CY106" s="62">
        <f ca="1">AVERAGE(OFFSET($CX$3,0,0,'Données projet'!$E$13+1,1))-AVERAGE(OFFSET($H$3,0,0,'Données projet'!$E$13+1,1))</f>
        <v>346.82725381974132</v>
      </c>
      <c r="CZ106" s="62">
        <f t="shared" si="96"/>
        <v>254.09787950201044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>
        <f>EXP(-LN(2)/35)*DF105+(1-EXP(-LN(2)/35))/(LN(2)/35)*DB106*DC106*VLOOKUP('Données projet'!$B$13,Paramètres!$A$1:$I$89,3,0)*0.475*44/12</f>
        <v>0</v>
      </c>
      <c r="DG106" s="23">
        <f>EXP(-LN(2)/25)*DG105+(1-EXP(-LN(2)/25))/(LN(2)/25)*Calculateur!DB106*Calculateur!DD106*VLOOKUP('Données projet'!$B$13,Paramètres!$A$1:$I$89,3,0)*0.475*44/12</f>
        <v>0</v>
      </c>
      <c r="DH106" s="23">
        <f>EXP(-LN(2)/2)*DH105+(1-EXP(-LN(2)/2))/(LN(2)/2)*DB106*DE106*VLOOKUP('Données projet'!$B$13,Paramètres!$A$1:$I$89,3,0)*0.475*44/12</f>
        <v>0</v>
      </c>
      <c r="DI106" s="24">
        <f t="shared" si="69"/>
        <v>0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5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2">
        <f t="shared" si="86"/>
        <v>0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18.333333333333332</v>
      </c>
      <c r="H107" s="70">
        <f t="shared" si="56"/>
        <v>183.33333333333334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4.4000000000000004</v>
      </c>
      <c r="N107" s="14">
        <f>IF('Données projet'!$A$36&gt;35,N106+M107-V106,IF(A107&lt;'Données projet'!$A$36,$K$205^A107,IF(A107='Données projet'!$A$36,'Données projet'!$B$36,N106+M107-V106)))</f>
        <v>278.59999999999974</v>
      </c>
      <c r="O107" s="14">
        <f>N107*VLOOKUP('Données projet'!$B$9,Paramètres!$A$1:$I$89,3,0)*VLOOKUP('Données projet'!$B$9,Paramètres!$A$1:$I$89,5,0)</f>
        <v>252.07727999999975</v>
      </c>
      <c r="P107" s="14">
        <f t="shared" si="87"/>
        <v>61.03054465215493</v>
      </c>
      <c r="Q107" s="22">
        <f t="shared" si="107"/>
        <v>545.32946126916943</v>
      </c>
      <c r="R107" s="62">
        <f t="shared" si="55"/>
        <v>823.8104341002304</v>
      </c>
      <c r="S107" s="62">
        <f ca="1">AVERAGE(OFFSET($R$3,0,0,'Données projet'!$E$9+1,1))-AVERAGE(OFFSET($H$3,0,0,'Données projet'!$E$9+1,1))</f>
        <v>469.67944008675863</v>
      </c>
      <c r="T107" s="62">
        <f t="shared" si="88"/>
        <v>266.11908070867173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0</v>
      </c>
      <c r="AA107" s="23">
        <f>EXP(-LN(2)/25)*AA106+(1-EXP(-LN(2)/25))/(LN(2)/25)*Calculateur!V107*Calculateur!X107*VLOOKUP('Données projet'!$B$9,Paramètres!$A$1:$I$89,3,0)*0.475*44/12</f>
        <v>0</v>
      </c>
      <c r="AB107" s="23">
        <f>EXP(-LN(2)/2)*AB106+(1-EXP(-LN(2)/2))/(LN(2)/2)*V107*Y107*VLOOKUP('Données projet'!$B$9,Paramètres!$A$1:$I$89,3,0)*0.475*44/12</f>
        <v>0</v>
      </c>
      <c r="AC107" s="24">
        <f t="shared" si="57"/>
        <v>0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3.0769230769230718</v>
      </c>
      <c r="AI107" s="14">
        <f>IF('Données projet'!$A$62&gt;35,AI106+AH107-AQ106,IF(A107&lt;'Données projet'!$A$62,$AF$205^A107,IF(A107='Données projet'!$A$62,'Données projet'!$B$62,AI106+AH107-AQ106)))</f>
        <v>246.28205128205116</v>
      </c>
      <c r="AJ107" s="14">
        <f>AI107*VLOOKUP('Données projet'!$B$10,Paramètres!$A$1:$I$89,3,0)*VLOOKUP('Données projet'!$B$10,Paramètres!$A$1:$I$89,5,0)</f>
        <v>234.36199999999988</v>
      </c>
      <c r="AK107" s="14">
        <f t="shared" si="89"/>
        <v>57.224814145024382</v>
      </c>
      <c r="AL107" s="22">
        <f t="shared" si="58"/>
        <v>507.84703463591728</v>
      </c>
      <c r="AM107" s="62">
        <f t="shared" si="59"/>
        <v>786.32800746697819</v>
      </c>
      <c r="AN107" s="62">
        <f ca="1">AVERAGE(OFFSET($AM$3,0,0,'Données projet'!$E$10+1,1))-AVERAGE(OFFSET($H$3,0,0,'Données projet'!$E$10+1,1))</f>
        <v>400.48230125343474</v>
      </c>
      <c r="AO107" s="62">
        <f t="shared" si="90"/>
        <v>275.67023303885048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0</v>
      </c>
      <c r="AV107" s="23">
        <f>EXP(-LN(2)/25)*AV106+(1-EXP(-LN(2)/25))/(LN(2)/25)*Calculateur!AQ107*Calculateur!AS107*VLOOKUP('Données projet'!$B$10,Paramètres!$A$1:$I$89,3,0)*0.475*44/12</f>
        <v>0</v>
      </c>
      <c r="AW107" s="23">
        <f>EXP(-LN(2)/2)*AW106+(1-EXP(-LN(2)/2))/(LN(2)/2)*AQ107*AT107*VLOOKUP('Données projet'!$B$10,Paramètres!$A$1:$I$89,3,0)*0.475*44/12</f>
        <v>0</v>
      </c>
      <c r="AX107" s="23">
        <f t="shared" si="60"/>
        <v>0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4.4000000000000004</v>
      </c>
      <c r="BD107" s="13">
        <f>IF('Données projet'!$A$88&gt;35,BD106+BC107-BL106,IF(A107&lt;'Données projet'!$A$88,$BA$205^A107,IF(A107='Données projet'!$A$88,'Données projet'!$B$88,BD106+BC107-BL106)))</f>
        <v>278.59999999999974</v>
      </c>
      <c r="BE107" s="14">
        <f>BD107*VLOOKUP('Données projet'!$B$11,Paramètres!$A$1:$I$89,3,0)*VLOOKUP('Données projet'!$B$11,Paramètres!$A$1:$I$89,5,0)</f>
        <v>269.46191999999974</v>
      </c>
      <c r="BF107" s="14">
        <f t="shared" si="91"/>
        <v>64.735061876839055</v>
      </c>
      <c r="BG107" s="22">
        <f t="shared" si="61"/>
        <v>582.05974343549417</v>
      </c>
      <c r="BH107" s="62">
        <f t="shared" si="62"/>
        <v>860.54071626655514</v>
      </c>
      <c r="BI107" s="62">
        <f ca="1">AVERAGE(OFFSET($BH$3,0,0,'Données projet'!$E$11+1,1))-AVERAGE(OFFSET($H$3,0,0,'Données projet'!$E$11+1,1))</f>
        <v>496.33873798282525</v>
      </c>
      <c r="BJ107" s="62">
        <f t="shared" si="92"/>
        <v>280.25465074992246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>
        <f>EXP(-LN(2)/35)*BP106+(1-EXP(-LN(2)/35))/(LN(2)/35)*BL107*BM107*VLOOKUP('Données projet'!$B$11,Paramètres!$A$1:$I$89,3,0)*0.475*44/12</f>
        <v>0</v>
      </c>
      <c r="BQ107" s="23">
        <f>EXP(-LN(2)/25)*BQ106+(1-EXP(-LN(2)/25))/(LN(2)/25)*Calculateur!BL107*Calculateur!BN107*VLOOKUP('Données projet'!$B$11,Paramètres!$A$1:$I$89,3,0)*0.475*44/12</f>
        <v>0</v>
      </c>
      <c r="BR107" s="23">
        <f>EXP(-LN(2)/2)*BR106+(1-EXP(-LN(2)/2))/(LN(2)/2)*BL107*BO107*VLOOKUP('Données projet'!$B$11,Paramètres!$A$1:$I$89,3,0)*0.475*44/12</f>
        <v>0</v>
      </c>
      <c r="BS107" s="24">
        <f t="shared" si="63"/>
        <v>0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-1.1368683772161603E-13</v>
      </c>
      <c r="BZ107" s="14">
        <f>BY107*VLOOKUP('Données projet'!$B$12,Paramètres!$A$1:$I$89,3,0)*VLOOKUP('Données projet'!$B$12,Paramètres!$A$1:$I$89,5,0)</f>
        <v>-9.9316821433603781E-14</v>
      </c>
      <c r="CA107" s="14" t="e">
        <f t="shared" si="93"/>
        <v>#NUM!</v>
      </c>
      <c r="CB107" s="22" t="e">
        <f t="shared" si="64"/>
        <v>#NUM!</v>
      </c>
      <c r="CC107" s="62" t="e">
        <f t="shared" si="65"/>
        <v>#NUM!</v>
      </c>
      <c r="CD107" s="62">
        <f ca="1">AVERAGE(OFFSET($CC$3,0,0,'Données projet'!$E$12+1,1))-AVERAGE(OFFSET($H$3,0,0,'Données projet'!$E$12+1,1))</f>
        <v>298.56812743477741</v>
      </c>
      <c r="CE107" s="62">
        <f t="shared" si="94"/>
        <v>276.01618888357268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>
        <f>EXP(-LN(2)/35)*CK106+(1-EXP(-LN(2)/35))/(LN(2)/35)*CG107*CH107*VLOOKUP('Données projet'!$B$12,Paramètres!$A$1:$I$89,3,0)*0.475*44/12</f>
        <v>0</v>
      </c>
      <c r="CL107" s="23">
        <f>EXP(-LN(2)/25)*CL106+(1-EXP(-LN(2)/25))/(LN(2)/25)*Calculateur!CG107*Calculateur!CI107*VLOOKUP('Données projet'!$B$12,Paramètres!$A$1:$I$89,3,0)*0.475*44/12</f>
        <v>0</v>
      </c>
      <c r="CM107" s="23">
        <f>EXP(-LN(2)/2)*CM106+(1-EXP(-LN(2)/2))/(LN(2)/2)*CG107*CJ107*VLOOKUP('Données projet'!$B$12,Paramètres!$A$1:$I$89,3,0)*0.475*44/12</f>
        <v>0</v>
      </c>
      <c r="CN107" s="24">
        <f t="shared" si="66"/>
        <v>0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3.2051282051282102</v>
      </c>
      <c r="CT107" s="13">
        <f>IF('Données projet'!$A$140&gt;35,CT106+CS107-DB106,IF(A107&lt;'Données projet'!$A$140,$CQ$205^A107,IF(A107='Données projet'!$A$140,'Données projet'!$B$140,CT106+CS107-DB106)))</f>
        <v>308.97435897435923</v>
      </c>
      <c r="CU107" s="18">
        <f>CT107*VLOOKUP('Données projet'!$B$13,Paramètres!$A$1:$I$89,3,0)*VLOOKUP('Données projet'!$B$13,Paramètres!$A$1:$I$89,5,0)</f>
        <v>207.26000000000019</v>
      </c>
      <c r="CV107" s="14">
        <f t="shared" si="95"/>
        <v>51.336369857430057</v>
      </c>
      <c r="CW107" s="22">
        <f t="shared" si="67"/>
        <v>450.38867750169101</v>
      </c>
      <c r="CX107" s="62">
        <f t="shared" si="68"/>
        <v>728.86965033275192</v>
      </c>
      <c r="CY107" s="62">
        <f ca="1">AVERAGE(OFFSET($CX$3,0,0,'Données projet'!$E$13+1,1))-AVERAGE(OFFSET($H$3,0,0,'Données projet'!$E$13+1,1))</f>
        <v>346.82725381974132</v>
      </c>
      <c r="CZ107" s="62">
        <f t="shared" si="96"/>
        <v>254.09787950201044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>
        <f>EXP(-LN(2)/35)*DF106+(1-EXP(-LN(2)/35))/(LN(2)/35)*DB107*DC107*VLOOKUP('Données projet'!$B$13,Paramètres!$A$1:$I$89,3,0)*0.475*44/12</f>
        <v>0</v>
      </c>
      <c r="DG107" s="23">
        <f>EXP(-LN(2)/25)*DG106+(1-EXP(-LN(2)/25))/(LN(2)/25)*Calculateur!DB107*Calculateur!DD107*VLOOKUP('Données projet'!$B$13,Paramètres!$A$1:$I$89,3,0)*0.475*44/12</f>
        <v>0</v>
      </c>
      <c r="DH107" s="23">
        <f>EXP(-LN(2)/2)*DH106+(1-EXP(-LN(2)/2))/(LN(2)/2)*DB107*DE107*VLOOKUP('Données projet'!$B$13,Paramètres!$A$1:$I$89,3,0)*0.475*44/12</f>
        <v>0</v>
      </c>
      <c r="DI107" s="24">
        <f t="shared" si="69"/>
        <v>0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5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2">
        <f t="shared" si="86"/>
        <v>0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18.333333333333332</v>
      </c>
      <c r="H108" s="70">
        <f t="shared" si="56"/>
        <v>183.33333333333334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4.4000000000000004</v>
      </c>
      <c r="N108" s="14">
        <f>IF('Données projet'!$A$36&gt;35,N107+M108-V107,IF(A108&lt;'Données projet'!$A$36,$K$205^A108,IF(A108='Données projet'!$A$36,'Données projet'!$B$36,N107+M108-V107)))</f>
        <v>282.99999999999972</v>
      </c>
      <c r="O108" s="14">
        <f>N108*VLOOKUP('Données projet'!$B$9,Paramètres!$A$1:$I$89,3,0)*VLOOKUP('Données projet'!$B$9,Paramètres!$A$1:$I$89,5,0)</f>
        <v>256.05839999999972</v>
      </c>
      <c r="P108" s="14">
        <f t="shared" si="87"/>
        <v>61.881442594256434</v>
      </c>
      <c r="Q108" s="22">
        <f t="shared" si="107"/>
        <v>553.74522585166278</v>
      </c>
      <c r="R108" s="62">
        <f t="shared" si="55"/>
        <v>832.48385393253454</v>
      </c>
      <c r="S108" s="62">
        <f ca="1">AVERAGE(OFFSET($R$3,0,0,'Données projet'!$E$9+1,1))-AVERAGE(OFFSET($H$3,0,0,'Données projet'!$E$9+1,1))</f>
        <v>469.67944008675863</v>
      </c>
      <c r="T108" s="62">
        <f t="shared" si="88"/>
        <v>266.11908070867173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0</v>
      </c>
      <c r="AA108" s="23">
        <f>EXP(-LN(2)/25)*AA107+(1-EXP(-LN(2)/25))/(LN(2)/25)*Calculateur!V108*Calculateur!X108*VLOOKUP('Données projet'!$B$9,Paramètres!$A$1:$I$89,3,0)*0.475*44/12</f>
        <v>0</v>
      </c>
      <c r="AB108" s="23">
        <f>EXP(-LN(2)/2)*AB107+(1-EXP(-LN(2)/2))/(LN(2)/2)*V108*Y108*VLOOKUP('Données projet'!$B$9,Paramètres!$A$1:$I$89,3,0)*0.475*44/12</f>
        <v>0</v>
      </c>
      <c r="AC108" s="24">
        <f t="shared" si="57"/>
        <v>0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>
        <f>VLOOKUP(A108,'Données projet'!$A$61:$I$81,2,0)</f>
        <v>249.35897435897434</v>
      </c>
      <c r="AG108" s="13">
        <f>VLOOKUP(A108,'Données projet'!$A$61:$I$81,9,0)</f>
        <v>3.0769230769230718</v>
      </c>
      <c r="AH108" s="13">
        <f t="array" ref="AH108">INDEX(AG:AG,MIN(IF(ISNUMBER(AG108:AG304),ROW(AG108:AG304),"")))</f>
        <v>3.0769230769230718</v>
      </c>
      <c r="AI108" s="14">
        <f>IF('Données projet'!$A$62&gt;35,AI107+AH108-AQ107,IF(A108&lt;'Données projet'!$A$62,$AF$205^A108,IF(A108='Données projet'!$A$62,'Données projet'!$B$62,AI107+AH108-AQ107)))</f>
        <v>249.35897435897422</v>
      </c>
      <c r="AJ108" s="14">
        <f>AI108*VLOOKUP('Données projet'!$B$10,Paramètres!$A$1:$I$89,3,0)*VLOOKUP('Données projet'!$B$10,Paramètres!$A$1:$I$89,5,0)</f>
        <v>237.28999999999988</v>
      </c>
      <c r="AK108" s="14">
        <f t="shared" si="89"/>
        <v>57.856075982103697</v>
      </c>
      <c r="AL108" s="22">
        <f t="shared" si="58"/>
        <v>514.04608233549698</v>
      </c>
      <c r="AM108" s="62">
        <f t="shared" si="59"/>
        <v>792.78471041636874</v>
      </c>
      <c r="AN108" s="62">
        <f ca="1">AVERAGE(OFFSET($AM$3,0,0,'Données projet'!$E$10+1,1))-AVERAGE(OFFSET($H$3,0,0,'Données projet'!$E$10+1,1))</f>
        <v>400.48230125343474</v>
      </c>
      <c r="AO108" s="62">
        <f t="shared" si="90"/>
        <v>275.67023303885048</v>
      </c>
      <c r="AP108" s="16">
        <f>IF(ISNA(VLOOKUP(A108,'Données projet'!$A$61:$I$81,3,0)),0,VLOOKUP(A108,'Données projet'!$A$61:$I$81,3,0))</f>
        <v>9</v>
      </c>
      <c r="AQ108" s="16">
        <f>IF(ISNA(VLOOKUP(A108,'Données projet'!$A$61:$I$81,4,0)),0,VLOOKUP(A108,'Données projet'!$A$61:$I$81,4,0))</f>
        <v>23.076923076923077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0</v>
      </c>
      <c r="AV108" s="23">
        <f>EXP(-LN(2)/25)*AV107+(1-EXP(-LN(2)/25))/(LN(2)/25)*Calculateur!AQ108*Calculateur!AS108*VLOOKUP('Données projet'!$B$10,Paramètres!$A$1:$I$89,3,0)*0.475*44/12</f>
        <v>0</v>
      </c>
      <c r="AW108" s="23">
        <f>EXP(-LN(2)/2)*AW107+(1-EXP(-LN(2)/2))/(LN(2)/2)*AQ108*AT108*VLOOKUP('Données projet'!$B$10,Paramètres!$A$1:$I$89,3,0)*0.475*44/12</f>
        <v>0</v>
      </c>
      <c r="AX108" s="23">
        <f t="shared" si="60"/>
        <v>0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4.4000000000000004</v>
      </c>
      <c r="BD108" s="13">
        <f>IF('Données projet'!$A$88&gt;35,BD107+BC108-BL107,IF(A108&lt;'Données projet'!$A$88,$BA$205^A108,IF(A108='Données projet'!$A$88,'Données projet'!$B$88,BD107+BC108-BL107)))</f>
        <v>282.99999999999972</v>
      </c>
      <c r="BE108" s="14">
        <f>BD108*VLOOKUP('Données projet'!$B$11,Paramètres!$A$1:$I$89,3,0)*VLOOKUP('Données projet'!$B$11,Paramètres!$A$1:$I$89,5,0)</f>
        <v>273.71759999999972</v>
      </c>
      <c r="BF108" s="14">
        <f t="shared" si="91"/>
        <v>65.637608810456612</v>
      </c>
      <c r="BG108" s="22">
        <f t="shared" si="61"/>
        <v>591.04365534487806</v>
      </c>
      <c r="BH108" s="62">
        <f t="shared" si="62"/>
        <v>869.78228342574982</v>
      </c>
      <c r="BI108" s="62">
        <f ca="1">AVERAGE(OFFSET($BH$3,0,0,'Données projet'!$E$11+1,1))-AVERAGE(OFFSET($H$3,0,0,'Données projet'!$E$11+1,1))</f>
        <v>496.33873798282525</v>
      </c>
      <c r="BJ108" s="62">
        <f t="shared" si="92"/>
        <v>280.25465074992246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>
        <f>EXP(-LN(2)/35)*BP107+(1-EXP(-LN(2)/35))/(LN(2)/35)*BL108*BM108*VLOOKUP('Données projet'!$B$11,Paramètres!$A$1:$I$89,3,0)*0.475*44/12</f>
        <v>0</v>
      </c>
      <c r="BQ108" s="23">
        <f>EXP(-LN(2)/25)*BQ107+(1-EXP(-LN(2)/25))/(LN(2)/25)*Calculateur!BL108*Calculateur!BN108*VLOOKUP('Données projet'!$B$11,Paramètres!$A$1:$I$89,3,0)*0.475*44/12</f>
        <v>0</v>
      </c>
      <c r="BR108" s="23">
        <f>EXP(-LN(2)/2)*BR107+(1-EXP(-LN(2)/2))/(LN(2)/2)*BL108*BO108*VLOOKUP('Données projet'!$B$11,Paramètres!$A$1:$I$89,3,0)*0.475*44/12</f>
        <v>0</v>
      </c>
      <c r="BS108" s="24">
        <f t="shared" si="63"/>
        <v>0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-1.1368683772161603E-13</v>
      </c>
      <c r="BZ108" s="14">
        <f>BY108*VLOOKUP('Données projet'!$B$12,Paramètres!$A$1:$I$89,3,0)*VLOOKUP('Données projet'!$B$12,Paramètres!$A$1:$I$89,5,0)</f>
        <v>-9.9316821433603781E-14</v>
      </c>
      <c r="CA108" s="14" t="e">
        <f t="shared" si="93"/>
        <v>#NUM!</v>
      </c>
      <c r="CB108" s="22" t="e">
        <f t="shared" si="64"/>
        <v>#NUM!</v>
      </c>
      <c r="CC108" s="62" t="e">
        <f t="shared" si="65"/>
        <v>#NUM!</v>
      </c>
      <c r="CD108" s="62">
        <f ca="1">AVERAGE(OFFSET($CC$3,0,0,'Données projet'!$E$12+1,1))-AVERAGE(OFFSET($H$3,0,0,'Données projet'!$E$12+1,1))</f>
        <v>298.56812743477741</v>
      </c>
      <c r="CE108" s="62">
        <f t="shared" si="94"/>
        <v>276.01618888357268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>
        <f>EXP(-LN(2)/35)*CK107+(1-EXP(-LN(2)/35))/(LN(2)/35)*CG108*CH108*VLOOKUP('Données projet'!$B$12,Paramètres!$A$1:$I$89,3,0)*0.475*44/12</f>
        <v>0</v>
      </c>
      <c r="CL108" s="23">
        <f>EXP(-LN(2)/25)*CL107+(1-EXP(-LN(2)/25))/(LN(2)/25)*Calculateur!CG108*Calculateur!CI108*VLOOKUP('Données projet'!$B$12,Paramètres!$A$1:$I$89,3,0)*0.475*44/12</f>
        <v>0</v>
      </c>
      <c r="CM108" s="23">
        <f>EXP(-LN(2)/2)*CM107+(1-EXP(-LN(2)/2))/(LN(2)/2)*CG108*CJ108*VLOOKUP('Données projet'!$B$12,Paramètres!$A$1:$I$89,3,0)*0.475*44/12</f>
        <v>0</v>
      </c>
      <c r="CN108" s="24">
        <f t="shared" si="66"/>
        <v>0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>
        <f>VLOOKUP(A108,'Données projet'!$A$139:$I$159,2,0)</f>
        <v>312.17948717948718</v>
      </c>
      <c r="CR108" s="13">
        <f>VLOOKUP(A108,'Données projet'!$A$139:$I$159,9,0)</f>
        <v>3.2051282051282102</v>
      </c>
      <c r="CS108" s="13">
        <f t="array" ref="CS108">INDEX(CR:CR,MIN(IF(ISNUMBER(CR108:CR304),ROW(CR108:CR304),"")))</f>
        <v>3.2051282051282102</v>
      </c>
      <c r="CT108" s="13">
        <f>IF('Données projet'!$A$140&gt;35,CT107+CS108-DB107,IF(A108&lt;'Données projet'!$A$140,$CQ$205^A108,IF(A108='Données projet'!$A$140,'Données projet'!$B$140,CT107+CS108-DB107)))</f>
        <v>312.17948717948747</v>
      </c>
      <c r="CU108" s="18">
        <f>CT108*VLOOKUP('Données projet'!$B$13,Paramètres!$A$1:$I$89,3,0)*VLOOKUP('Données projet'!$B$13,Paramètres!$A$1:$I$89,5,0)</f>
        <v>209.4100000000002</v>
      </c>
      <c r="CV108" s="14">
        <f t="shared" si="95"/>
        <v>51.806634750171575</v>
      </c>
      <c r="CW108" s="22">
        <f t="shared" si="67"/>
        <v>454.95230552321573</v>
      </c>
      <c r="CX108" s="62">
        <f t="shared" si="68"/>
        <v>733.69093360408749</v>
      </c>
      <c r="CY108" s="62">
        <f ca="1">AVERAGE(OFFSET($CX$3,0,0,'Données projet'!$E$13+1,1))-AVERAGE(OFFSET($H$3,0,0,'Données projet'!$E$13+1,1))</f>
        <v>346.82725381974132</v>
      </c>
      <c r="CZ108" s="62">
        <f t="shared" si="96"/>
        <v>254.09787950201044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>
        <f>EXP(-LN(2)/35)*DF107+(1-EXP(-LN(2)/35))/(LN(2)/35)*DB108*DC108*VLOOKUP('Données projet'!$B$13,Paramètres!$A$1:$I$89,3,0)*0.475*44/12</f>
        <v>0</v>
      </c>
      <c r="DG108" s="23">
        <f>EXP(-LN(2)/25)*DG107+(1-EXP(-LN(2)/25))/(LN(2)/25)*Calculateur!DB108*Calculateur!DD108*VLOOKUP('Données projet'!$B$13,Paramètres!$A$1:$I$89,3,0)*0.475*44/12</f>
        <v>0</v>
      </c>
      <c r="DH108" s="23">
        <f>EXP(-LN(2)/2)*DH107+(1-EXP(-LN(2)/2))/(LN(2)/2)*DB108*DE108*VLOOKUP('Données projet'!$B$13,Paramètres!$A$1:$I$89,3,0)*0.475*44/12</f>
        <v>0</v>
      </c>
      <c r="DI108" s="24">
        <f t="shared" si="69"/>
        <v>0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5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2">
        <f t="shared" si="86"/>
        <v>0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18.333333333333332</v>
      </c>
      <c r="H109" s="70">
        <f t="shared" si="56"/>
        <v>183.33333333333334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4.4000000000000004</v>
      </c>
      <c r="N109" s="14">
        <f>IF('Données projet'!$A$36&gt;35,N108+M109-V108,IF(A109&lt;'Données projet'!$A$36,$K$205^A109,IF(A109='Données projet'!$A$36,'Données projet'!$B$36,N108+M109-V108)))</f>
        <v>287.39999999999969</v>
      </c>
      <c r="O109" s="14">
        <f>N109*VLOOKUP('Données projet'!$B$9,Paramètres!$A$1:$I$89,3,0)*VLOOKUP('Données projet'!$B$9,Paramètres!$A$1:$I$89,5,0)</f>
        <v>260.0395199999997</v>
      </c>
      <c r="P109" s="14">
        <f t="shared" si="87"/>
        <v>62.730801948604821</v>
      </c>
      <c r="Q109" s="22">
        <f t="shared" si="107"/>
        <v>562.15831072715287</v>
      </c>
      <c r="R109" s="62">
        <f t="shared" si="55"/>
        <v>841.15012431528203</v>
      </c>
      <c r="S109" s="62">
        <f ca="1">AVERAGE(OFFSET($R$3,0,0,'Données projet'!$E$9+1,1))-AVERAGE(OFFSET($H$3,0,0,'Données projet'!$E$9+1,1))</f>
        <v>469.67944008675863</v>
      </c>
      <c r="T109" s="62">
        <f t="shared" si="88"/>
        <v>266.11908070867173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0</v>
      </c>
      <c r="AA109" s="23">
        <f>EXP(-LN(2)/25)*AA108+(1-EXP(-LN(2)/25))/(LN(2)/25)*Calculateur!V109*Calculateur!X109*VLOOKUP('Données projet'!$B$9,Paramètres!$A$1:$I$89,3,0)*0.475*44/12</f>
        <v>0</v>
      </c>
      <c r="AB109" s="23">
        <f>EXP(-LN(2)/2)*AB108+(1-EXP(-LN(2)/2))/(LN(2)/2)*V109*Y109*VLOOKUP('Données projet'!$B$9,Paramètres!$A$1:$I$89,3,0)*0.475*44/12</f>
        <v>0</v>
      </c>
      <c r="AC109" s="24">
        <f t="shared" si="57"/>
        <v>0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2.9487179487179485</v>
      </c>
      <c r="AI109" s="14">
        <f>IF('Données projet'!$A$62&gt;35,AI108+AH109-AQ108,IF(A109&lt;'Données projet'!$A$62,$AF$205^A109,IF(A109='Données projet'!$A$62,'Données projet'!$B$62,AI108+AH109-AQ108)))</f>
        <v>229.23076923076911</v>
      </c>
      <c r="AJ109" s="14">
        <f>AI109*VLOOKUP('Données projet'!$B$10,Paramètres!$A$1:$I$89,3,0)*VLOOKUP('Données projet'!$B$10,Paramètres!$A$1:$I$89,5,0)</f>
        <v>218.13599999999991</v>
      </c>
      <c r="AK109" s="14">
        <f t="shared" si="89"/>
        <v>53.709554122184592</v>
      </c>
      <c r="AL109" s="22">
        <f t="shared" si="58"/>
        <v>473.46434009613796</v>
      </c>
      <c r="AM109" s="62">
        <f t="shared" si="59"/>
        <v>752.45615368426706</v>
      </c>
      <c r="AN109" s="62">
        <f ca="1">AVERAGE(OFFSET($AM$3,0,0,'Données projet'!$E$10+1,1))-AVERAGE(OFFSET($H$3,0,0,'Données projet'!$E$10+1,1))</f>
        <v>400.48230125343474</v>
      </c>
      <c r="AO109" s="62">
        <f t="shared" si="90"/>
        <v>275.67023303885048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0</v>
      </c>
      <c r="AV109" s="23">
        <f>EXP(-LN(2)/25)*AV108+(1-EXP(-LN(2)/25))/(LN(2)/25)*Calculateur!AQ109*Calculateur!AS109*VLOOKUP('Données projet'!$B$10,Paramètres!$A$1:$I$89,3,0)*0.475*44/12</f>
        <v>0</v>
      </c>
      <c r="AW109" s="23">
        <f>EXP(-LN(2)/2)*AW108+(1-EXP(-LN(2)/2))/(LN(2)/2)*AQ109*AT109*VLOOKUP('Données projet'!$B$10,Paramètres!$A$1:$I$89,3,0)*0.475*44/12</f>
        <v>0</v>
      </c>
      <c r="AX109" s="23">
        <f t="shared" si="60"/>
        <v>0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4.4000000000000004</v>
      </c>
      <c r="BD109" s="13">
        <f>IF('Données projet'!$A$88&gt;35,BD108+BC109-BL108,IF(A109&lt;'Données projet'!$A$88,$BA$205^A109,IF(A109='Données projet'!$A$88,'Données projet'!$B$88,BD108+BC109-BL108)))</f>
        <v>287.39999999999969</v>
      </c>
      <c r="BE109" s="14">
        <f>BD109*VLOOKUP('Données projet'!$B$11,Paramètres!$A$1:$I$89,3,0)*VLOOKUP('Données projet'!$B$11,Paramètres!$A$1:$I$89,5,0)</f>
        <v>277.9732799999997</v>
      </c>
      <c r="BF109" s="14">
        <f t="shared" si="91"/>
        <v>66.538523764973135</v>
      </c>
      <c r="BG109" s="22">
        <f t="shared" si="61"/>
        <v>600.0247248906611</v>
      </c>
      <c r="BH109" s="62">
        <f t="shared" si="62"/>
        <v>879.01653847879015</v>
      </c>
      <c r="BI109" s="62">
        <f ca="1">AVERAGE(OFFSET($BH$3,0,0,'Données projet'!$E$11+1,1))-AVERAGE(OFFSET($H$3,0,0,'Données projet'!$E$11+1,1))</f>
        <v>496.33873798282525</v>
      </c>
      <c r="BJ109" s="62">
        <f t="shared" si="92"/>
        <v>280.25465074992246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>
        <f>EXP(-LN(2)/35)*BP108+(1-EXP(-LN(2)/35))/(LN(2)/35)*BL109*BM109*VLOOKUP('Données projet'!$B$11,Paramètres!$A$1:$I$89,3,0)*0.475*44/12</f>
        <v>0</v>
      </c>
      <c r="BQ109" s="23">
        <f>EXP(-LN(2)/25)*BQ108+(1-EXP(-LN(2)/25))/(LN(2)/25)*Calculateur!BL109*Calculateur!BN109*VLOOKUP('Données projet'!$B$11,Paramètres!$A$1:$I$89,3,0)*0.475*44/12</f>
        <v>0</v>
      </c>
      <c r="BR109" s="23">
        <f>EXP(-LN(2)/2)*BR108+(1-EXP(-LN(2)/2))/(LN(2)/2)*BL109*BO109*VLOOKUP('Données projet'!$B$11,Paramètres!$A$1:$I$89,3,0)*0.475*44/12</f>
        <v>0</v>
      </c>
      <c r="BS109" s="24">
        <f t="shared" si="63"/>
        <v>0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-1.1368683772161603E-13</v>
      </c>
      <c r="BZ109" s="14">
        <f>BY109*VLOOKUP('Données projet'!$B$12,Paramètres!$A$1:$I$89,3,0)*VLOOKUP('Données projet'!$B$12,Paramètres!$A$1:$I$89,5,0)</f>
        <v>-9.9316821433603781E-14</v>
      </c>
      <c r="CA109" s="14" t="e">
        <f t="shared" si="93"/>
        <v>#NUM!</v>
      </c>
      <c r="CB109" s="22" t="e">
        <f t="shared" si="64"/>
        <v>#NUM!</v>
      </c>
      <c r="CC109" s="62" t="e">
        <f t="shared" si="65"/>
        <v>#NUM!</v>
      </c>
      <c r="CD109" s="62">
        <f ca="1">AVERAGE(OFFSET($CC$3,0,0,'Données projet'!$E$12+1,1))-AVERAGE(OFFSET($H$3,0,0,'Données projet'!$E$12+1,1))</f>
        <v>298.56812743477741</v>
      </c>
      <c r="CE109" s="62">
        <f t="shared" si="94"/>
        <v>276.01618888357268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>
        <f>EXP(-LN(2)/35)*CK108+(1-EXP(-LN(2)/35))/(LN(2)/35)*CG109*CH109*VLOOKUP('Données projet'!$B$12,Paramètres!$A$1:$I$89,3,0)*0.475*44/12</f>
        <v>0</v>
      </c>
      <c r="CL109" s="23">
        <f>EXP(-LN(2)/25)*CL108+(1-EXP(-LN(2)/25))/(LN(2)/25)*Calculateur!CG109*Calculateur!CI109*VLOOKUP('Données projet'!$B$12,Paramètres!$A$1:$I$89,3,0)*0.475*44/12</f>
        <v>0</v>
      </c>
      <c r="CM109" s="23">
        <f>EXP(-LN(2)/2)*CM108+(1-EXP(-LN(2)/2))/(LN(2)/2)*CG109*CJ109*VLOOKUP('Données projet'!$B$12,Paramètres!$A$1:$I$89,3,0)*0.475*44/12</f>
        <v>0</v>
      </c>
      <c r="CN109" s="24">
        <f t="shared" si="66"/>
        <v>0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3.3333333333333259</v>
      </c>
      <c r="CT109" s="13">
        <f>IF('Données projet'!$A$140&gt;35,CT108+CS109-DB108,IF(A109&lt;'Données projet'!$A$140,$CQ$205^A109,IF(A109='Données projet'!$A$140,'Données projet'!$B$140,CT108+CS109-DB108)))</f>
        <v>315.51282051282078</v>
      </c>
      <c r="CU109" s="18">
        <f>CT109*VLOOKUP('Données projet'!$B$13,Paramètres!$A$1:$I$89,3,0)*VLOOKUP('Données projet'!$B$13,Paramètres!$A$1:$I$89,5,0)</f>
        <v>211.64600000000016</v>
      </c>
      <c r="CV109" s="14">
        <f t="shared" si="95"/>
        <v>52.295114504226561</v>
      </c>
      <c r="CW109" s="22">
        <f t="shared" si="67"/>
        <v>459.69744109486152</v>
      </c>
      <c r="CX109" s="62">
        <f t="shared" si="68"/>
        <v>738.68925468299062</v>
      </c>
      <c r="CY109" s="62">
        <f ca="1">AVERAGE(OFFSET($CX$3,0,0,'Données projet'!$E$13+1,1))-AVERAGE(OFFSET($H$3,0,0,'Données projet'!$E$13+1,1))</f>
        <v>346.82725381974132</v>
      </c>
      <c r="CZ109" s="62">
        <f t="shared" si="96"/>
        <v>254.09787950201044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>
        <f>EXP(-LN(2)/35)*DF108+(1-EXP(-LN(2)/35))/(LN(2)/35)*DB109*DC109*VLOOKUP('Données projet'!$B$13,Paramètres!$A$1:$I$89,3,0)*0.475*44/12</f>
        <v>0</v>
      </c>
      <c r="DG109" s="23">
        <f>EXP(-LN(2)/25)*DG108+(1-EXP(-LN(2)/25))/(LN(2)/25)*Calculateur!DB109*Calculateur!DD109*VLOOKUP('Données projet'!$B$13,Paramètres!$A$1:$I$89,3,0)*0.475*44/12</f>
        <v>0</v>
      </c>
      <c r="DH109" s="23">
        <f>EXP(-LN(2)/2)*DH108+(1-EXP(-LN(2)/2))/(LN(2)/2)*DB109*DE109*VLOOKUP('Données projet'!$B$13,Paramètres!$A$1:$I$89,3,0)*0.475*44/12</f>
        <v>0</v>
      </c>
      <c r="DI109" s="24">
        <f t="shared" si="69"/>
        <v>0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5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2">
        <f t="shared" si="86"/>
        <v>0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18.333333333333332</v>
      </c>
      <c r="H110" s="70">
        <f t="shared" si="56"/>
        <v>183.33333333333334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4.4000000000000004</v>
      </c>
      <c r="N110" s="14">
        <f>IF('Données projet'!$A$36&gt;35,N109+M110-V109,IF(A110&lt;'Données projet'!$A$36,$K$205^A110,IF(A110='Données projet'!$A$36,'Données projet'!$B$36,N109+M110-V109)))</f>
        <v>291.79999999999967</v>
      </c>
      <c r="O110" s="14">
        <f>N110*VLOOKUP('Données projet'!$B$9,Paramètres!$A$1:$I$89,3,0)*VLOOKUP('Données projet'!$B$9,Paramètres!$A$1:$I$89,5,0)</f>
        <v>264.02063999999967</v>
      </c>
      <c r="P110" s="14">
        <f t="shared" si="87"/>
        <v>63.57864899095906</v>
      </c>
      <c r="Q110" s="22">
        <f t="shared" si="107"/>
        <v>570.56876165925303</v>
      </c>
      <c r="R110" s="62">
        <f t="shared" si="55"/>
        <v>849.80936855212667</v>
      </c>
      <c r="S110" s="62">
        <f ca="1">AVERAGE(OFFSET($R$3,0,0,'Données projet'!$E$9+1,1))-AVERAGE(OFFSET($H$3,0,0,'Données projet'!$E$9+1,1))</f>
        <v>469.67944008675863</v>
      </c>
      <c r="T110" s="62">
        <f t="shared" si="88"/>
        <v>266.11908070867173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0</v>
      </c>
      <c r="AA110" s="23">
        <f>EXP(-LN(2)/25)*AA109+(1-EXP(-LN(2)/25))/(LN(2)/25)*Calculateur!V110*Calculateur!X110*VLOOKUP('Données projet'!$B$9,Paramètres!$A$1:$I$89,3,0)*0.475*44/12</f>
        <v>0</v>
      </c>
      <c r="AB110" s="23">
        <f>EXP(-LN(2)/2)*AB109+(1-EXP(-LN(2)/2))/(LN(2)/2)*V110*Y110*VLOOKUP('Données projet'!$B$9,Paramètres!$A$1:$I$89,3,0)*0.475*44/12</f>
        <v>0</v>
      </c>
      <c r="AC110" s="24">
        <f t="shared" si="57"/>
        <v>0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2.9487179487179485</v>
      </c>
      <c r="AI110" s="14">
        <f>IF('Données projet'!$A$62&gt;35,AI109+AH110-AQ109,IF(A110&lt;'Données projet'!$A$62,$AF$205^A110,IF(A110='Données projet'!$A$62,'Données projet'!$B$62,AI109+AH110-AQ109)))</f>
        <v>232.17948717948707</v>
      </c>
      <c r="AJ110" s="14">
        <f>AI110*VLOOKUP('Données projet'!$B$10,Paramètres!$A$1:$I$89,3,0)*VLOOKUP('Données projet'!$B$10,Paramètres!$A$1:$I$89,5,0)</f>
        <v>220.94199999999989</v>
      </c>
      <c r="AK110" s="14">
        <f t="shared" si="89"/>
        <v>54.319573826128526</v>
      </c>
      <c r="AL110" s="22">
        <f t="shared" si="58"/>
        <v>479.41390774717365</v>
      </c>
      <c r="AM110" s="62">
        <f t="shared" si="59"/>
        <v>758.6545146400473</v>
      </c>
      <c r="AN110" s="62">
        <f ca="1">AVERAGE(OFFSET($AM$3,0,0,'Données projet'!$E$10+1,1))-AVERAGE(OFFSET($H$3,0,0,'Données projet'!$E$10+1,1))</f>
        <v>400.48230125343474</v>
      </c>
      <c r="AO110" s="62">
        <f t="shared" si="90"/>
        <v>275.67023303885048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0</v>
      </c>
      <c r="AV110" s="23">
        <f>EXP(-LN(2)/25)*AV109+(1-EXP(-LN(2)/25))/(LN(2)/25)*Calculateur!AQ110*Calculateur!AS110*VLOOKUP('Données projet'!$B$10,Paramètres!$A$1:$I$89,3,0)*0.475*44/12</f>
        <v>0</v>
      </c>
      <c r="AW110" s="23">
        <f>EXP(-LN(2)/2)*AW109+(1-EXP(-LN(2)/2))/(LN(2)/2)*AQ110*AT110*VLOOKUP('Données projet'!$B$10,Paramètres!$A$1:$I$89,3,0)*0.475*44/12</f>
        <v>0</v>
      </c>
      <c r="AX110" s="23">
        <f t="shared" si="60"/>
        <v>0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4.4000000000000004</v>
      </c>
      <c r="BD110" s="13">
        <f>IF('Données projet'!$A$88&gt;35,BD109+BC110-BL109,IF(A110&lt;'Données projet'!$A$88,$BA$205^A110,IF(A110='Données projet'!$A$88,'Données projet'!$B$88,BD109+BC110-BL109)))</f>
        <v>291.79999999999967</v>
      </c>
      <c r="BE110" s="14">
        <f>BD110*VLOOKUP('Données projet'!$B$11,Paramètres!$A$1:$I$89,3,0)*VLOOKUP('Données projet'!$B$11,Paramètres!$A$1:$I$89,5,0)</f>
        <v>282.22895999999969</v>
      </c>
      <c r="BF110" s="14">
        <f t="shared" si="91"/>
        <v>67.437834611070301</v>
      </c>
      <c r="BG110" s="22">
        <f t="shared" si="61"/>
        <v>609.00300061428027</v>
      </c>
      <c r="BH110" s="62">
        <f t="shared" si="62"/>
        <v>888.24360750715391</v>
      </c>
      <c r="BI110" s="62">
        <f ca="1">AVERAGE(OFFSET($BH$3,0,0,'Données projet'!$E$11+1,1))-AVERAGE(OFFSET($H$3,0,0,'Données projet'!$E$11+1,1))</f>
        <v>496.33873798282525</v>
      </c>
      <c r="BJ110" s="62">
        <f t="shared" si="92"/>
        <v>280.25465074992246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>
        <f>EXP(-LN(2)/35)*BP109+(1-EXP(-LN(2)/35))/(LN(2)/35)*BL110*BM110*VLOOKUP('Données projet'!$B$11,Paramètres!$A$1:$I$89,3,0)*0.475*44/12</f>
        <v>0</v>
      </c>
      <c r="BQ110" s="23">
        <f>EXP(-LN(2)/25)*BQ109+(1-EXP(-LN(2)/25))/(LN(2)/25)*Calculateur!BL110*Calculateur!BN110*VLOOKUP('Données projet'!$B$11,Paramètres!$A$1:$I$89,3,0)*0.475*44/12</f>
        <v>0</v>
      </c>
      <c r="BR110" s="23">
        <f>EXP(-LN(2)/2)*BR109+(1-EXP(-LN(2)/2))/(LN(2)/2)*BL110*BO110*VLOOKUP('Données projet'!$B$11,Paramètres!$A$1:$I$89,3,0)*0.475*44/12</f>
        <v>0</v>
      </c>
      <c r="BS110" s="24">
        <f t="shared" si="63"/>
        <v>0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-1.1368683772161603E-13</v>
      </c>
      <c r="BZ110" s="14">
        <f>BY110*VLOOKUP('Données projet'!$B$12,Paramètres!$A$1:$I$89,3,0)*VLOOKUP('Données projet'!$B$12,Paramètres!$A$1:$I$89,5,0)</f>
        <v>-9.9316821433603781E-14</v>
      </c>
      <c r="CA110" s="14" t="e">
        <f t="shared" si="93"/>
        <v>#NUM!</v>
      </c>
      <c r="CB110" s="22" t="e">
        <f t="shared" si="64"/>
        <v>#NUM!</v>
      </c>
      <c r="CC110" s="62" t="e">
        <f t="shared" si="65"/>
        <v>#NUM!</v>
      </c>
      <c r="CD110" s="62">
        <f ca="1">AVERAGE(OFFSET($CC$3,0,0,'Données projet'!$E$12+1,1))-AVERAGE(OFFSET($H$3,0,0,'Données projet'!$E$12+1,1))</f>
        <v>298.56812743477741</v>
      </c>
      <c r="CE110" s="62">
        <f t="shared" si="94"/>
        <v>276.01618888357268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>
        <f>EXP(-LN(2)/35)*CK109+(1-EXP(-LN(2)/35))/(LN(2)/35)*CG110*CH110*VLOOKUP('Données projet'!$B$12,Paramètres!$A$1:$I$89,3,0)*0.475*44/12</f>
        <v>0</v>
      </c>
      <c r="CL110" s="23">
        <f>EXP(-LN(2)/25)*CL109+(1-EXP(-LN(2)/25))/(LN(2)/25)*Calculateur!CG110*Calculateur!CI110*VLOOKUP('Données projet'!$B$12,Paramètres!$A$1:$I$89,3,0)*0.475*44/12</f>
        <v>0</v>
      </c>
      <c r="CM110" s="23">
        <f>EXP(-LN(2)/2)*CM109+(1-EXP(-LN(2)/2))/(LN(2)/2)*CG110*CJ110*VLOOKUP('Données projet'!$B$12,Paramètres!$A$1:$I$89,3,0)*0.475*44/12</f>
        <v>0</v>
      </c>
      <c r="CN110" s="24">
        <f t="shared" si="66"/>
        <v>0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3.3333333333333259</v>
      </c>
      <c r="CT110" s="13">
        <f>IF('Données projet'!$A$140&gt;35,CT109+CS110-DB109,IF(A110&lt;'Données projet'!$A$140,$CQ$205^A110,IF(A110='Données projet'!$A$140,'Données projet'!$B$140,CT109+CS110-DB109)))</f>
        <v>318.8461538461541</v>
      </c>
      <c r="CU110" s="18">
        <f>CT110*VLOOKUP('Données projet'!$B$13,Paramètres!$A$1:$I$89,3,0)*VLOOKUP('Données projet'!$B$13,Paramètres!$A$1:$I$89,5,0)</f>
        <v>213.88200000000018</v>
      </c>
      <c r="CV110" s="14">
        <f t="shared" si="95"/>
        <v>52.782993910626104</v>
      </c>
      <c r="CW110" s="22">
        <f t="shared" si="67"/>
        <v>464.44153106100742</v>
      </c>
      <c r="CX110" s="62">
        <f t="shared" si="68"/>
        <v>743.68213795388101</v>
      </c>
      <c r="CY110" s="62">
        <f ca="1">AVERAGE(OFFSET($CX$3,0,0,'Données projet'!$E$13+1,1))-AVERAGE(OFFSET($H$3,0,0,'Données projet'!$E$13+1,1))</f>
        <v>346.82725381974132</v>
      </c>
      <c r="CZ110" s="62">
        <f t="shared" si="96"/>
        <v>254.09787950201044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>
        <f>EXP(-LN(2)/35)*DF109+(1-EXP(-LN(2)/35))/(LN(2)/35)*DB110*DC110*VLOOKUP('Données projet'!$B$13,Paramètres!$A$1:$I$89,3,0)*0.475*44/12</f>
        <v>0</v>
      </c>
      <c r="DG110" s="23">
        <f>EXP(-LN(2)/25)*DG109+(1-EXP(-LN(2)/25))/(LN(2)/25)*Calculateur!DB110*Calculateur!DD110*VLOOKUP('Données projet'!$B$13,Paramètres!$A$1:$I$89,3,0)*0.475*44/12</f>
        <v>0</v>
      </c>
      <c r="DH110" s="23">
        <f>EXP(-LN(2)/2)*DH109+(1-EXP(-LN(2)/2))/(LN(2)/2)*DB110*DE110*VLOOKUP('Données projet'!$B$13,Paramètres!$A$1:$I$89,3,0)*0.475*44/12</f>
        <v>0</v>
      </c>
      <c r="DI110" s="24">
        <f t="shared" si="69"/>
        <v>0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5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2">
        <f t="shared" si="86"/>
        <v>0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18.333333333333332</v>
      </c>
      <c r="H111" s="70">
        <f t="shared" si="56"/>
        <v>183.33333333333334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4.4000000000000004</v>
      </c>
      <c r="N111" s="14">
        <f>IF('Données projet'!$A$36&gt;35,N110+M111-V110,IF(A111&lt;'Données projet'!$A$36,$K$205^A111,IF(A111='Données projet'!$A$36,'Données projet'!$B$36,N110+M111-V110)))</f>
        <v>296.19999999999965</v>
      </c>
      <c r="O111" s="14">
        <f>N111*VLOOKUP('Données projet'!$B$9,Paramètres!$A$1:$I$89,3,0)*VLOOKUP('Données projet'!$B$9,Paramètres!$A$1:$I$89,5,0)</f>
        <v>268.00175999999971</v>
      </c>
      <c r="P111" s="14">
        <f t="shared" si="87"/>
        <v>64.425009159185521</v>
      </c>
      <c r="Q111" s="22">
        <f t="shared" si="107"/>
        <v>578.97662295224757</v>
      </c>
      <c r="R111" s="62">
        <f t="shared" si="55"/>
        <v>858.46170714224695</v>
      </c>
      <c r="S111" s="62">
        <f ca="1">AVERAGE(OFFSET($R$3,0,0,'Données projet'!$E$9+1,1))-AVERAGE(OFFSET($H$3,0,0,'Données projet'!$E$9+1,1))</f>
        <v>469.67944008675863</v>
      </c>
      <c r="T111" s="62">
        <f t="shared" si="88"/>
        <v>266.11908070867173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0</v>
      </c>
      <c r="AA111" s="23">
        <f>EXP(-LN(2)/25)*AA110+(1-EXP(-LN(2)/25))/(LN(2)/25)*Calculateur!V111*Calculateur!X111*VLOOKUP('Données projet'!$B$9,Paramètres!$A$1:$I$89,3,0)*0.475*44/12</f>
        <v>0</v>
      </c>
      <c r="AB111" s="23">
        <f>EXP(-LN(2)/2)*AB110+(1-EXP(-LN(2)/2))/(LN(2)/2)*V111*Y111*VLOOKUP('Données projet'!$B$9,Paramètres!$A$1:$I$89,3,0)*0.475*44/12</f>
        <v>0</v>
      </c>
      <c r="AC111" s="24">
        <f t="shared" si="57"/>
        <v>0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2.9487179487179485</v>
      </c>
      <c r="AI111" s="14">
        <f>IF('Données projet'!$A$62&gt;35,AI110+AH111-AQ110,IF(A111&lt;'Données projet'!$A$62,$AF$205^A111,IF(A111='Données projet'!$A$62,'Données projet'!$B$62,AI110+AH111-AQ110)))</f>
        <v>235.12820512820502</v>
      </c>
      <c r="AJ111" s="14">
        <f>AI111*VLOOKUP('Données projet'!$B$10,Paramètres!$A$1:$I$89,3,0)*VLOOKUP('Données projet'!$B$10,Paramètres!$A$1:$I$89,5,0)</f>
        <v>223.74799999999991</v>
      </c>
      <c r="AK111" s="14">
        <f t="shared" si="89"/>
        <v>54.928692378995628</v>
      </c>
      <c r="AL111" s="22">
        <f t="shared" si="58"/>
        <v>485.36190589341726</v>
      </c>
      <c r="AM111" s="62">
        <f t="shared" si="59"/>
        <v>764.84699008341659</v>
      </c>
      <c r="AN111" s="62">
        <f ca="1">AVERAGE(OFFSET($AM$3,0,0,'Données projet'!$E$10+1,1))-AVERAGE(OFFSET($H$3,0,0,'Données projet'!$E$10+1,1))</f>
        <v>400.48230125343474</v>
      </c>
      <c r="AO111" s="62">
        <f t="shared" si="90"/>
        <v>275.67023303885048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0</v>
      </c>
      <c r="AV111" s="23">
        <f>EXP(-LN(2)/25)*AV110+(1-EXP(-LN(2)/25))/(LN(2)/25)*Calculateur!AQ111*Calculateur!AS111*VLOOKUP('Données projet'!$B$10,Paramètres!$A$1:$I$89,3,0)*0.475*44/12</f>
        <v>0</v>
      </c>
      <c r="AW111" s="23">
        <f>EXP(-LN(2)/2)*AW110+(1-EXP(-LN(2)/2))/(LN(2)/2)*AQ111*AT111*VLOOKUP('Données projet'!$B$10,Paramètres!$A$1:$I$89,3,0)*0.475*44/12</f>
        <v>0</v>
      </c>
      <c r="AX111" s="23">
        <f t="shared" si="60"/>
        <v>0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4.4000000000000004</v>
      </c>
      <c r="BD111" s="13">
        <f>IF('Données projet'!$A$88&gt;35,BD110+BC111-BL110,IF(A111&lt;'Données projet'!$A$88,$BA$205^A111,IF(A111='Données projet'!$A$88,'Données projet'!$B$88,BD110+BC111-BL110)))</f>
        <v>296.19999999999965</v>
      </c>
      <c r="BE111" s="14">
        <f>BD111*VLOOKUP('Données projet'!$B$11,Paramètres!$A$1:$I$89,3,0)*VLOOKUP('Données projet'!$B$11,Paramètres!$A$1:$I$89,5,0)</f>
        <v>286.48463999999967</v>
      </c>
      <c r="BF111" s="14">
        <f t="shared" si="91"/>
        <v>68.335568330677432</v>
      </c>
      <c r="BG111" s="22">
        <f t="shared" si="61"/>
        <v>617.97852950926267</v>
      </c>
      <c r="BH111" s="62">
        <f t="shared" si="62"/>
        <v>897.46361369926194</v>
      </c>
      <c r="BI111" s="62">
        <f ca="1">AVERAGE(OFFSET($BH$3,0,0,'Données projet'!$E$11+1,1))-AVERAGE(OFFSET($H$3,0,0,'Données projet'!$E$11+1,1))</f>
        <v>496.33873798282525</v>
      </c>
      <c r="BJ111" s="62">
        <f t="shared" si="92"/>
        <v>280.25465074992246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>
        <f>EXP(-LN(2)/35)*BP110+(1-EXP(-LN(2)/35))/(LN(2)/35)*BL111*BM111*VLOOKUP('Données projet'!$B$11,Paramètres!$A$1:$I$89,3,0)*0.475*44/12</f>
        <v>0</v>
      </c>
      <c r="BQ111" s="23">
        <f>EXP(-LN(2)/25)*BQ110+(1-EXP(-LN(2)/25))/(LN(2)/25)*Calculateur!BL111*Calculateur!BN111*VLOOKUP('Données projet'!$B$11,Paramètres!$A$1:$I$89,3,0)*0.475*44/12</f>
        <v>0</v>
      </c>
      <c r="BR111" s="23">
        <f>EXP(-LN(2)/2)*BR110+(1-EXP(-LN(2)/2))/(LN(2)/2)*BL111*BO111*VLOOKUP('Données projet'!$B$11,Paramètres!$A$1:$I$89,3,0)*0.475*44/12</f>
        <v>0</v>
      </c>
      <c r="BS111" s="24">
        <f t="shared" si="63"/>
        <v>0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-1.1368683772161603E-13</v>
      </c>
      <c r="BZ111" s="14">
        <f>BY111*VLOOKUP('Données projet'!$B$12,Paramètres!$A$1:$I$89,3,0)*VLOOKUP('Données projet'!$B$12,Paramètres!$A$1:$I$89,5,0)</f>
        <v>-9.9316821433603781E-14</v>
      </c>
      <c r="CA111" s="14" t="e">
        <f t="shared" si="93"/>
        <v>#NUM!</v>
      </c>
      <c r="CB111" s="22" t="e">
        <f t="shared" si="64"/>
        <v>#NUM!</v>
      </c>
      <c r="CC111" s="62" t="e">
        <f t="shared" si="65"/>
        <v>#NUM!</v>
      </c>
      <c r="CD111" s="62">
        <f ca="1">AVERAGE(OFFSET($CC$3,0,0,'Données projet'!$E$12+1,1))-AVERAGE(OFFSET($H$3,0,0,'Données projet'!$E$12+1,1))</f>
        <v>298.56812743477741</v>
      </c>
      <c r="CE111" s="62">
        <f t="shared" si="94"/>
        <v>276.01618888357268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>
        <f>EXP(-LN(2)/35)*CK110+(1-EXP(-LN(2)/35))/(LN(2)/35)*CG111*CH111*VLOOKUP('Données projet'!$B$12,Paramètres!$A$1:$I$89,3,0)*0.475*44/12</f>
        <v>0</v>
      </c>
      <c r="CL111" s="23">
        <f>EXP(-LN(2)/25)*CL110+(1-EXP(-LN(2)/25))/(LN(2)/25)*Calculateur!CG111*Calculateur!CI111*VLOOKUP('Données projet'!$B$12,Paramètres!$A$1:$I$89,3,0)*0.475*44/12</f>
        <v>0</v>
      </c>
      <c r="CM111" s="23">
        <f>EXP(-LN(2)/2)*CM110+(1-EXP(-LN(2)/2))/(LN(2)/2)*CG111*CJ111*VLOOKUP('Données projet'!$B$12,Paramètres!$A$1:$I$89,3,0)*0.475*44/12</f>
        <v>0</v>
      </c>
      <c r="CN111" s="24">
        <f t="shared" si="66"/>
        <v>0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3.3333333333333259</v>
      </c>
      <c r="CT111" s="13">
        <f>IF('Données projet'!$A$140&gt;35,CT110+CS111-DB110,IF(A111&lt;'Données projet'!$A$140,$CQ$205^A111,IF(A111='Données projet'!$A$140,'Données projet'!$B$140,CT110+CS111-DB110)))</f>
        <v>322.17948717948741</v>
      </c>
      <c r="CU111" s="18">
        <f>CT111*VLOOKUP('Données projet'!$B$13,Paramètres!$A$1:$I$89,3,0)*VLOOKUP('Données projet'!$B$13,Paramètres!$A$1:$I$89,5,0)</f>
        <v>216.11800000000014</v>
      </c>
      <c r="CV111" s="14">
        <f t="shared" si="95"/>
        <v>53.27027997217273</v>
      </c>
      <c r="CW111" s="22">
        <f t="shared" si="67"/>
        <v>469.18458761820108</v>
      </c>
      <c r="CX111" s="62">
        <f t="shared" si="68"/>
        <v>748.66967180820041</v>
      </c>
      <c r="CY111" s="62">
        <f ca="1">AVERAGE(OFFSET($CX$3,0,0,'Données projet'!$E$13+1,1))-AVERAGE(OFFSET($H$3,0,0,'Données projet'!$E$13+1,1))</f>
        <v>346.82725381974132</v>
      </c>
      <c r="CZ111" s="62">
        <f t="shared" si="96"/>
        <v>254.09787950201044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>
        <f>EXP(-LN(2)/35)*DF110+(1-EXP(-LN(2)/35))/(LN(2)/35)*DB111*DC111*VLOOKUP('Données projet'!$B$13,Paramètres!$A$1:$I$89,3,0)*0.475*44/12</f>
        <v>0</v>
      </c>
      <c r="DG111" s="23">
        <f>EXP(-LN(2)/25)*DG110+(1-EXP(-LN(2)/25))/(LN(2)/25)*Calculateur!DB111*Calculateur!DD111*VLOOKUP('Données projet'!$B$13,Paramètres!$A$1:$I$89,3,0)*0.475*44/12</f>
        <v>0</v>
      </c>
      <c r="DH111" s="23">
        <f>EXP(-LN(2)/2)*DH110+(1-EXP(-LN(2)/2))/(LN(2)/2)*DB111*DE111*VLOOKUP('Données projet'!$B$13,Paramètres!$A$1:$I$89,3,0)*0.475*44/12</f>
        <v>0</v>
      </c>
      <c r="DI111" s="24">
        <f t="shared" si="69"/>
        <v>0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5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2">
        <f t="shared" si="86"/>
        <v>0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18.333333333333332</v>
      </c>
      <c r="H112" s="70">
        <f t="shared" si="56"/>
        <v>183.33333333333334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4.4000000000000004</v>
      </c>
      <c r="N112" s="14">
        <f>IF('Données projet'!$A$36&gt;35,N111+M112-V111,IF(A112&lt;'Données projet'!$A$36,$K$205^A112,IF(A112='Données projet'!$A$36,'Données projet'!$B$36,N111+M112-V111)))</f>
        <v>300.59999999999962</v>
      </c>
      <c r="O112" s="14">
        <f>N112*VLOOKUP('Données projet'!$B$9,Paramètres!$A$1:$I$89,3,0)*VLOOKUP('Données projet'!$B$9,Paramètres!$A$1:$I$89,5,0)</f>
        <v>271.98287999999962</v>
      </c>
      <c r="P112" s="14">
        <f t="shared" si="87"/>
        <v>65.269907092018684</v>
      </c>
      <c r="Q112" s="22">
        <f t="shared" si="107"/>
        <v>587.38193751859842</v>
      </c>
      <c r="R112" s="62">
        <f t="shared" si="55"/>
        <v>867.1072578711877</v>
      </c>
      <c r="S112" s="62">
        <f ca="1">AVERAGE(OFFSET($R$3,0,0,'Données projet'!$E$9+1,1))-AVERAGE(OFFSET($H$3,0,0,'Données projet'!$E$9+1,1))</f>
        <v>469.67944008675863</v>
      </c>
      <c r="T112" s="62">
        <f t="shared" si="88"/>
        <v>266.11908070867173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0</v>
      </c>
      <c r="AA112" s="23">
        <f>EXP(-LN(2)/25)*AA111+(1-EXP(-LN(2)/25))/(LN(2)/25)*Calculateur!V112*Calculateur!X112*VLOOKUP('Données projet'!$B$9,Paramètres!$A$1:$I$89,3,0)*0.475*44/12</f>
        <v>0</v>
      </c>
      <c r="AB112" s="23">
        <f>EXP(-LN(2)/2)*AB111+(1-EXP(-LN(2)/2))/(LN(2)/2)*V112*Y112*VLOOKUP('Données projet'!$B$9,Paramètres!$A$1:$I$89,3,0)*0.475*44/12</f>
        <v>0</v>
      </c>
      <c r="AC112" s="24">
        <f t="shared" si="57"/>
        <v>0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2.9487179487179485</v>
      </c>
      <c r="AI112" s="14">
        <f>IF('Données projet'!$A$62&gt;35,AI111+AH112-AQ111,IF(A112&lt;'Données projet'!$A$62,$AF$205^A112,IF(A112='Données projet'!$A$62,'Données projet'!$B$62,AI111+AH112-AQ111)))</f>
        <v>238.07692307692298</v>
      </c>
      <c r="AJ112" s="14">
        <f>AI112*VLOOKUP('Données projet'!$B$10,Paramètres!$A$1:$I$89,3,0)*VLOOKUP('Données projet'!$B$10,Paramètres!$A$1:$I$89,5,0)</f>
        <v>226.55399999999992</v>
      </c>
      <c r="AK112" s="14">
        <f t="shared" si="89"/>
        <v>55.536922388951133</v>
      </c>
      <c r="AL112" s="22">
        <f t="shared" si="58"/>
        <v>491.30835649408982</v>
      </c>
      <c r="AM112" s="62">
        <f t="shared" si="59"/>
        <v>771.0336768466791</v>
      </c>
      <c r="AN112" s="62">
        <f ca="1">AVERAGE(OFFSET($AM$3,0,0,'Données projet'!$E$10+1,1))-AVERAGE(OFFSET($H$3,0,0,'Données projet'!$E$10+1,1))</f>
        <v>400.48230125343474</v>
      </c>
      <c r="AO112" s="62">
        <f t="shared" si="90"/>
        <v>275.67023303885048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0</v>
      </c>
      <c r="AV112" s="23">
        <f>EXP(-LN(2)/25)*AV111+(1-EXP(-LN(2)/25))/(LN(2)/25)*Calculateur!AQ112*Calculateur!AS112*VLOOKUP('Données projet'!$B$10,Paramètres!$A$1:$I$89,3,0)*0.475*44/12</f>
        <v>0</v>
      </c>
      <c r="AW112" s="23">
        <f>EXP(-LN(2)/2)*AW111+(1-EXP(-LN(2)/2))/(LN(2)/2)*AQ112*AT112*VLOOKUP('Données projet'!$B$10,Paramètres!$A$1:$I$89,3,0)*0.475*44/12</f>
        <v>0</v>
      </c>
      <c r="AX112" s="23">
        <f t="shared" si="60"/>
        <v>0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4.4000000000000004</v>
      </c>
      <c r="BD112" s="13">
        <f>IF('Données projet'!$A$88&gt;35,BD111+BC112-BL111,IF(A112&lt;'Données projet'!$A$88,$BA$205^A112,IF(A112='Données projet'!$A$88,'Données projet'!$B$88,BD111+BC112-BL111)))</f>
        <v>300.59999999999962</v>
      </c>
      <c r="BE112" s="14">
        <f>BD112*VLOOKUP('Données projet'!$B$11,Paramètres!$A$1:$I$89,3,0)*VLOOKUP('Données projet'!$B$11,Paramètres!$A$1:$I$89,5,0)</f>
        <v>290.74031999999966</v>
      </c>
      <c r="BF112" s="14">
        <f t="shared" si="91"/>
        <v>69.231751058085507</v>
      </c>
      <c r="BG112" s="22">
        <f t="shared" si="61"/>
        <v>626.95135709283159</v>
      </c>
      <c r="BH112" s="62">
        <f t="shared" si="62"/>
        <v>906.67667744542086</v>
      </c>
      <c r="BI112" s="62">
        <f ca="1">AVERAGE(OFFSET($BH$3,0,0,'Données projet'!$E$11+1,1))-AVERAGE(OFFSET($H$3,0,0,'Données projet'!$E$11+1,1))</f>
        <v>496.33873798282525</v>
      </c>
      <c r="BJ112" s="62">
        <f t="shared" si="92"/>
        <v>280.25465074992246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>
        <f>EXP(-LN(2)/35)*BP111+(1-EXP(-LN(2)/35))/(LN(2)/35)*BL112*BM112*VLOOKUP('Données projet'!$B$11,Paramètres!$A$1:$I$89,3,0)*0.475*44/12</f>
        <v>0</v>
      </c>
      <c r="BQ112" s="23">
        <f>EXP(-LN(2)/25)*BQ111+(1-EXP(-LN(2)/25))/(LN(2)/25)*Calculateur!BL112*Calculateur!BN112*VLOOKUP('Données projet'!$B$11,Paramètres!$A$1:$I$89,3,0)*0.475*44/12</f>
        <v>0</v>
      </c>
      <c r="BR112" s="23">
        <f>EXP(-LN(2)/2)*BR111+(1-EXP(-LN(2)/2))/(LN(2)/2)*BL112*BO112*VLOOKUP('Données projet'!$B$11,Paramètres!$A$1:$I$89,3,0)*0.475*44/12</f>
        <v>0</v>
      </c>
      <c r="BS112" s="24">
        <f t="shared" si="63"/>
        <v>0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-1.1368683772161603E-13</v>
      </c>
      <c r="BZ112" s="14">
        <f>BY112*VLOOKUP('Données projet'!$B$12,Paramètres!$A$1:$I$89,3,0)*VLOOKUP('Données projet'!$B$12,Paramètres!$A$1:$I$89,5,0)</f>
        <v>-9.9316821433603781E-14</v>
      </c>
      <c r="CA112" s="14" t="e">
        <f t="shared" si="93"/>
        <v>#NUM!</v>
      </c>
      <c r="CB112" s="22" t="e">
        <f t="shared" si="64"/>
        <v>#NUM!</v>
      </c>
      <c r="CC112" s="62" t="e">
        <f t="shared" si="65"/>
        <v>#NUM!</v>
      </c>
      <c r="CD112" s="62">
        <f ca="1">AVERAGE(OFFSET($CC$3,0,0,'Données projet'!$E$12+1,1))-AVERAGE(OFFSET($H$3,0,0,'Données projet'!$E$12+1,1))</f>
        <v>298.56812743477741</v>
      </c>
      <c r="CE112" s="62">
        <f t="shared" si="94"/>
        <v>276.01618888357268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>
        <f>EXP(-LN(2)/35)*CK111+(1-EXP(-LN(2)/35))/(LN(2)/35)*CG112*CH112*VLOOKUP('Données projet'!$B$12,Paramètres!$A$1:$I$89,3,0)*0.475*44/12</f>
        <v>0</v>
      </c>
      <c r="CL112" s="23">
        <f>EXP(-LN(2)/25)*CL111+(1-EXP(-LN(2)/25))/(LN(2)/25)*Calculateur!CG112*Calculateur!CI112*VLOOKUP('Données projet'!$B$12,Paramètres!$A$1:$I$89,3,0)*0.475*44/12</f>
        <v>0</v>
      </c>
      <c r="CM112" s="23">
        <f>EXP(-LN(2)/2)*CM111+(1-EXP(-LN(2)/2))/(LN(2)/2)*CG112*CJ112*VLOOKUP('Données projet'!$B$12,Paramètres!$A$1:$I$89,3,0)*0.475*44/12</f>
        <v>0</v>
      </c>
      <c r="CN112" s="24">
        <f t="shared" si="66"/>
        <v>0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3.3333333333333259</v>
      </c>
      <c r="CT112" s="13">
        <f>IF('Données projet'!$A$140&gt;35,CT111+CS112-DB111,IF(A112&lt;'Données projet'!$A$140,$CQ$205^A112,IF(A112='Données projet'!$A$140,'Données projet'!$B$140,CT111+CS112-DB111)))</f>
        <v>325.51282051282072</v>
      </c>
      <c r="CU112" s="18">
        <f>CT112*VLOOKUP('Données projet'!$B$13,Paramètres!$A$1:$I$89,3,0)*VLOOKUP('Données projet'!$B$13,Paramètres!$A$1:$I$89,5,0)</f>
        <v>218.35400000000016</v>
      </c>
      <c r="CV112" s="14">
        <f t="shared" si="95"/>
        <v>53.756979538415123</v>
      </c>
      <c r="CW112" s="22">
        <f t="shared" si="67"/>
        <v>473.92662269607325</v>
      </c>
      <c r="CX112" s="62">
        <f t="shared" si="68"/>
        <v>753.65194304866259</v>
      </c>
      <c r="CY112" s="62">
        <f ca="1">AVERAGE(OFFSET($CX$3,0,0,'Données projet'!$E$13+1,1))-AVERAGE(OFFSET($H$3,0,0,'Données projet'!$E$13+1,1))</f>
        <v>346.82725381974132</v>
      </c>
      <c r="CZ112" s="62">
        <f t="shared" si="96"/>
        <v>254.09787950201044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>
        <f>EXP(-LN(2)/35)*DF111+(1-EXP(-LN(2)/35))/(LN(2)/35)*DB112*DC112*VLOOKUP('Données projet'!$B$13,Paramètres!$A$1:$I$89,3,0)*0.475*44/12</f>
        <v>0</v>
      </c>
      <c r="DG112" s="23">
        <f>EXP(-LN(2)/25)*DG111+(1-EXP(-LN(2)/25))/(LN(2)/25)*Calculateur!DB112*Calculateur!DD112*VLOOKUP('Données projet'!$B$13,Paramètres!$A$1:$I$89,3,0)*0.475*44/12</f>
        <v>0</v>
      </c>
      <c r="DH112" s="23">
        <f>EXP(-LN(2)/2)*DH111+(1-EXP(-LN(2)/2))/(LN(2)/2)*DB112*DE112*VLOOKUP('Données projet'!$B$13,Paramètres!$A$1:$I$89,3,0)*0.475*44/12</f>
        <v>0</v>
      </c>
      <c r="DI112" s="24">
        <f t="shared" si="69"/>
        <v>0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5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2">
        <f t="shared" si="86"/>
        <v>0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18.333333333333332</v>
      </c>
      <c r="H113" s="70">
        <f t="shared" si="56"/>
        <v>183.33333333333334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>
        <f>VLOOKUP(A113,'Données projet'!$A$35:$I$55,2,0)</f>
        <v>305</v>
      </c>
      <c r="L113" s="13">
        <f>VLOOKUP(A113,'Données projet'!$A$35:$I$55,9,0)</f>
        <v>4.4000000000000004</v>
      </c>
      <c r="M113" s="13">
        <f t="array" ref="M113">INDEX(L:L,MIN(IF(ISNUMBER(L113:L309),ROW(L113:L309),"")))</f>
        <v>4.4000000000000004</v>
      </c>
      <c r="N113" s="14">
        <f>IF('Données projet'!$A$36&gt;35,N112+M113-V112,IF(A113&lt;'Données projet'!$A$36,$K$205^A113,IF(A113='Données projet'!$A$36,'Données projet'!$B$36,N112+M113-V112)))</f>
        <v>304.9999999999996</v>
      </c>
      <c r="O113" s="14">
        <f>N113*VLOOKUP('Données projet'!$B$9,Paramètres!$A$1:$I$89,3,0)*VLOOKUP('Données projet'!$B$9,Paramètres!$A$1:$I$89,5,0)</f>
        <v>275.9639999999996</v>
      </c>
      <c r="P113" s="14">
        <f t="shared" si="87"/>
        <v>66.113366665488797</v>
      </c>
      <c r="Q113" s="22">
        <f t="shared" si="107"/>
        <v>595.7847469423923</v>
      </c>
      <c r="R113" s="62">
        <f t="shared" si="55"/>
        <v>875.74613589723822</v>
      </c>
      <c r="S113" s="62">
        <f ca="1">AVERAGE(OFFSET($R$3,0,0,'Données projet'!$E$9+1,1))-AVERAGE(OFFSET($H$3,0,0,'Données projet'!$E$9+1,1))</f>
        <v>469.67944008675863</v>
      </c>
      <c r="T113" s="62">
        <f t="shared" si="88"/>
        <v>266.11908070867173</v>
      </c>
      <c r="U113" s="16">
        <f>IF(ISNA(VLOOKUP(A113,'Données projet'!$A$35:$I$55,3,0)),0,VLOOKUP(A113,'Données projet'!$A$35:$I$55,3,0))</f>
        <v>9</v>
      </c>
      <c r="V113" s="16">
        <f>IF(ISNA(VLOOKUP(A113,'Données projet'!$A$35:$I$55,4,0)),0,VLOOKUP(A113,'Données projet'!$A$35:$I$55,4,0))</f>
        <v>39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0</v>
      </c>
      <c r="AA113" s="23">
        <f>EXP(-LN(2)/25)*AA112+(1-EXP(-LN(2)/25))/(LN(2)/25)*Calculateur!V113*Calculateur!X113*VLOOKUP('Données projet'!$B$9,Paramètres!$A$1:$I$89,3,0)*0.475*44/12</f>
        <v>0</v>
      </c>
      <c r="AB113" s="23">
        <f>EXP(-LN(2)/2)*AB112+(1-EXP(-LN(2)/2))/(LN(2)/2)*V113*Y113*VLOOKUP('Données projet'!$B$9,Paramètres!$A$1:$I$89,3,0)*0.475*44/12</f>
        <v>0</v>
      </c>
      <c r="AC113" s="24">
        <f t="shared" si="57"/>
        <v>0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2.9487179487179485</v>
      </c>
      <c r="AI113" s="14">
        <f>IF('Données projet'!$A$62&gt;35,AI112+AH113-AQ112,IF(A113&lt;'Données projet'!$A$62,$AF$205^A113,IF(A113='Données projet'!$A$62,'Données projet'!$B$62,AI112+AH113-AQ112)))</f>
        <v>241.02564102564094</v>
      </c>
      <c r="AJ113" s="14">
        <f>AI113*VLOOKUP('Données projet'!$B$10,Paramètres!$A$1:$I$89,3,0)*VLOOKUP('Données projet'!$B$10,Paramètres!$A$1:$I$89,5,0)</f>
        <v>229.3599999999999</v>
      </c>
      <c r="AK113" s="14">
        <f t="shared" si="89"/>
        <v>56.144276133877753</v>
      </c>
      <c r="AL113" s="22">
        <f t="shared" si="58"/>
        <v>497.25328093317017</v>
      </c>
      <c r="AM113" s="62">
        <f t="shared" si="59"/>
        <v>777.21466988801603</v>
      </c>
      <c r="AN113" s="62">
        <f ca="1">AVERAGE(OFFSET($AM$3,0,0,'Données projet'!$E$10+1,1))-AVERAGE(OFFSET($H$3,0,0,'Données projet'!$E$10+1,1))</f>
        <v>400.48230125343474</v>
      </c>
      <c r="AO113" s="62">
        <f t="shared" si="90"/>
        <v>275.67023303885048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0</v>
      </c>
      <c r="AV113" s="23">
        <f>EXP(-LN(2)/25)*AV112+(1-EXP(-LN(2)/25))/(LN(2)/25)*Calculateur!AQ113*Calculateur!AS113*VLOOKUP('Données projet'!$B$10,Paramètres!$A$1:$I$89,3,0)*0.475*44/12</f>
        <v>0</v>
      </c>
      <c r="AW113" s="23">
        <f>EXP(-LN(2)/2)*AW112+(1-EXP(-LN(2)/2))/(LN(2)/2)*AQ113*AT113*VLOOKUP('Données projet'!$B$10,Paramètres!$A$1:$I$89,3,0)*0.475*44/12</f>
        <v>0</v>
      </c>
      <c r="AX113" s="23">
        <f t="shared" si="60"/>
        <v>0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>
        <f>VLOOKUP(A113,'Données projet'!$A$87:$I$107,2,0)</f>
        <v>305</v>
      </c>
      <c r="BB113" s="13">
        <f>VLOOKUP(A113,'Données projet'!$A$87:$I$107,9,0)</f>
        <v>4.4000000000000004</v>
      </c>
      <c r="BC113" s="13">
        <f t="array" ref="BC113">INDEX(BB:BB,MIN(IF(ISNUMBER(BB113:BB309),ROW(BB113:BB309),"")))</f>
        <v>4.4000000000000004</v>
      </c>
      <c r="BD113" s="13">
        <f>IF('Données projet'!$A$88&gt;35,BD112+BC113-BL112,IF(A113&lt;'Données projet'!$A$88,$BA$205^A113,IF(A113='Données projet'!$A$88,'Données projet'!$B$88,BD112+BC113-BL112)))</f>
        <v>304.9999999999996</v>
      </c>
      <c r="BE113" s="14">
        <f>BD113*VLOOKUP('Données projet'!$B$11,Paramètres!$A$1:$I$89,3,0)*VLOOKUP('Données projet'!$B$11,Paramètres!$A$1:$I$89,5,0)</f>
        <v>294.99599999999958</v>
      </c>
      <c r="BF113" s="14">
        <f t="shared" si="91"/>
        <v>70.126408118585317</v>
      </c>
      <c r="BG113" s="22">
        <f t="shared" si="61"/>
        <v>635.92152747320199</v>
      </c>
      <c r="BH113" s="62">
        <f t="shared" si="62"/>
        <v>915.88291642804779</v>
      </c>
      <c r="BI113" s="62">
        <f ca="1">AVERAGE(OFFSET($BH$3,0,0,'Données projet'!$E$11+1,1))-AVERAGE(OFFSET($H$3,0,0,'Données projet'!$E$11+1,1))</f>
        <v>496.33873798282525</v>
      </c>
      <c r="BJ113" s="62">
        <f t="shared" si="92"/>
        <v>280.25465074992246</v>
      </c>
      <c r="BK113" s="16">
        <f>IF(ISNA(VLOOKUP(A113,'Données projet'!$A$87:$I$107,3,0)),0,VLOOKUP(A113,'Données projet'!$A$87:$I$107,3,0))</f>
        <v>9</v>
      </c>
      <c r="BL113" s="16">
        <f>IF(ISNA(VLOOKUP(A113,'Données projet'!$A$87:$I$107,4,0)),0,VLOOKUP(A113,'Données projet'!$A$87:$I$107,4,0))</f>
        <v>39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>
        <f>EXP(-LN(2)/35)*BP112+(1-EXP(-LN(2)/35))/(LN(2)/35)*BL113*BM113*VLOOKUP('Données projet'!$B$11,Paramètres!$A$1:$I$89,3,0)*0.475*44/12</f>
        <v>0</v>
      </c>
      <c r="BQ113" s="23">
        <f>EXP(-LN(2)/25)*BQ112+(1-EXP(-LN(2)/25))/(LN(2)/25)*Calculateur!BL113*Calculateur!BN113*VLOOKUP('Données projet'!$B$11,Paramètres!$A$1:$I$89,3,0)*0.475*44/12</f>
        <v>0</v>
      </c>
      <c r="BR113" s="23">
        <f>EXP(-LN(2)/2)*BR112+(1-EXP(-LN(2)/2))/(LN(2)/2)*BL113*BO113*VLOOKUP('Données projet'!$B$11,Paramètres!$A$1:$I$89,3,0)*0.475*44/12</f>
        <v>0</v>
      </c>
      <c r="BS113" s="24">
        <f t="shared" si="63"/>
        <v>0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-1.1368683772161603E-13</v>
      </c>
      <c r="BZ113" s="14">
        <f>BY113*VLOOKUP('Données projet'!$B$12,Paramètres!$A$1:$I$89,3,0)*VLOOKUP('Données projet'!$B$12,Paramètres!$A$1:$I$89,5,0)</f>
        <v>-9.9316821433603781E-14</v>
      </c>
      <c r="CA113" s="14" t="e">
        <f t="shared" si="93"/>
        <v>#NUM!</v>
      </c>
      <c r="CB113" s="22" t="e">
        <f t="shared" si="64"/>
        <v>#NUM!</v>
      </c>
      <c r="CC113" s="62" t="e">
        <f t="shared" si="65"/>
        <v>#NUM!</v>
      </c>
      <c r="CD113" s="62">
        <f ca="1">AVERAGE(OFFSET($CC$3,0,0,'Données projet'!$E$12+1,1))-AVERAGE(OFFSET($H$3,0,0,'Données projet'!$E$12+1,1))</f>
        <v>298.56812743477741</v>
      </c>
      <c r="CE113" s="62">
        <f t="shared" si="94"/>
        <v>276.01618888357268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>
        <f>EXP(-LN(2)/35)*CK112+(1-EXP(-LN(2)/35))/(LN(2)/35)*CG113*CH113*VLOOKUP('Données projet'!$B$12,Paramètres!$A$1:$I$89,3,0)*0.475*44/12</f>
        <v>0</v>
      </c>
      <c r="CL113" s="23">
        <f>EXP(-LN(2)/25)*CL112+(1-EXP(-LN(2)/25))/(LN(2)/25)*Calculateur!CG113*Calculateur!CI113*VLOOKUP('Données projet'!$B$12,Paramètres!$A$1:$I$89,3,0)*0.475*44/12</f>
        <v>0</v>
      </c>
      <c r="CM113" s="23">
        <f>EXP(-LN(2)/2)*CM112+(1-EXP(-LN(2)/2))/(LN(2)/2)*CG113*CJ113*VLOOKUP('Données projet'!$B$12,Paramètres!$A$1:$I$89,3,0)*0.475*44/12</f>
        <v>0</v>
      </c>
      <c r="CN113" s="24">
        <f t="shared" si="66"/>
        <v>0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>
        <f>VLOOKUP(A113,'Données projet'!$A$139:$I$159,2,0)</f>
        <v>328.84615384615381</v>
      </c>
      <c r="CR113" s="13">
        <f>VLOOKUP(A113,'Données projet'!$A$139:$I$159,9,0)</f>
        <v>3.3333333333333259</v>
      </c>
      <c r="CS113" s="13">
        <f t="array" ref="CS113">INDEX(CR:CR,MIN(IF(ISNUMBER(CR113:CR309),ROW(CR113:CR309),"")))</f>
        <v>3.3333333333333259</v>
      </c>
      <c r="CT113" s="13">
        <f>IF('Données projet'!$A$140&gt;35,CT112+CS113-DB112,IF(A113&lt;'Données projet'!$A$140,$CQ$205^A113,IF(A113='Données projet'!$A$140,'Données projet'!$B$140,CT112+CS113-DB112)))</f>
        <v>328.84615384615404</v>
      </c>
      <c r="CU113" s="18">
        <f>CT113*VLOOKUP('Données projet'!$B$13,Paramètres!$A$1:$I$89,3,0)*VLOOKUP('Données projet'!$B$13,Paramètres!$A$1:$I$89,5,0)</f>
        <v>220.59000000000015</v>
      </c>
      <c r="CV113" s="14">
        <f t="shared" si="95"/>
        <v>54.243099310535975</v>
      </c>
      <c r="CW113" s="22">
        <f t="shared" si="67"/>
        <v>478.66764796585034</v>
      </c>
      <c r="CX113" s="62">
        <f t="shared" si="68"/>
        <v>758.62903692069619</v>
      </c>
      <c r="CY113" s="62">
        <f ca="1">AVERAGE(OFFSET($CX$3,0,0,'Données projet'!$E$13+1,1))-AVERAGE(OFFSET($H$3,0,0,'Données projet'!$E$13+1,1))</f>
        <v>346.82725381974132</v>
      </c>
      <c r="CZ113" s="62">
        <f t="shared" si="96"/>
        <v>254.09787950201044</v>
      </c>
      <c r="DA113" s="16">
        <f>IF(ISNA(VLOOKUP(A113,'Données projet'!$A$139:$I$159,3,0)),0,VLOOKUP(A113,'Données projet'!$A$139:$I$159,3,0))</f>
        <v>9</v>
      </c>
      <c r="DB113" s="16">
        <f>IF(ISNA(VLOOKUP(A113,'Données projet'!$A$139:$I$159,4,0)),0,VLOOKUP(A113,'Données projet'!$A$139:$I$159,4,0))</f>
        <v>328.84615384615381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>
        <f>EXP(-LN(2)/35)*DF112+(1-EXP(-LN(2)/35))/(LN(2)/35)*DB113*DC113*VLOOKUP('Données projet'!$B$13,Paramètres!$A$1:$I$89,3,0)*0.475*44/12</f>
        <v>0</v>
      </c>
      <c r="DG113" s="23">
        <f>EXP(-LN(2)/25)*DG112+(1-EXP(-LN(2)/25))/(LN(2)/25)*Calculateur!DB113*Calculateur!DD113*VLOOKUP('Données projet'!$B$13,Paramètres!$A$1:$I$89,3,0)*0.475*44/12</f>
        <v>0</v>
      </c>
      <c r="DH113" s="23">
        <f>EXP(-LN(2)/2)*DH112+(1-EXP(-LN(2)/2))/(LN(2)/2)*DB113*DE113*VLOOKUP('Données projet'!$B$13,Paramètres!$A$1:$I$89,3,0)*0.475*44/12</f>
        <v>0</v>
      </c>
      <c r="DI113" s="24">
        <f t="shared" si="69"/>
        <v>0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5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2">
        <f t="shared" si="86"/>
        <v>0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18.333333333333332</v>
      </c>
      <c r="H114" s="70">
        <f t="shared" si="56"/>
        <v>183.33333333333334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3.7</v>
      </c>
      <c r="N114" s="14">
        <f>IF('Données projet'!$A$36&gt;35,N113+M114-V113,IF(A114&lt;'Données projet'!$A$36,$K$205^A114,IF(A114='Données projet'!$A$36,'Données projet'!$B$36,N113+M114-V113)))</f>
        <v>269.69999999999959</v>
      </c>
      <c r="O114" s="14">
        <f>N114*VLOOKUP('Données projet'!$B$9,Paramètres!$A$1:$I$89,3,0)*VLOOKUP('Données projet'!$B$9,Paramètres!$A$1:$I$89,5,0)</f>
        <v>244.02455999999964</v>
      </c>
      <c r="P114" s="14">
        <f t="shared" si="87"/>
        <v>59.304594314969229</v>
      </c>
      <c r="Q114" s="22">
        <f t="shared" si="107"/>
        <v>528.29827709857079</v>
      </c>
      <c r="R114" s="62">
        <f t="shared" si="55"/>
        <v>808.49163939319442</v>
      </c>
      <c r="S114" s="62">
        <f ca="1">AVERAGE(OFFSET($R$3,0,0,'Données projet'!$E$9+1,1))-AVERAGE(OFFSET($H$3,0,0,'Données projet'!$E$9+1,1))</f>
        <v>469.67944008675863</v>
      </c>
      <c r="T114" s="62">
        <f t="shared" si="88"/>
        <v>266.11908070867173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0</v>
      </c>
      <c r="AA114" s="23">
        <f>EXP(-LN(2)/25)*AA113+(1-EXP(-LN(2)/25))/(LN(2)/25)*Calculateur!V114*Calculateur!X114*VLOOKUP('Données projet'!$B$9,Paramètres!$A$1:$I$89,3,0)*0.475*44/12</f>
        <v>0</v>
      </c>
      <c r="AB114" s="23">
        <f>EXP(-LN(2)/2)*AB113+(1-EXP(-LN(2)/2))/(LN(2)/2)*V114*Y114*VLOOKUP('Données projet'!$B$9,Paramètres!$A$1:$I$89,3,0)*0.475*44/12</f>
        <v>0</v>
      </c>
      <c r="AC114" s="24">
        <f t="shared" si="57"/>
        <v>0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2.9487179487179485</v>
      </c>
      <c r="AI114" s="14">
        <f>IF('Données projet'!$A$62&gt;35,AI113+AH114-AQ113,IF(A114&lt;'Données projet'!$A$62,$AF$205^A114,IF(A114='Données projet'!$A$62,'Données projet'!$B$62,AI113+AH114-AQ113)))</f>
        <v>243.97435897435889</v>
      </c>
      <c r="AJ114" s="14">
        <f>AI114*VLOOKUP('Données projet'!$B$10,Paramètres!$A$1:$I$89,3,0)*VLOOKUP('Données projet'!$B$10,Paramètres!$A$1:$I$89,5,0)</f>
        <v>232.16599999999991</v>
      </c>
      <c r="AK114" s="14">
        <f t="shared" si="89"/>
        <v>56.750765573960223</v>
      </c>
      <c r="AL114" s="22">
        <f t="shared" si="58"/>
        <v>503.19670004131376</v>
      </c>
      <c r="AM114" s="62">
        <f t="shared" si="59"/>
        <v>783.39006233593727</v>
      </c>
      <c r="AN114" s="62">
        <f ca="1">AVERAGE(OFFSET($AM$3,0,0,'Données projet'!$E$10+1,1))-AVERAGE(OFFSET($H$3,0,0,'Données projet'!$E$10+1,1))</f>
        <v>400.48230125343474</v>
      </c>
      <c r="AO114" s="62">
        <f t="shared" si="90"/>
        <v>275.67023303885048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0</v>
      </c>
      <c r="AV114" s="23">
        <f>EXP(-LN(2)/25)*AV113+(1-EXP(-LN(2)/25))/(LN(2)/25)*Calculateur!AQ114*Calculateur!AS114*VLOOKUP('Données projet'!$B$10,Paramètres!$A$1:$I$89,3,0)*0.475*44/12</f>
        <v>0</v>
      </c>
      <c r="AW114" s="23">
        <f>EXP(-LN(2)/2)*AW113+(1-EXP(-LN(2)/2))/(LN(2)/2)*AQ114*AT114*VLOOKUP('Données projet'!$B$10,Paramètres!$A$1:$I$89,3,0)*0.475*44/12</f>
        <v>0</v>
      </c>
      <c r="AX114" s="23">
        <f t="shared" si="60"/>
        <v>0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3.7</v>
      </c>
      <c r="BD114" s="13">
        <f>IF('Données projet'!$A$88&gt;35,BD113+BC114-BL113,IF(A114&lt;'Données projet'!$A$88,$BA$205^A114,IF(A114='Données projet'!$A$88,'Données projet'!$B$88,BD113+BC114-BL113)))</f>
        <v>269.69999999999959</v>
      </c>
      <c r="BE114" s="14">
        <f>BD114*VLOOKUP('Données projet'!$B$11,Paramètres!$A$1:$I$89,3,0)*VLOOKUP('Données projet'!$B$11,Paramètres!$A$1:$I$89,5,0)</f>
        <v>260.85383999999959</v>
      </c>
      <c r="BF114" s="14">
        <f t="shared" si="91"/>
        <v>62.904347395903649</v>
      </c>
      <c r="BG114" s="22">
        <f t="shared" si="61"/>
        <v>563.87884304786473</v>
      </c>
      <c r="BH114" s="62">
        <f t="shared" si="62"/>
        <v>844.07220534248836</v>
      </c>
      <c r="BI114" s="62">
        <f ca="1">AVERAGE(OFFSET($BH$3,0,0,'Données projet'!$E$11+1,1))-AVERAGE(OFFSET($H$3,0,0,'Données projet'!$E$11+1,1))</f>
        <v>496.33873798282525</v>
      </c>
      <c r="BJ114" s="62">
        <f t="shared" si="92"/>
        <v>280.25465074992246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>
        <f>EXP(-LN(2)/35)*BP113+(1-EXP(-LN(2)/35))/(LN(2)/35)*BL114*BM114*VLOOKUP('Données projet'!$B$11,Paramètres!$A$1:$I$89,3,0)*0.475*44/12</f>
        <v>0</v>
      </c>
      <c r="BQ114" s="23">
        <f>EXP(-LN(2)/25)*BQ113+(1-EXP(-LN(2)/25))/(LN(2)/25)*Calculateur!BL114*Calculateur!BN114*VLOOKUP('Données projet'!$B$11,Paramètres!$A$1:$I$89,3,0)*0.475*44/12</f>
        <v>0</v>
      </c>
      <c r="BR114" s="23">
        <f>EXP(-LN(2)/2)*BR113+(1-EXP(-LN(2)/2))/(LN(2)/2)*BL114*BO114*VLOOKUP('Données projet'!$B$11,Paramètres!$A$1:$I$89,3,0)*0.475*44/12</f>
        <v>0</v>
      </c>
      <c r="BS114" s="24">
        <f t="shared" si="63"/>
        <v>0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-1.1368683772161603E-13</v>
      </c>
      <c r="BZ114" s="14">
        <f>BY114*VLOOKUP('Données projet'!$B$12,Paramètres!$A$1:$I$89,3,0)*VLOOKUP('Données projet'!$B$12,Paramètres!$A$1:$I$89,5,0)</f>
        <v>-9.9316821433603781E-14</v>
      </c>
      <c r="CA114" s="14" t="e">
        <f t="shared" si="93"/>
        <v>#NUM!</v>
      </c>
      <c r="CB114" s="22" t="e">
        <f t="shared" si="64"/>
        <v>#NUM!</v>
      </c>
      <c r="CC114" s="62" t="e">
        <f t="shared" si="65"/>
        <v>#NUM!</v>
      </c>
      <c r="CD114" s="62">
        <f ca="1">AVERAGE(OFFSET($CC$3,0,0,'Données projet'!$E$12+1,1))-AVERAGE(OFFSET($H$3,0,0,'Données projet'!$E$12+1,1))</f>
        <v>298.56812743477741</v>
      </c>
      <c r="CE114" s="62">
        <f t="shared" si="94"/>
        <v>276.01618888357268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>
        <f>EXP(-LN(2)/35)*CK113+(1-EXP(-LN(2)/35))/(LN(2)/35)*CG114*CH114*VLOOKUP('Données projet'!$B$12,Paramètres!$A$1:$I$89,3,0)*0.475*44/12</f>
        <v>0</v>
      </c>
      <c r="CL114" s="23">
        <f>EXP(-LN(2)/25)*CL113+(1-EXP(-LN(2)/25))/(LN(2)/25)*Calculateur!CG114*Calculateur!CI114*VLOOKUP('Données projet'!$B$12,Paramètres!$A$1:$I$89,3,0)*0.475*44/12</f>
        <v>0</v>
      </c>
      <c r="CM114" s="23">
        <f>EXP(-LN(2)/2)*CM113+(1-EXP(-LN(2)/2))/(LN(2)/2)*CG114*CJ114*VLOOKUP('Données projet'!$B$12,Paramètres!$A$1:$I$89,3,0)*0.475*44/12</f>
        <v>0</v>
      </c>
      <c r="CN114" s="24">
        <f t="shared" si="66"/>
        <v>0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2.2737367544323206E-13</v>
      </c>
      <c r="CU114" s="18">
        <f>CT114*VLOOKUP('Données projet'!$B$13,Paramètres!$A$1:$I$89,3,0)*VLOOKUP('Données projet'!$B$13,Paramètres!$A$1:$I$89,5,0)</f>
        <v>1.5252226148732008E-13</v>
      </c>
      <c r="CV114" s="14">
        <f t="shared" si="95"/>
        <v>2.1814502464536512E-12</v>
      </c>
      <c r="CW114" s="22">
        <f t="shared" si="67"/>
        <v>4.0650021179971913E-12</v>
      </c>
      <c r="CX114" s="62">
        <f t="shared" si="68"/>
        <v>280.19336229462766</v>
      </c>
      <c r="CY114" s="62">
        <f ca="1">AVERAGE(OFFSET($CX$3,0,0,'Données projet'!$E$13+1,1))-AVERAGE(OFFSET($H$3,0,0,'Données projet'!$E$13+1,1))</f>
        <v>346.82725381974132</v>
      </c>
      <c r="CZ114" s="62">
        <f t="shared" si="96"/>
        <v>254.09787950201044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>
        <f>EXP(-LN(2)/35)*DF113+(1-EXP(-LN(2)/35))/(LN(2)/35)*DB114*DC114*VLOOKUP('Données projet'!$B$13,Paramètres!$A$1:$I$89,3,0)*0.475*44/12</f>
        <v>0</v>
      </c>
      <c r="DG114" s="23">
        <f>EXP(-LN(2)/25)*DG113+(1-EXP(-LN(2)/25))/(LN(2)/25)*Calculateur!DB114*Calculateur!DD114*VLOOKUP('Données projet'!$B$13,Paramètres!$A$1:$I$89,3,0)*0.475*44/12</f>
        <v>0</v>
      </c>
      <c r="DH114" s="23">
        <f>EXP(-LN(2)/2)*DH113+(1-EXP(-LN(2)/2))/(LN(2)/2)*DB114*DE114*VLOOKUP('Données projet'!$B$13,Paramètres!$A$1:$I$89,3,0)*0.475*44/12</f>
        <v>0</v>
      </c>
      <c r="DI114" s="24">
        <f t="shared" si="69"/>
        <v>0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5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2">
        <f t="shared" si="86"/>
        <v>0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18.333333333333332</v>
      </c>
      <c r="H115" s="70">
        <f t="shared" si="56"/>
        <v>183.33333333333334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3.7</v>
      </c>
      <c r="N115" s="14">
        <f>IF('Données projet'!$A$36&gt;35,N114+M115-V114,IF(A115&lt;'Données projet'!$A$36,$K$205^A115,IF(A115='Données projet'!$A$36,'Données projet'!$B$36,N114+M115-V114)))</f>
        <v>273.39999999999958</v>
      </c>
      <c r="O115" s="14">
        <f>N115*VLOOKUP('Données projet'!$B$9,Paramètres!$A$1:$I$89,3,0)*VLOOKUP('Données projet'!$B$9,Paramètres!$A$1:$I$89,5,0)</f>
        <v>247.3723199999996</v>
      </c>
      <c r="P115" s="14">
        <f t="shared" si="87"/>
        <v>60.022917171130942</v>
      </c>
      <c r="Q115" s="22">
        <f t="shared" si="107"/>
        <v>535.38003807305233</v>
      </c>
      <c r="R115" s="62">
        <f t="shared" si="55"/>
        <v>815.80134948862315</v>
      </c>
      <c r="S115" s="62">
        <f ca="1">AVERAGE(OFFSET($R$3,0,0,'Données projet'!$E$9+1,1))-AVERAGE(OFFSET($H$3,0,0,'Données projet'!$E$9+1,1))</f>
        <v>469.67944008675863</v>
      </c>
      <c r="T115" s="62">
        <f t="shared" si="88"/>
        <v>266.11908070867173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0</v>
      </c>
      <c r="AA115" s="23">
        <f>EXP(-LN(2)/25)*AA114+(1-EXP(-LN(2)/25))/(LN(2)/25)*Calculateur!V115*Calculateur!X115*VLOOKUP('Données projet'!$B$9,Paramètres!$A$1:$I$89,3,0)*0.475*44/12</f>
        <v>0</v>
      </c>
      <c r="AB115" s="23">
        <f>EXP(-LN(2)/2)*AB114+(1-EXP(-LN(2)/2))/(LN(2)/2)*V115*Y115*VLOOKUP('Données projet'!$B$9,Paramètres!$A$1:$I$89,3,0)*0.475*44/12</f>
        <v>0</v>
      </c>
      <c r="AC115" s="24">
        <f t="shared" si="57"/>
        <v>0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2.9487179487179485</v>
      </c>
      <c r="AI115" s="14">
        <f>IF('Données projet'!$A$62&gt;35,AI114+AH115-AQ114,IF(A115&lt;'Données projet'!$A$62,$AF$205^A115,IF(A115='Données projet'!$A$62,'Données projet'!$B$62,AI114+AH115-AQ114)))</f>
        <v>246.92307692307685</v>
      </c>
      <c r="AJ115" s="14">
        <f>AI115*VLOOKUP('Données projet'!$B$10,Paramètres!$A$1:$I$89,3,0)*VLOOKUP('Données projet'!$B$10,Paramètres!$A$1:$I$89,5,0)</f>
        <v>234.97199999999992</v>
      </c>
      <c r="AK115" s="14">
        <f t="shared" si="89"/>
        <v>57.356402363644527</v>
      </c>
      <c r="AL115" s="22">
        <f t="shared" si="58"/>
        <v>509.13863411668063</v>
      </c>
      <c r="AM115" s="62">
        <f t="shared" si="59"/>
        <v>789.5599455322515</v>
      </c>
      <c r="AN115" s="62">
        <f ca="1">AVERAGE(OFFSET($AM$3,0,0,'Données projet'!$E$10+1,1))-AVERAGE(OFFSET($H$3,0,0,'Données projet'!$E$10+1,1))</f>
        <v>400.48230125343474</v>
      </c>
      <c r="AO115" s="62">
        <f t="shared" si="90"/>
        <v>275.67023303885048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0</v>
      </c>
      <c r="AV115" s="23">
        <f>EXP(-LN(2)/25)*AV114+(1-EXP(-LN(2)/25))/(LN(2)/25)*Calculateur!AQ115*Calculateur!AS115*VLOOKUP('Données projet'!$B$10,Paramètres!$A$1:$I$89,3,0)*0.475*44/12</f>
        <v>0</v>
      </c>
      <c r="AW115" s="23">
        <f>EXP(-LN(2)/2)*AW114+(1-EXP(-LN(2)/2))/(LN(2)/2)*AQ115*AT115*VLOOKUP('Données projet'!$B$10,Paramètres!$A$1:$I$89,3,0)*0.475*44/12</f>
        <v>0</v>
      </c>
      <c r="AX115" s="23">
        <f t="shared" si="60"/>
        <v>0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3.7</v>
      </c>
      <c r="BD115" s="13">
        <f>IF('Données projet'!$A$88&gt;35,BD114+BC115-BL114,IF(A115&lt;'Données projet'!$A$88,$BA$205^A115,IF(A115='Données projet'!$A$88,'Données projet'!$B$88,BD114+BC115-BL114)))</f>
        <v>273.39999999999958</v>
      </c>
      <c r="BE115" s="14">
        <f>BD115*VLOOKUP('Données projet'!$B$11,Paramètres!$A$1:$I$89,3,0)*VLOOKUP('Données projet'!$B$11,Paramètres!$A$1:$I$89,5,0)</f>
        <v>264.4324799999996</v>
      </c>
      <c r="BF115" s="14">
        <f t="shared" si="91"/>
        <v>63.666272015882292</v>
      </c>
      <c r="BG115" s="22">
        <f t="shared" si="61"/>
        <v>571.43865976099426</v>
      </c>
      <c r="BH115" s="62">
        <f t="shared" si="62"/>
        <v>851.85997117656507</v>
      </c>
      <c r="BI115" s="62">
        <f ca="1">AVERAGE(OFFSET($BH$3,0,0,'Données projet'!$E$11+1,1))-AVERAGE(OFFSET($H$3,0,0,'Données projet'!$E$11+1,1))</f>
        <v>496.33873798282525</v>
      </c>
      <c r="BJ115" s="62">
        <f t="shared" si="92"/>
        <v>280.25465074992246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>
        <f>EXP(-LN(2)/35)*BP114+(1-EXP(-LN(2)/35))/(LN(2)/35)*BL115*BM115*VLOOKUP('Données projet'!$B$11,Paramètres!$A$1:$I$89,3,0)*0.475*44/12</f>
        <v>0</v>
      </c>
      <c r="BQ115" s="23">
        <f>EXP(-LN(2)/25)*BQ114+(1-EXP(-LN(2)/25))/(LN(2)/25)*Calculateur!BL115*Calculateur!BN115*VLOOKUP('Données projet'!$B$11,Paramètres!$A$1:$I$89,3,0)*0.475*44/12</f>
        <v>0</v>
      </c>
      <c r="BR115" s="23">
        <f>EXP(-LN(2)/2)*BR114+(1-EXP(-LN(2)/2))/(LN(2)/2)*BL115*BO115*VLOOKUP('Données projet'!$B$11,Paramètres!$A$1:$I$89,3,0)*0.475*44/12</f>
        <v>0</v>
      </c>
      <c r="BS115" s="24">
        <f t="shared" si="63"/>
        <v>0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-1.1368683772161603E-13</v>
      </c>
      <c r="BZ115" s="14">
        <f>BY115*VLOOKUP('Données projet'!$B$12,Paramètres!$A$1:$I$89,3,0)*VLOOKUP('Données projet'!$B$12,Paramètres!$A$1:$I$89,5,0)</f>
        <v>-9.9316821433603781E-14</v>
      </c>
      <c r="CA115" s="14" t="e">
        <f t="shared" si="93"/>
        <v>#NUM!</v>
      </c>
      <c r="CB115" s="22" t="e">
        <f t="shared" si="64"/>
        <v>#NUM!</v>
      </c>
      <c r="CC115" s="62" t="e">
        <f t="shared" si="65"/>
        <v>#NUM!</v>
      </c>
      <c r="CD115" s="62">
        <f ca="1">AVERAGE(OFFSET($CC$3,0,0,'Données projet'!$E$12+1,1))-AVERAGE(OFFSET($H$3,0,0,'Données projet'!$E$12+1,1))</f>
        <v>298.56812743477741</v>
      </c>
      <c r="CE115" s="62">
        <f t="shared" si="94"/>
        <v>276.01618888357268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>
        <f>EXP(-LN(2)/35)*CK114+(1-EXP(-LN(2)/35))/(LN(2)/35)*CG115*CH115*VLOOKUP('Données projet'!$B$12,Paramètres!$A$1:$I$89,3,0)*0.475*44/12</f>
        <v>0</v>
      </c>
      <c r="CL115" s="23">
        <f>EXP(-LN(2)/25)*CL114+(1-EXP(-LN(2)/25))/(LN(2)/25)*Calculateur!CG115*Calculateur!CI115*VLOOKUP('Données projet'!$B$12,Paramètres!$A$1:$I$89,3,0)*0.475*44/12</f>
        <v>0</v>
      </c>
      <c r="CM115" s="23">
        <f>EXP(-LN(2)/2)*CM114+(1-EXP(-LN(2)/2))/(LN(2)/2)*CG115*CJ115*VLOOKUP('Données projet'!$B$12,Paramètres!$A$1:$I$89,3,0)*0.475*44/12</f>
        <v>0</v>
      </c>
      <c r="CN115" s="24">
        <f t="shared" si="66"/>
        <v>0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2.2737367544323206E-13</v>
      </c>
      <c r="CU115" s="18">
        <f>CT115*VLOOKUP('Données projet'!$B$13,Paramètres!$A$1:$I$89,3,0)*VLOOKUP('Données projet'!$B$13,Paramètres!$A$1:$I$89,5,0)</f>
        <v>1.5252226148732008E-13</v>
      </c>
      <c r="CV115" s="14">
        <f t="shared" si="95"/>
        <v>2.1814502464536512E-12</v>
      </c>
      <c r="CW115" s="22">
        <f t="shared" si="67"/>
        <v>4.0650021179971913E-12</v>
      </c>
      <c r="CX115" s="62">
        <f t="shared" si="68"/>
        <v>280.42131141557496</v>
      </c>
      <c r="CY115" s="62">
        <f ca="1">AVERAGE(OFFSET($CX$3,0,0,'Données projet'!$E$13+1,1))-AVERAGE(OFFSET($H$3,0,0,'Données projet'!$E$13+1,1))</f>
        <v>346.82725381974132</v>
      </c>
      <c r="CZ115" s="62">
        <f t="shared" si="96"/>
        <v>254.09787950201044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>
        <f>EXP(-LN(2)/35)*DF114+(1-EXP(-LN(2)/35))/(LN(2)/35)*DB115*DC115*VLOOKUP('Données projet'!$B$13,Paramètres!$A$1:$I$89,3,0)*0.475*44/12</f>
        <v>0</v>
      </c>
      <c r="DG115" s="23">
        <f>EXP(-LN(2)/25)*DG114+(1-EXP(-LN(2)/25))/(LN(2)/25)*Calculateur!DB115*Calculateur!DD115*VLOOKUP('Données projet'!$B$13,Paramètres!$A$1:$I$89,3,0)*0.475*44/12</f>
        <v>0</v>
      </c>
      <c r="DH115" s="23">
        <f>EXP(-LN(2)/2)*DH114+(1-EXP(-LN(2)/2))/(LN(2)/2)*DB115*DE115*VLOOKUP('Données projet'!$B$13,Paramètres!$A$1:$I$89,3,0)*0.475*44/12</f>
        <v>0</v>
      </c>
      <c r="DI115" s="24">
        <f t="shared" si="69"/>
        <v>0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5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2">
        <f t="shared" si="86"/>
        <v>0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18.333333333333332</v>
      </c>
      <c r="H116" s="70">
        <f t="shared" si="56"/>
        <v>183.33333333333334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3.7</v>
      </c>
      <c r="N116" s="14">
        <f>IF('Données projet'!$A$36&gt;35,N115+M116-V115,IF(A116&lt;'Données projet'!$A$36,$K$205^A116,IF(A116='Données projet'!$A$36,'Données projet'!$B$36,N115+M116-V115)))</f>
        <v>277.09999999999957</v>
      </c>
      <c r="O116" s="14">
        <f>N116*VLOOKUP('Données projet'!$B$9,Paramètres!$A$1:$I$89,3,0)*VLOOKUP('Données projet'!$B$9,Paramètres!$A$1:$I$89,5,0)</f>
        <v>250.7200799999996</v>
      </c>
      <c r="P116" s="14">
        <f t="shared" si="87"/>
        <v>60.740109326032709</v>
      </c>
      <c r="Q116" s="22">
        <f t="shared" si="107"/>
        <v>542.45982974283959</v>
      </c>
      <c r="R116" s="62">
        <f t="shared" si="55"/>
        <v>823.10513587172727</v>
      </c>
      <c r="S116" s="62">
        <f ca="1">AVERAGE(OFFSET($R$3,0,0,'Données projet'!$E$9+1,1))-AVERAGE(OFFSET($H$3,0,0,'Données projet'!$E$9+1,1))</f>
        <v>469.67944008675863</v>
      </c>
      <c r="T116" s="62">
        <f t="shared" si="88"/>
        <v>266.11908070867173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0</v>
      </c>
      <c r="AA116" s="23">
        <f>EXP(-LN(2)/25)*AA115+(1-EXP(-LN(2)/25))/(LN(2)/25)*Calculateur!V116*Calculateur!X116*VLOOKUP('Données projet'!$B$9,Paramètres!$A$1:$I$89,3,0)*0.475*44/12</f>
        <v>0</v>
      </c>
      <c r="AB116" s="23">
        <f>EXP(-LN(2)/2)*AB115+(1-EXP(-LN(2)/2))/(LN(2)/2)*V116*Y116*VLOOKUP('Données projet'!$B$9,Paramètres!$A$1:$I$89,3,0)*0.475*44/12</f>
        <v>0</v>
      </c>
      <c r="AC116" s="24">
        <f t="shared" si="57"/>
        <v>0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2.9487179487179485</v>
      </c>
      <c r="AI116" s="14">
        <f>IF('Données projet'!$A$62&gt;35,AI115+AH116-AQ115,IF(A116&lt;'Données projet'!$A$62,$AF$205^A116,IF(A116='Données projet'!$A$62,'Données projet'!$B$62,AI115+AH116-AQ115)))</f>
        <v>249.8717948717948</v>
      </c>
      <c r="AJ116" s="14">
        <f>AI116*VLOOKUP('Données projet'!$B$10,Paramètres!$A$1:$I$89,3,0)*VLOOKUP('Données projet'!$B$10,Paramètres!$A$1:$I$89,5,0)</f>
        <v>237.77799999999993</v>
      </c>
      <c r="AK116" s="14">
        <f t="shared" si="89"/>
        <v>57.961197863009076</v>
      </c>
      <c r="AL116" s="22">
        <f t="shared" si="58"/>
        <v>515.07910294474061</v>
      </c>
      <c r="AM116" s="62">
        <f t="shared" si="59"/>
        <v>795.72440907362829</v>
      </c>
      <c r="AN116" s="62">
        <f ca="1">AVERAGE(OFFSET($AM$3,0,0,'Données projet'!$E$10+1,1))-AVERAGE(OFFSET($H$3,0,0,'Données projet'!$E$10+1,1))</f>
        <v>400.48230125343474</v>
      </c>
      <c r="AO116" s="62">
        <f t="shared" si="90"/>
        <v>275.67023303885048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0</v>
      </c>
      <c r="AV116" s="23">
        <f>EXP(-LN(2)/25)*AV115+(1-EXP(-LN(2)/25))/(LN(2)/25)*Calculateur!AQ116*Calculateur!AS116*VLOOKUP('Données projet'!$B$10,Paramètres!$A$1:$I$89,3,0)*0.475*44/12</f>
        <v>0</v>
      </c>
      <c r="AW116" s="23">
        <f>EXP(-LN(2)/2)*AW115+(1-EXP(-LN(2)/2))/(LN(2)/2)*AQ116*AT116*VLOOKUP('Données projet'!$B$10,Paramètres!$A$1:$I$89,3,0)*0.475*44/12</f>
        <v>0</v>
      </c>
      <c r="AX116" s="23">
        <f t="shared" si="60"/>
        <v>0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3.7</v>
      </c>
      <c r="BD116" s="13">
        <f>IF('Données projet'!$A$88&gt;35,BD115+BC116-BL115,IF(A116&lt;'Données projet'!$A$88,$BA$205^A116,IF(A116='Données projet'!$A$88,'Données projet'!$B$88,BD115+BC116-BL115)))</f>
        <v>277.09999999999957</v>
      </c>
      <c r="BE116" s="14">
        <f>BD116*VLOOKUP('Données projet'!$B$11,Paramètres!$A$1:$I$89,3,0)*VLOOKUP('Données projet'!$B$11,Paramètres!$A$1:$I$89,5,0)</f>
        <v>268.01111999999961</v>
      </c>
      <c r="BF116" s="14">
        <f t="shared" si="91"/>
        <v>64.426997301716796</v>
      </c>
      <c r="BG116" s="22">
        <f t="shared" si="61"/>
        <v>578.99638763382268</v>
      </c>
      <c r="BH116" s="62">
        <f t="shared" si="62"/>
        <v>859.64169376271025</v>
      </c>
      <c r="BI116" s="62">
        <f ca="1">AVERAGE(OFFSET($BH$3,0,0,'Données projet'!$E$11+1,1))-AVERAGE(OFFSET($H$3,0,0,'Données projet'!$E$11+1,1))</f>
        <v>496.33873798282525</v>
      </c>
      <c r="BJ116" s="62">
        <f t="shared" si="92"/>
        <v>280.25465074992246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>
        <f>EXP(-LN(2)/35)*BP115+(1-EXP(-LN(2)/35))/(LN(2)/35)*BL116*BM116*VLOOKUP('Données projet'!$B$11,Paramètres!$A$1:$I$89,3,0)*0.475*44/12</f>
        <v>0</v>
      </c>
      <c r="BQ116" s="23">
        <f>EXP(-LN(2)/25)*BQ115+(1-EXP(-LN(2)/25))/(LN(2)/25)*Calculateur!BL116*Calculateur!BN116*VLOOKUP('Données projet'!$B$11,Paramètres!$A$1:$I$89,3,0)*0.475*44/12</f>
        <v>0</v>
      </c>
      <c r="BR116" s="23">
        <f>EXP(-LN(2)/2)*BR115+(1-EXP(-LN(2)/2))/(LN(2)/2)*BL116*BO116*VLOOKUP('Données projet'!$B$11,Paramètres!$A$1:$I$89,3,0)*0.475*44/12</f>
        <v>0</v>
      </c>
      <c r="BS116" s="24">
        <f t="shared" si="63"/>
        <v>0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-1.1368683772161603E-13</v>
      </c>
      <c r="BZ116" s="14">
        <f>BY116*VLOOKUP('Données projet'!$B$12,Paramètres!$A$1:$I$89,3,0)*VLOOKUP('Données projet'!$B$12,Paramètres!$A$1:$I$89,5,0)</f>
        <v>-9.9316821433603781E-14</v>
      </c>
      <c r="CA116" s="14" t="e">
        <f t="shared" si="93"/>
        <v>#NUM!</v>
      </c>
      <c r="CB116" s="22" t="e">
        <f t="shared" si="64"/>
        <v>#NUM!</v>
      </c>
      <c r="CC116" s="62" t="e">
        <f t="shared" si="65"/>
        <v>#NUM!</v>
      </c>
      <c r="CD116" s="62">
        <f ca="1">AVERAGE(OFFSET($CC$3,0,0,'Données projet'!$E$12+1,1))-AVERAGE(OFFSET($H$3,0,0,'Données projet'!$E$12+1,1))</f>
        <v>298.56812743477741</v>
      </c>
      <c r="CE116" s="62">
        <f t="shared" si="94"/>
        <v>276.01618888357268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>
        <f>EXP(-LN(2)/35)*CK115+(1-EXP(-LN(2)/35))/(LN(2)/35)*CG116*CH116*VLOOKUP('Données projet'!$B$12,Paramètres!$A$1:$I$89,3,0)*0.475*44/12</f>
        <v>0</v>
      </c>
      <c r="CL116" s="23">
        <f>EXP(-LN(2)/25)*CL115+(1-EXP(-LN(2)/25))/(LN(2)/25)*Calculateur!CG116*Calculateur!CI116*VLOOKUP('Données projet'!$B$12,Paramètres!$A$1:$I$89,3,0)*0.475*44/12</f>
        <v>0</v>
      </c>
      <c r="CM116" s="23">
        <f>EXP(-LN(2)/2)*CM115+(1-EXP(-LN(2)/2))/(LN(2)/2)*CG116*CJ116*VLOOKUP('Données projet'!$B$12,Paramètres!$A$1:$I$89,3,0)*0.475*44/12</f>
        <v>0</v>
      </c>
      <c r="CN116" s="24">
        <f t="shared" si="66"/>
        <v>0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2.2737367544323206E-13</v>
      </c>
      <c r="CU116" s="18">
        <f>CT116*VLOOKUP('Données projet'!$B$13,Paramètres!$A$1:$I$89,3,0)*VLOOKUP('Données projet'!$B$13,Paramètres!$A$1:$I$89,5,0)</f>
        <v>1.5252226148732008E-13</v>
      </c>
      <c r="CV116" s="14">
        <f t="shared" si="95"/>
        <v>2.1814502464536512E-12</v>
      </c>
      <c r="CW116" s="22">
        <f t="shared" si="67"/>
        <v>4.0650021179971913E-12</v>
      </c>
      <c r="CX116" s="62">
        <f t="shared" si="68"/>
        <v>280.64530612889172</v>
      </c>
      <c r="CY116" s="62">
        <f ca="1">AVERAGE(OFFSET($CX$3,0,0,'Données projet'!$E$13+1,1))-AVERAGE(OFFSET($H$3,0,0,'Données projet'!$E$13+1,1))</f>
        <v>346.82725381974132</v>
      </c>
      <c r="CZ116" s="62">
        <f t="shared" si="96"/>
        <v>254.09787950201044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>
        <f>EXP(-LN(2)/35)*DF115+(1-EXP(-LN(2)/35))/(LN(2)/35)*DB116*DC116*VLOOKUP('Données projet'!$B$13,Paramètres!$A$1:$I$89,3,0)*0.475*44/12</f>
        <v>0</v>
      </c>
      <c r="DG116" s="23">
        <f>EXP(-LN(2)/25)*DG115+(1-EXP(-LN(2)/25))/(LN(2)/25)*Calculateur!DB116*Calculateur!DD116*VLOOKUP('Données projet'!$B$13,Paramètres!$A$1:$I$89,3,0)*0.475*44/12</f>
        <v>0</v>
      </c>
      <c r="DH116" s="23">
        <f>EXP(-LN(2)/2)*DH115+(1-EXP(-LN(2)/2))/(LN(2)/2)*DB116*DE116*VLOOKUP('Données projet'!$B$13,Paramètres!$A$1:$I$89,3,0)*0.475*44/12</f>
        <v>0</v>
      </c>
      <c r="DI116" s="24">
        <f t="shared" si="69"/>
        <v>0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5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2">
        <f t="shared" si="86"/>
        <v>0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18.333333333333332</v>
      </c>
      <c r="H117" s="70">
        <f t="shared" si="56"/>
        <v>183.33333333333334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3.7</v>
      </c>
      <c r="N117" s="14">
        <f>IF('Données projet'!$A$36&gt;35,N116+M117-V116,IF(A117&lt;'Données projet'!$A$36,$K$205^A117,IF(A117='Données projet'!$A$36,'Données projet'!$B$36,N116+M117-V116)))</f>
        <v>280.79999999999956</v>
      </c>
      <c r="O117" s="14">
        <f>N117*VLOOKUP('Données projet'!$B$9,Paramètres!$A$1:$I$89,3,0)*VLOOKUP('Données projet'!$B$9,Paramètres!$A$1:$I$89,5,0)</f>
        <v>254.06783999999956</v>
      </c>
      <c r="P117" s="14">
        <f t="shared" si="87"/>
        <v>61.456187622750669</v>
      </c>
      <c r="Q117" s="22">
        <f t="shared" si="107"/>
        <v>549.53768144295657</v>
      </c>
      <c r="R117" s="62">
        <f t="shared" si="55"/>
        <v>830.40309647766207</v>
      </c>
      <c r="S117" s="62">
        <f ca="1">AVERAGE(OFFSET($R$3,0,0,'Données projet'!$E$9+1,1))-AVERAGE(OFFSET($H$3,0,0,'Données projet'!$E$9+1,1))</f>
        <v>469.67944008675863</v>
      </c>
      <c r="T117" s="62">
        <f t="shared" si="88"/>
        <v>266.11908070867173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0</v>
      </c>
      <c r="AA117" s="23">
        <f>EXP(-LN(2)/25)*AA116+(1-EXP(-LN(2)/25))/(LN(2)/25)*Calculateur!V117*Calculateur!X117*VLOOKUP('Données projet'!$B$9,Paramètres!$A$1:$I$89,3,0)*0.475*44/12</f>
        <v>0</v>
      </c>
      <c r="AB117" s="23">
        <f>EXP(-LN(2)/2)*AB116+(1-EXP(-LN(2)/2))/(LN(2)/2)*V117*Y117*VLOOKUP('Données projet'!$B$9,Paramètres!$A$1:$I$89,3,0)*0.475*44/12</f>
        <v>0</v>
      </c>
      <c r="AC117" s="24">
        <f t="shared" si="57"/>
        <v>0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2.9487179487179485</v>
      </c>
      <c r="AI117" s="14">
        <f>IF('Données projet'!$A$62&gt;35,AI116+AH117-AQ116,IF(A117&lt;'Données projet'!$A$62,$AF$205^A117,IF(A117='Données projet'!$A$62,'Données projet'!$B$62,AI116+AH117-AQ116)))</f>
        <v>252.82051282051276</v>
      </c>
      <c r="AJ117" s="14">
        <f>AI117*VLOOKUP('Données projet'!$B$10,Paramètres!$A$1:$I$89,3,0)*VLOOKUP('Données projet'!$B$10,Paramètres!$A$1:$I$89,5,0)</f>
        <v>240.58399999999997</v>
      </c>
      <c r="AK117" s="14">
        <f t="shared" si="89"/>
        <v>58.565163148584155</v>
      </c>
      <c r="AL117" s="22">
        <f t="shared" si="58"/>
        <v>521.01812581711727</v>
      </c>
      <c r="AM117" s="62">
        <f t="shared" si="59"/>
        <v>801.88354085182277</v>
      </c>
      <c r="AN117" s="62">
        <f ca="1">AVERAGE(OFFSET($AM$3,0,0,'Données projet'!$E$10+1,1))-AVERAGE(OFFSET($H$3,0,0,'Données projet'!$E$10+1,1))</f>
        <v>400.48230125343474</v>
      </c>
      <c r="AO117" s="62">
        <f t="shared" si="90"/>
        <v>275.67023303885048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0</v>
      </c>
      <c r="AV117" s="23">
        <f>EXP(-LN(2)/25)*AV116+(1-EXP(-LN(2)/25))/(LN(2)/25)*Calculateur!AQ117*Calculateur!AS117*VLOOKUP('Données projet'!$B$10,Paramètres!$A$1:$I$89,3,0)*0.475*44/12</f>
        <v>0</v>
      </c>
      <c r="AW117" s="23">
        <f>EXP(-LN(2)/2)*AW116+(1-EXP(-LN(2)/2))/(LN(2)/2)*AQ117*AT117*VLOOKUP('Données projet'!$B$10,Paramètres!$A$1:$I$89,3,0)*0.475*44/12</f>
        <v>0</v>
      </c>
      <c r="AX117" s="23">
        <f t="shared" si="60"/>
        <v>0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3.7</v>
      </c>
      <c r="BD117" s="13">
        <f>IF('Données projet'!$A$88&gt;35,BD116+BC117-BL116,IF(A117&lt;'Données projet'!$A$88,$BA$205^A117,IF(A117='Données projet'!$A$88,'Données projet'!$B$88,BD116+BC117-BL116)))</f>
        <v>280.79999999999956</v>
      </c>
      <c r="BE117" s="14">
        <f>BD117*VLOOKUP('Données projet'!$B$11,Paramètres!$A$1:$I$89,3,0)*VLOOKUP('Données projet'!$B$11,Paramètres!$A$1:$I$89,5,0)</f>
        <v>271.58975999999956</v>
      </c>
      <c r="BF117" s="14">
        <f t="shared" si="91"/>
        <v>65.186541118848012</v>
      </c>
      <c r="BG117" s="22">
        <f t="shared" si="61"/>
        <v>586.55205778199286</v>
      </c>
      <c r="BH117" s="62">
        <f t="shared" si="62"/>
        <v>867.41747281669836</v>
      </c>
      <c r="BI117" s="62">
        <f ca="1">AVERAGE(OFFSET($BH$3,0,0,'Données projet'!$E$11+1,1))-AVERAGE(OFFSET($H$3,0,0,'Données projet'!$E$11+1,1))</f>
        <v>496.33873798282525</v>
      </c>
      <c r="BJ117" s="62">
        <f t="shared" si="92"/>
        <v>280.25465074992246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>
        <f>EXP(-LN(2)/35)*BP116+(1-EXP(-LN(2)/35))/(LN(2)/35)*BL117*BM117*VLOOKUP('Données projet'!$B$11,Paramètres!$A$1:$I$89,3,0)*0.475*44/12</f>
        <v>0</v>
      </c>
      <c r="BQ117" s="23">
        <f>EXP(-LN(2)/25)*BQ116+(1-EXP(-LN(2)/25))/(LN(2)/25)*Calculateur!BL117*Calculateur!BN117*VLOOKUP('Données projet'!$B$11,Paramètres!$A$1:$I$89,3,0)*0.475*44/12</f>
        <v>0</v>
      </c>
      <c r="BR117" s="23">
        <f>EXP(-LN(2)/2)*BR116+(1-EXP(-LN(2)/2))/(LN(2)/2)*BL117*BO117*VLOOKUP('Données projet'!$B$11,Paramètres!$A$1:$I$89,3,0)*0.475*44/12</f>
        <v>0</v>
      </c>
      <c r="BS117" s="24">
        <f t="shared" si="63"/>
        <v>0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-1.1368683772161603E-13</v>
      </c>
      <c r="BZ117" s="14">
        <f>BY117*VLOOKUP('Données projet'!$B$12,Paramètres!$A$1:$I$89,3,0)*VLOOKUP('Données projet'!$B$12,Paramètres!$A$1:$I$89,5,0)</f>
        <v>-9.9316821433603781E-14</v>
      </c>
      <c r="CA117" s="14" t="e">
        <f t="shared" si="93"/>
        <v>#NUM!</v>
      </c>
      <c r="CB117" s="22" t="e">
        <f t="shared" si="64"/>
        <v>#NUM!</v>
      </c>
      <c r="CC117" s="62" t="e">
        <f t="shared" si="65"/>
        <v>#NUM!</v>
      </c>
      <c r="CD117" s="62">
        <f ca="1">AVERAGE(OFFSET($CC$3,0,0,'Données projet'!$E$12+1,1))-AVERAGE(OFFSET($H$3,0,0,'Données projet'!$E$12+1,1))</f>
        <v>298.56812743477741</v>
      </c>
      <c r="CE117" s="62">
        <f t="shared" si="94"/>
        <v>276.01618888357268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>
        <f>EXP(-LN(2)/35)*CK116+(1-EXP(-LN(2)/35))/(LN(2)/35)*CG117*CH117*VLOOKUP('Données projet'!$B$12,Paramètres!$A$1:$I$89,3,0)*0.475*44/12</f>
        <v>0</v>
      </c>
      <c r="CL117" s="23">
        <f>EXP(-LN(2)/25)*CL116+(1-EXP(-LN(2)/25))/(LN(2)/25)*Calculateur!CG117*Calculateur!CI117*VLOOKUP('Données projet'!$B$12,Paramètres!$A$1:$I$89,3,0)*0.475*44/12</f>
        <v>0</v>
      </c>
      <c r="CM117" s="23">
        <f>EXP(-LN(2)/2)*CM116+(1-EXP(-LN(2)/2))/(LN(2)/2)*CG117*CJ117*VLOOKUP('Données projet'!$B$12,Paramètres!$A$1:$I$89,3,0)*0.475*44/12</f>
        <v>0</v>
      </c>
      <c r="CN117" s="24">
        <f t="shared" si="66"/>
        <v>0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2.2737367544323206E-13</v>
      </c>
      <c r="CU117" s="18">
        <f>CT117*VLOOKUP('Données projet'!$B$13,Paramètres!$A$1:$I$89,3,0)*VLOOKUP('Données projet'!$B$13,Paramètres!$A$1:$I$89,5,0)</f>
        <v>1.5252226148732008E-13</v>
      </c>
      <c r="CV117" s="14">
        <f t="shared" si="95"/>
        <v>2.1814502464536512E-12</v>
      </c>
      <c r="CW117" s="22">
        <f t="shared" si="67"/>
        <v>4.0650021179971913E-12</v>
      </c>
      <c r="CX117" s="62">
        <f t="shared" si="68"/>
        <v>280.86541503470954</v>
      </c>
      <c r="CY117" s="62">
        <f ca="1">AVERAGE(OFFSET($CX$3,0,0,'Données projet'!$E$13+1,1))-AVERAGE(OFFSET($H$3,0,0,'Données projet'!$E$13+1,1))</f>
        <v>346.82725381974132</v>
      </c>
      <c r="CZ117" s="62">
        <f t="shared" si="96"/>
        <v>254.09787950201044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>
        <f>EXP(-LN(2)/35)*DF116+(1-EXP(-LN(2)/35))/(LN(2)/35)*DB117*DC117*VLOOKUP('Données projet'!$B$13,Paramètres!$A$1:$I$89,3,0)*0.475*44/12</f>
        <v>0</v>
      </c>
      <c r="DG117" s="23">
        <f>EXP(-LN(2)/25)*DG116+(1-EXP(-LN(2)/25))/(LN(2)/25)*Calculateur!DB117*Calculateur!DD117*VLOOKUP('Données projet'!$B$13,Paramètres!$A$1:$I$89,3,0)*0.475*44/12</f>
        <v>0</v>
      </c>
      <c r="DH117" s="23">
        <f>EXP(-LN(2)/2)*DH116+(1-EXP(-LN(2)/2))/(LN(2)/2)*DB117*DE117*VLOOKUP('Données projet'!$B$13,Paramètres!$A$1:$I$89,3,0)*0.475*44/12</f>
        <v>0</v>
      </c>
      <c r="DI117" s="24">
        <f t="shared" si="69"/>
        <v>0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5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2">
        <f t="shared" si="86"/>
        <v>0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18.333333333333332</v>
      </c>
      <c r="H118" s="70">
        <f t="shared" si="56"/>
        <v>183.33333333333334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3.7</v>
      </c>
      <c r="N118" s="14">
        <f>IF('Données projet'!$A$36&gt;35,N117+M118-V117,IF(A118&lt;'Données projet'!$A$36,$K$205^A118,IF(A118='Données projet'!$A$36,'Données projet'!$B$36,N117+M118-V117)))</f>
        <v>284.49999999999955</v>
      </c>
      <c r="O118" s="14">
        <f>N118*VLOOKUP('Données projet'!$B$9,Paramètres!$A$1:$I$89,3,0)*VLOOKUP('Données projet'!$B$9,Paramètres!$A$1:$I$89,5,0)</f>
        <v>257.41559999999959</v>
      </c>
      <c r="P118" s="14">
        <f t="shared" si="87"/>
        <v>62.171168434977062</v>
      </c>
      <c r="Q118" s="22">
        <f t="shared" si="107"/>
        <v>556.61362169091774</v>
      </c>
      <c r="R118" s="62">
        <f t="shared" si="55"/>
        <v>837.69532723401494</v>
      </c>
      <c r="S118" s="62">
        <f ca="1">AVERAGE(OFFSET($R$3,0,0,'Données projet'!$E$9+1,1))-AVERAGE(OFFSET($H$3,0,0,'Données projet'!$E$9+1,1))</f>
        <v>469.67944008675863</v>
      </c>
      <c r="T118" s="62">
        <f t="shared" si="88"/>
        <v>266.11908070867173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0</v>
      </c>
      <c r="AA118" s="23">
        <f>EXP(-LN(2)/25)*AA117+(1-EXP(-LN(2)/25))/(LN(2)/25)*Calculateur!V118*Calculateur!X118*VLOOKUP('Données projet'!$B$9,Paramètres!$A$1:$I$89,3,0)*0.475*44/12</f>
        <v>0</v>
      </c>
      <c r="AB118" s="23">
        <f>EXP(-LN(2)/2)*AB117+(1-EXP(-LN(2)/2))/(LN(2)/2)*V118*Y118*VLOOKUP('Données projet'!$B$9,Paramètres!$A$1:$I$89,3,0)*0.475*44/12</f>
        <v>0</v>
      </c>
      <c r="AC118" s="24">
        <f t="shared" si="57"/>
        <v>0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2.9487179487179485</v>
      </c>
      <c r="AI118" s="14">
        <f>IF('Données projet'!$A$62&gt;35,AI117+AH118-AQ117,IF(A118&lt;'Données projet'!$A$62,$AF$205^A118,IF(A118='Données projet'!$A$62,'Données projet'!$B$62,AI117+AH118-AQ117)))</f>
        <v>255.76923076923072</v>
      </c>
      <c r="AJ118" s="14">
        <f>AI118*VLOOKUP('Données projet'!$B$10,Paramètres!$A$1:$I$89,3,0)*VLOOKUP('Données projet'!$B$10,Paramètres!$A$1:$I$89,5,0)</f>
        <v>243.38999999999996</v>
      </c>
      <c r="AK118" s="14">
        <f t="shared" si="89"/>
        <v>59.168309023652121</v>
      </c>
      <c r="AL118" s="22">
        <f t="shared" si="58"/>
        <v>526.95572154952742</v>
      </c>
      <c r="AM118" s="62">
        <f t="shared" si="59"/>
        <v>808.03742709262474</v>
      </c>
      <c r="AN118" s="62">
        <f ca="1">AVERAGE(OFFSET($AM$3,0,0,'Données projet'!$E$10+1,1))-AVERAGE(OFFSET($H$3,0,0,'Données projet'!$E$10+1,1))</f>
        <v>400.48230125343474</v>
      </c>
      <c r="AO118" s="62">
        <f t="shared" si="90"/>
        <v>275.67023303885048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0</v>
      </c>
      <c r="AV118" s="23">
        <f>EXP(-LN(2)/25)*AV117+(1-EXP(-LN(2)/25))/(LN(2)/25)*Calculateur!AQ118*Calculateur!AS118*VLOOKUP('Données projet'!$B$10,Paramètres!$A$1:$I$89,3,0)*0.475*44/12</f>
        <v>0</v>
      </c>
      <c r="AW118" s="23">
        <f>EXP(-LN(2)/2)*AW117+(1-EXP(-LN(2)/2))/(LN(2)/2)*AQ118*AT118*VLOOKUP('Données projet'!$B$10,Paramètres!$A$1:$I$89,3,0)*0.475*44/12</f>
        <v>0</v>
      </c>
      <c r="AX118" s="23">
        <f t="shared" si="60"/>
        <v>0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3.7</v>
      </c>
      <c r="BD118" s="13">
        <f>IF('Données projet'!$A$88&gt;35,BD117+BC118-BL117,IF(A118&lt;'Données projet'!$A$88,$BA$205^A118,IF(A118='Données projet'!$A$88,'Données projet'!$B$88,BD117+BC118-BL117)))</f>
        <v>284.49999999999955</v>
      </c>
      <c r="BE118" s="14">
        <f>BD118*VLOOKUP('Données projet'!$B$11,Paramètres!$A$1:$I$89,3,0)*VLOOKUP('Données projet'!$B$11,Paramètres!$A$1:$I$89,5,0)</f>
        <v>275.16839999999956</v>
      </c>
      <c r="BF118" s="14">
        <f t="shared" si="91"/>
        <v>65.944920834841554</v>
      </c>
      <c r="BG118" s="22">
        <f t="shared" si="61"/>
        <v>594.10570045401494</v>
      </c>
      <c r="BH118" s="62">
        <f t="shared" si="62"/>
        <v>875.18740599711214</v>
      </c>
      <c r="BI118" s="62">
        <f ca="1">AVERAGE(OFFSET($BH$3,0,0,'Données projet'!$E$11+1,1))-AVERAGE(OFFSET($H$3,0,0,'Données projet'!$E$11+1,1))</f>
        <v>496.33873798282525</v>
      </c>
      <c r="BJ118" s="62">
        <f t="shared" si="92"/>
        <v>280.25465074992246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>
        <f>EXP(-LN(2)/35)*BP117+(1-EXP(-LN(2)/35))/(LN(2)/35)*BL118*BM118*VLOOKUP('Données projet'!$B$11,Paramètres!$A$1:$I$89,3,0)*0.475*44/12</f>
        <v>0</v>
      </c>
      <c r="BQ118" s="23">
        <f>EXP(-LN(2)/25)*BQ117+(1-EXP(-LN(2)/25))/(LN(2)/25)*Calculateur!BL118*Calculateur!BN118*VLOOKUP('Données projet'!$B$11,Paramètres!$A$1:$I$89,3,0)*0.475*44/12</f>
        <v>0</v>
      </c>
      <c r="BR118" s="23">
        <f>EXP(-LN(2)/2)*BR117+(1-EXP(-LN(2)/2))/(LN(2)/2)*BL118*BO118*VLOOKUP('Données projet'!$B$11,Paramètres!$A$1:$I$89,3,0)*0.475*44/12</f>
        <v>0</v>
      </c>
      <c r="BS118" s="24">
        <f t="shared" si="63"/>
        <v>0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-1.1368683772161603E-13</v>
      </c>
      <c r="BZ118" s="14">
        <f>BY118*VLOOKUP('Données projet'!$B$12,Paramètres!$A$1:$I$89,3,0)*VLOOKUP('Données projet'!$B$12,Paramètres!$A$1:$I$89,5,0)</f>
        <v>-9.9316821433603781E-14</v>
      </c>
      <c r="CA118" s="14" t="e">
        <f t="shared" si="93"/>
        <v>#NUM!</v>
      </c>
      <c r="CB118" s="22" t="e">
        <f t="shared" si="64"/>
        <v>#NUM!</v>
      </c>
      <c r="CC118" s="62" t="e">
        <f t="shared" si="65"/>
        <v>#NUM!</v>
      </c>
      <c r="CD118" s="62">
        <f ca="1">AVERAGE(OFFSET($CC$3,0,0,'Données projet'!$E$12+1,1))-AVERAGE(OFFSET($H$3,0,0,'Données projet'!$E$12+1,1))</f>
        <v>298.56812743477741</v>
      </c>
      <c r="CE118" s="62">
        <f t="shared" si="94"/>
        <v>276.01618888357268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>
        <f>EXP(-LN(2)/35)*CK117+(1-EXP(-LN(2)/35))/(LN(2)/35)*CG118*CH118*VLOOKUP('Données projet'!$B$12,Paramètres!$A$1:$I$89,3,0)*0.475*44/12</f>
        <v>0</v>
      </c>
      <c r="CL118" s="23">
        <f>EXP(-LN(2)/25)*CL117+(1-EXP(-LN(2)/25))/(LN(2)/25)*Calculateur!CG118*Calculateur!CI118*VLOOKUP('Données projet'!$B$12,Paramètres!$A$1:$I$89,3,0)*0.475*44/12</f>
        <v>0</v>
      </c>
      <c r="CM118" s="23">
        <f>EXP(-LN(2)/2)*CM117+(1-EXP(-LN(2)/2))/(LN(2)/2)*CG118*CJ118*VLOOKUP('Données projet'!$B$12,Paramètres!$A$1:$I$89,3,0)*0.475*44/12</f>
        <v>0</v>
      </c>
      <c r="CN118" s="24">
        <f t="shared" si="66"/>
        <v>0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2.2737367544323206E-13</v>
      </c>
      <c r="CU118" s="18">
        <f>CT118*VLOOKUP('Données projet'!$B$13,Paramètres!$A$1:$I$89,3,0)*VLOOKUP('Données projet'!$B$13,Paramètres!$A$1:$I$89,5,0)</f>
        <v>1.5252226148732008E-13</v>
      </c>
      <c r="CV118" s="14">
        <f t="shared" si="95"/>
        <v>2.1814502464536512E-12</v>
      </c>
      <c r="CW118" s="22">
        <f t="shared" si="67"/>
        <v>4.0650021179971913E-12</v>
      </c>
      <c r="CX118" s="62">
        <f t="shared" si="68"/>
        <v>281.08170554310135</v>
      </c>
      <c r="CY118" s="62">
        <f ca="1">AVERAGE(OFFSET($CX$3,0,0,'Données projet'!$E$13+1,1))-AVERAGE(OFFSET($H$3,0,0,'Données projet'!$E$13+1,1))</f>
        <v>346.82725381974132</v>
      </c>
      <c r="CZ118" s="62">
        <f t="shared" si="96"/>
        <v>254.09787950201044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>
        <f>EXP(-LN(2)/35)*DF117+(1-EXP(-LN(2)/35))/(LN(2)/35)*DB118*DC118*VLOOKUP('Données projet'!$B$13,Paramètres!$A$1:$I$89,3,0)*0.475*44/12</f>
        <v>0</v>
      </c>
      <c r="DG118" s="23">
        <f>EXP(-LN(2)/25)*DG117+(1-EXP(-LN(2)/25))/(LN(2)/25)*Calculateur!DB118*Calculateur!DD118*VLOOKUP('Données projet'!$B$13,Paramètres!$A$1:$I$89,3,0)*0.475*44/12</f>
        <v>0</v>
      </c>
      <c r="DH118" s="23">
        <f>EXP(-LN(2)/2)*DH117+(1-EXP(-LN(2)/2))/(LN(2)/2)*DB118*DE118*VLOOKUP('Données projet'!$B$13,Paramètres!$A$1:$I$89,3,0)*0.475*44/12</f>
        <v>0</v>
      </c>
      <c r="DI118" s="24">
        <f t="shared" si="69"/>
        <v>0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5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2">
        <f t="shared" si="86"/>
        <v>0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18.333333333333332</v>
      </c>
      <c r="H119" s="70">
        <f t="shared" si="56"/>
        <v>183.33333333333334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3.7</v>
      </c>
      <c r="N119" s="14">
        <f>IF('Données projet'!$A$36&gt;35,N118+M119-V118,IF(A119&lt;'Données projet'!$A$36,$K$205^A119,IF(A119='Données projet'!$A$36,'Données projet'!$B$36,N118+M119-V118)))</f>
        <v>288.19999999999953</v>
      </c>
      <c r="O119" s="14">
        <f>N119*VLOOKUP('Données projet'!$B$9,Paramètres!$A$1:$I$89,3,0)*VLOOKUP('Données projet'!$B$9,Paramètres!$A$1:$I$89,5,0)</f>
        <v>260.76335999999958</v>
      </c>
      <c r="P119" s="14">
        <f t="shared" si="87"/>
        <v>62.885067686031896</v>
      </c>
      <c r="Q119" s="22">
        <f t="shared" si="107"/>
        <v>563.68767821983818</v>
      </c>
      <c r="R119" s="62">
        <f t="shared" si="55"/>
        <v>844.98192211455967</v>
      </c>
      <c r="S119" s="62">
        <f ca="1">AVERAGE(OFFSET($R$3,0,0,'Données projet'!$E$9+1,1))-AVERAGE(OFFSET($H$3,0,0,'Données projet'!$E$9+1,1))</f>
        <v>469.67944008675863</v>
      </c>
      <c r="T119" s="62">
        <f t="shared" si="88"/>
        <v>266.11908070867173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0</v>
      </c>
      <c r="AA119" s="23">
        <f>EXP(-LN(2)/25)*AA118+(1-EXP(-LN(2)/25))/(LN(2)/25)*Calculateur!V119*Calculateur!X119*VLOOKUP('Données projet'!$B$9,Paramètres!$A$1:$I$89,3,0)*0.475*44/12</f>
        <v>0</v>
      </c>
      <c r="AB119" s="23">
        <f>EXP(-LN(2)/2)*AB118+(1-EXP(-LN(2)/2))/(LN(2)/2)*V119*Y119*VLOOKUP('Données projet'!$B$9,Paramètres!$A$1:$I$89,3,0)*0.475*44/12</f>
        <v>0</v>
      </c>
      <c r="AC119" s="24">
        <f t="shared" si="57"/>
        <v>0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2.9487179487179485</v>
      </c>
      <c r="AI119" s="14">
        <f>IF('Données projet'!$A$62&gt;35,AI118+AH119-AQ118,IF(A119&lt;'Données projet'!$A$62,$AF$205^A119,IF(A119='Données projet'!$A$62,'Données projet'!$B$62,AI118+AH119-AQ118)))</f>
        <v>258.71794871794867</v>
      </c>
      <c r="AJ119" s="14">
        <f>AI119*VLOOKUP('Données projet'!$B$10,Paramètres!$A$1:$I$89,3,0)*VLOOKUP('Données projet'!$B$10,Paramètres!$A$1:$I$89,5,0)</f>
        <v>246.19599999999997</v>
      </c>
      <c r="AK119" s="14">
        <f t="shared" si="89"/>
        <v>59.770646028058856</v>
      </c>
      <c r="AL119" s="22">
        <f t="shared" si="58"/>
        <v>532.89190849886916</v>
      </c>
      <c r="AM119" s="62">
        <f t="shared" si="59"/>
        <v>814.18615239359065</v>
      </c>
      <c r="AN119" s="62">
        <f ca="1">AVERAGE(OFFSET($AM$3,0,0,'Données projet'!$E$10+1,1))-AVERAGE(OFFSET($H$3,0,0,'Données projet'!$E$10+1,1))</f>
        <v>400.48230125343474</v>
      </c>
      <c r="AO119" s="62">
        <f t="shared" si="90"/>
        <v>275.67023303885048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0</v>
      </c>
      <c r="AV119" s="23">
        <f>EXP(-LN(2)/25)*AV118+(1-EXP(-LN(2)/25))/(LN(2)/25)*Calculateur!AQ119*Calculateur!AS119*VLOOKUP('Données projet'!$B$10,Paramètres!$A$1:$I$89,3,0)*0.475*44/12</f>
        <v>0</v>
      </c>
      <c r="AW119" s="23">
        <f>EXP(-LN(2)/2)*AW118+(1-EXP(-LN(2)/2))/(LN(2)/2)*AQ119*AT119*VLOOKUP('Données projet'!$B$10,Paramètres!$A$1:$I$89,3,0)*0.475*44/12</f>
        <v>0</v>
      </c>
      <c r="AX119" s="23">
        <f t="shared" si="60"/>
        <v>0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3.7</v>
      </c>
      <c r="BD119" s="13">
        <f>IF('Données projet'!$A$88&gt;35,BD118+BC119-BL118,IF(A119&lt;'Données projet'!$A$88,$BA$205^A119,IF(A119='Données projet'!$A$88,'Données projet'!$B$88,BD118+BC119-BL118)))</f>
        <v>288.19999999999953</v>
      </c>
      <c r="BE119" s="14">
        <f>BD119*VLOOKUP('Données projet'!$B$11,Paramètres!$A$1:$I$89,3,0)*VLOOKUP('Données projet'!$B$11,Paramètres!$A$1:$I$89,5,0)</f>
        <v>278.74703999999957</v>
      </c>
      <c r="BF119" s="14">
        <f t="shared" si="91"/>
        <v>66.702153339553135</v>
      </c>
      <c r="BG119" s="22">
        <f t="shared" si="61"/>
        <v>601.65734506638762</v>
      </c>
      <c r="BH119" s="62">
        <f t="shared" si="62"/>
        <v>882.95158896110911</v>
      </c>
      <c r="BI119" s="62">
        <f ca="1">AVERAGE(OFFSET($BH$3,0,0,'Données projet'!$E$11+1,1))-AVERAGE(OFFSET($H$3,0,0,'Données projet'!$E$11+1,1))</f>
        <v>496.33873798282525</v>
      </c>
      <c r="BJ119" s="62">
        <f t="shared" si="92"/>
        <v>280.25465074992246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>
        <f>EXP(-LN(2)/35)*BP118+(1-EXP(-LN(2)/35))/(LN(2)/35)*BL119*BM119*VLOOKUP('Données projet'!$B$11,Paramètres!$A$1:$I$89,3,0)*0.475*44/12</f>
        <v>0</v>
      </c>
      <c r="BQ119" s="23">
        <f>EXP(-LN(2)/25)*BQ118+(1-EXP(-LN(2)/25))/(LN(2)/25)*Calculateur!BL119*Calculateur!BN119*VLOOKUP('Données projet'!$B$11,Paramètres!$A$1:$I$89,3,0)*0.475*44/12</f>
        <v>0</v>
      </c>
      <c r="BR119" s="23">
        <f>EXP(-LN(2)/2)*BR118+(1-EXP(-LN(2)/2))/(LN(2)/2)*BL119*BO119*VLOOKUP('Données projet'!$B$11,Paramètres!$A$1:$I$89,3,0)*0.475*44/12</f>
        <v>0</v>
      </c>
      <c r="BS119" s="24">
        <f t="shared" si="63"/>
        <v>0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-1.1368683772161603E-13</v>
      </c>
      <c r="BZ119" s="14">
        <f>BY119*VLOOKUP('Données projet'!$B$12,Paramètres!$A$1:$I$89,3,0)*VLOOKUP('Données projet'!$B$12,Paramètres!$A$1:$I$89,5,0)</f>
        <v>-9.9316821433603781E-14</v>
      </c>
      <c r="CA119" s="14" t="e">
        <f t="shared" si="93"/>
        <v>#NUM!</v>
      </c>
      <c r="CB119" s="22" t="e">
        <f t="shared" si="64"/>
        <v>#NUM!</v>
      </c>
      <c r="CC119" s="62" t="e">
        <f t="shared" si="65"/>
        <v>#NUM!</v>
      </c>
      <c r="CD119" s="62">
        <f ca="1">AVERAGE(OFFSET($CC$3,0,0,'Données projet'!$E$12+1,1))-AVERAGE(OFFSET($H$3,0,0,'Données projet'!$E$12+1,1))</f>
        <v>298.56812743477741</v>
      </c>
      <c r="CE119" s="62">
        <f t="shared" si="94"/>
        <v>276.01618888357268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>
        <f>EXP(-LN(2)/35)*CK118+(1-EXP(-LN(2)/35))/(LN(2)/35)*CG119*CH119*VLOOKUP('Données projet'!$B$12,Paramètres!$A$1:$I$89,3,0)*0.475*44/12</f>
        <v>0</v>
      </c>
      <c r="CL119" s="23">
        <f>EXP(-LN(2)/25)*CL118+(1-EXP(-LN(2)/25))/(LN(2)/25)*Calculateur!CG119*Calculateur!CI119*VLOOKUP('Données projet'!$B$12,Paramètres!$A$1:$I$89,3,0)*0.475*44/12</f>
        <v>0</v>
      </c>
      <c r="CM119" s="23">
        <f>EXP(-LN(2)/2)*CM118+(1-EXP(-LN(2)/2))/(LN(2)/2)*CG119*CJ119*VLOOKUP('Données projet'!$B$12,Paramètres!$A$1:$I$89,3,0)*0.475*44/12</f>
        <v>0</v>
      </c>
      <c r="CN119" s="24">
        <f t="shared" si="66"/>
        <v>0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2.2737367544323206E-13</v>
      </c>
      <c r="CU119" s="18">
        <f>CT119*VLOOKUP('Données projet'!$B$13,Paramètres!$A$1:$I$89,3,0)*VLOOKUP('Données projet'!$B$13,Paramètres!$A$1:$I$89,5,0)</f>
        <v>1.5252226148732008E-13</v>
      </c>
      <c r="CV119" s="14">
        <f t="shared" si="95"/>
        <v>2.1814502464536512E-12</v>
      </c>
      <c r="CW119" s="22">
        <f t="shared" si="67"/>
        <v>4.0650021179971913E-12</v>
      </c>
      <c r="CX119" s="62">
        <f t="shared" si="68"/>
        <v>281.29424389472558</v>
      </c>
      <c r="CY119" s="62">
        <f ca="1">AVERAGE(OFFSET($CX$3,0,0,'Données projet'!$E$13+1,1))-AVERAGE(OFFSET($H$3,0,0,'Données projet'!$E$13+1,1))</f>
        <v>346.82725381974132</v>
      </c>
      <c r="CZ119" s="62">
        <f t="shared" si="96"/>
        <v>254.09787950201044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>
        <f>EXP(-LN(2)/35)*DF118+(1-EXP(-LN(2)/35))/(LN(2)/35)*DB119*DC119*VLOOKUP('Données projet'!$B$13,Paramètres!$A$1:$I$89,3,0)*0.475*44/12</f>
        <v>0</v>
      </c>
      <c r="DG119" s="23">
        <f>EXP(-LN(2)/25)*DG118+(1-EXP(-LN(2)/25))/(LN(2)/25)*Calculateur!DB119*Calculateur!DD119*VLOOKUP('Données projet'!$B$13,Paramètres!$A$1:$I$89,3,0)*0.475*44/12</f>
        <v>0</v>
      </c>
      <c r="DH119" s="23">
        <f>EXP(-LN(2)/2)*DH118+(1-EXP(-LN(2)/2))/(LN(2)/2)*DB119*DE119*VLOOKUP('Données projet'!$B$13,Paramètres!$A$1:$I$89,3,0)*0.475*44/12</f>
        <v>0</v>
      </c>
      <c r="DI119" s="24">
        <f t="shared" si="69"/>
        <v>0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5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2">
        <f t="shared" si="86"/>
        <v>0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18.333333333333332</v>
      </c>
      <c r="H120" s="70">
        <f t="shared" si="56"/>
        <v>183.33333333333334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3.7</v>
      </c>
      <c r="N120" s="14">
        <f>IF('Données projet'!$A$36&gt;35,N119+M120-V119,IF(A120&lt;'Données projet'!$A$36,$K$205^A120,IF(A120='Données projet'!$A$36,'Données projet'!$B$36,N119+M120-V119)))</f>
        <v>291.89999999999952</v>
      </c>
      <c r="O120" s="14">
        <f>N120*VLOOKUP('Données projet'!$B$9,Paramètres!$A$1:$I$89,3,0)*VLOOKUP('Données projet'!$B$9,Paramètres!$A$1:$I$89,5,0)</f>
        <v>264.11111999999957</v>
      </c>
      <c r="P120" s="14">
        <f t="shared" si="87"/>
        <v>63.597900866870546</v>
      </c>
      <c r="Q120" s="22">
        <f t="shared" si="107"/>
        <v>570.75987800979885</v>
      </c>
      <c r="R120" s="62">
        <f t="shared" si="55"/>
        <v>852.2629731909085</v>
      </c>
      <c r="S120" s="62">
        <f ca="1">AVERAGE(OFFSET($R$3,0,0,'Données projet'!$E$9+1,1))-AVERAGE(OFFSET($H$3,0,0,'Données projet'!$E$9+1,1))</f>
        <v>469.67944008675863</v>
      </c>
      <c r="T120" s="62">
        <f t="shared" si="88"/>
        <v>266.11908070867173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0</v>
      </c>
      <c r="AA120" s="23">
        <f>EXP(-LN(2)/25)*AA119+(1-EXP(-LN(2)/25))/(LN(2)/25)*Calculateur!V120*Calculateur!X120*VLOOKUP('Données projet'!$B$9,Paramètres!$A$1:$I$89,3,0)*0.475*44/12</f>
        <v>0</v>
      </c>
      <c r="AB120" s="23">
        <f>EXP(-LN(2)/2)*AB119+(1-EXP(-LN(2)/2))/(LN(2)/2)*V120*Y120*VLOOKUP('Données projet'!$B$9,Paramètres!$A$1:$I$89,3,0)*0.475*44/12</f>
        <v>0</v>
      </c>
      <c r="AC120" s="24">
        <f t="shared" si="57"/>
        <v>0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2.9487179487179485</v>
      </c>
      <c r="AI120" s="14">
        <f>IF('Données projet'!$A$62&gt;35,AI119+AH120-AQ119,IF(A120&lt;'Données projet'!$A$62,$AF$205^A120,IF(A120='Données projet'!$A$62,'Données projet'!$B$62,AI119+AH120-AQ119)))</f>
        <v>261.66666666666663</v>
      </c>
      <c r="AJ120" s="14">
        <f>AI120*VLOOKUP('Données projet'!$B$10,Paramètres!$A$1:$I$89,3,0)*VLOOKUP('Données projet'!$B$10,Paramètres!$A$1:$I$89,5,0)</f>
        <v>249.00199999999998</v>
      </c>
      <c r="AK120" s="14">
        <f t="shared" si="89"/>
        <v>60.372184447565616</v>
      </c>
      <c r="AL120" s="22">
        <f t="shared" si="58"/>
        <v>538.82670457951008</v>
      </c>
      <c r="AM120" s="62">
        <f t="shared" si="59"/>
        <v>820.32979976061972</v>
      </c>
      <c r="AN120" s="62">
        <f ca="1">AVERAGE(OFFSET($AM$3,0,0,'Données projet'!$E$10+1,1))-AVERAGE(OFFSET($H$3,0,0,'Données projet'!$E$10+1,1))</f>
        <v>400.48230125343474</v>
      </c>
      <c r="AO120" s="62">
        <f t="shared" si="90"/>
        <v>275.67023303885048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0</v>
      </c>
      <c r="AV120" s="23">
        <f>EXP(-LN(2)/25)*AV119+(1-EXP(-LN(2)/25))/(LN(2)/25)*Calculateur!AQ120*Calculateur!AS120*VLOOKUP('Données projet'!$B$10,Paramètres!$A$1:$I$89,3,0)*0.475*44/12</f>
        <v>0</v>
      </c>
      <c r="AW120" s="23">
        <f>EXP(-LN(2)/2)*AW119+(1-EXP(-LN(2)/2))/(LN(2)/2)*AQ120*AT120*VLOOKUP('Données projet'!$B$10,Paramètres!$A$1:$I$89,3,0)*0.475*44/12</f>
        <v>0</v>
      </c>
      <c r="AX120" s="23">
        <f t="shared" si="60"/>
        <v>0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3.7</v>
      </c>
      <c r="BD120" s="13">
        <f>IF('Données projet'!$A$88&gt;35,BD119+BC120-BL119,IF(A120&lt;'Données projet'!$A$88,$BA$205^A120,IF(A120='Données projet'!$A$88,'Données projet'!$B$88,BD119+BC120-BL119)))</f>
        <v>291.89999999999952</v>
      </c>
      <c r="BE120" s="14">
        <f>BD120*VLOOKUP('Données projet'!$B$11,Paramètres!$A$1:$I$89,3,0)*VLOOKUP('Données projet'!$B$11,Paramètres!$A$1:$I$89,5,0)</f>
        <v>282.32567999999952</v>
      </c>
      <c r="BF120" s="14">
        <f t="shared" si="91"/>
        <v>67.458255064229917</v>
      </c>
      <c r="BG120" s="22">
        <f t="shared" si="61"/>
        <v>609.20702023686624</v>
      </c>
      <c r="BH120" s="62">
        <f t="shared" si="62"/>
        <v>890.71011541797589</v>
      </c>
      <c r="BI120" s="62">
        <f ca="1">AVERAGE(OFFSET($BH$3,0,0,'Données projet'!$E$11+1,1))-AVERAGE(OFFSET($H$3,0,0,'Données projet'!$E$11+1,1))</f>
        <v>496.33873798282525</v>
      </c>
      <c r="BJ120" s="62">
        <f t="shared" si="92"/>
        <v>280.25465074992246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>
        <f>EXP(-LN(2)/35)*BP119+(1-EXP(-LN(2)/35))/(LN(2)/35)*BL120*BM120*VLOOKUP('Données projet'!$B$11,Paramètres!$A$1:$I$89,3,0)*0.475*44/12</f>
        <v>0</v>
      </c>
      <c r="BQ120" s="23">
        <f>EXP(-LN(2)/25)*BQ119+(1-EXP(-LN(2)/25))/(LN(2)/25)*Calculateur!BL120*Calculateur!BN120*VLOOKUP('Données projet'!$B$11,Paramètres!$A$1:$I$89,3,0)*0.475*44/12</f>
        <v>0</v>
      </c>
      <c r="BR120" s="23">
        <f>EXP(-LN(2)/2)*BR119+(1-EXP(-LN(2)/2))/(LN(2)/2)*BL120*BO120*VLOOKUP('Données projet'!$B$11,Paramètres!$A$1:$I$89,3,0)*0.475*44/12</f>
        <v>0</v>
      </c>
      <c r="BS120" s="24">
        <f t="shared" si="63"/>
        <v>0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-1.1368683772161603E-13</v>
      </c>
      <c r="BZ120" s="14">
        <f>BY120*VLOOKUP('Données projet'!$B$12,Paramètres!$A$1:$I$89,3,0)*VLOOKUP('Données projet'!$B$12,Paramètres!$A$1:$I$89,5,0)</f>
        <v>-9.9316821433603781E-14</v>
      </c>
      <c r="CA120" s="14" t="e">
        <f t="shared" si="93"/>
        <v>#NUM!</v>
      </c>
      <c r="CB120" s="22" t="e">
        <f t="shared" si="64"/>
        <v>#NUM!</v>
      </c>
      <c r="CC120" s="62" t="e">
        <f t="shared" si="65"/>
        <v>#NUM!</v>
      </c>
      <c r="CD120" s="62">
        <f ca="1">AVERAGE(OFFSET($CC$3,0,0,'Données projet'!$E$12+1,1))-AVERAGE(OFFSET($H$3,0,0,'Données projet'!$E$12+1,1))</f>
        <v>298.56812743477741</v>
      </c>
      <c r="CE120" s="62">
        <f t="shared" si="94"/>
        <v>276.01618888357268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>
        <f>EXP(-LN(2)/35)*CK119+(1-EXP(-LN(2)/35))/(LN(2)/35)*CG120*CH120*VLOOKUP('Données projet'!$B$12,Paramètres!$A$1:$I$89,3,0)*0.475*44/12</f>
        <v>0</v>
      </c>
      <c r="CL120" s="23">
        <f>EXP(-LN(2)/25)*CL119+(1-EXP(-LN(2)/25))/(LN(2)/25)*Calculateur!CG120*Calculateur!CI120*VLOOKUP('Données projet'!$B$12,Paramètres!$A$1:$I$89,3,0)*0.475*44/12</f>
        <v>0</v>
      </c>
      <c r="CM120" s="23">
        <f>EXP(-LN(2)/2)*CM119+(1-EXP(-LN(2)/2))/(LN(2)/2)*CG120*CJ120*VLOOKUP('Données projet'!$B$12,Paramètres!$A$1:$I$89,3,0)*0.475*44/12</f>
        <v>0</v>
      </c>
      <c r="CN120" s="24">
        <f t="shared" si="66"/>
        <v>0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2.2737367544323206E-13</v>
      </c>
      <c r="CU120" s="18">
        <f>CT120*VLOOKUP('Données projet'!$B$13,Paramètres!$A$1:$I$89,3,0)*VLOOKUP('Données projet'!$B$13,Paramètres!$A$1:$I$89,5,0)</f>
        <v>1.5252226148732008E-13</v>
      </c>
      <c r="CV120" s="14">
        <f t="shared" si="95"/>
        <v>2.1814502464536512E-12</v>
      </c>
      <c r="CW120" s="22">
        <f t="shared" si="67"/>
        <v>4.0650021179971913E-12</v>
      </c>
      <c r="CX120" s="62">
        <f t="shared" si="68"/>
        <v>281.50309518111374</v>
      </c>
      <c r="CY120" s="62">
        <f ca="1">AVERAGE(OFFSET($CX$3,0,0,'Données projet'!$E$13+1,1))-AVERAGE(OFFSET($H$3,0,0,'Données projet'!$E$13+1,1))</f>
        <v>346.82725381974132</v>
      </c>
      <c r="CZ120" s="62">
        <f t="shared" si="96"/>
        <v>254.09787950201044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>
        <f>EXP(-LN(2)/35)*DF119+(1-EXP(-LN(2)/35))/(LN(2)/35)*DB120*DC120*VLOOKUP('Données projet'!$B$13,Paramètres!$A$1:$I$89,3,0)*0.475*44/12</f>
        <v>0</v>
      </c>
      <c r="DG120" s="23">
        <f>EXP(-LN(2)/25)*DG119+(1-EXP(-LN(2)/25))/(LN(2)/25)*Calculateur!DB120*Calculateur!DD120*VLOOKUP('Données projet'!$B$13,Paramètres!$A$1:$I$89,3,0)*0.475*44/12</f>
        <v>0</v>
      </c>
      <c r="DH120" s="23">
        <f>EXP(-LN(2)/2)*DH119+(1-EXP(-LN(2)/2))/(LN(2)/2)*DB120*DE120*VLOOKUP('Données projet'!$B$13,Paramètres!$A$1:$I$89,3,0)*0.475*44/12</f>
        <v>0</v>
      </c>
      <c r="DI120" s="24">
        <f t="shared" si="69"/>
        <v>0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5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2">
        <f t="shared" si="86"/>
        <v>0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18.333333333333332</v>
      </c>
      <c r="H121" s="70">
        <f t="shared" si="56"/>
        <v>183.33333333333334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3.7</v>
      </c>
      <c r="N121" s="14">
        <f>IF('Données projet'!$A$36&gt;35,N120+M121-V120,IF(A121&lt;'Données projet'!$A$36,$K$205^A121,IF(A121='Données projet'!$A$36,'Données projet'!$B$36,N120+M121-V120)))</f>
        <v>295.59999999999951</v>
      </c>
      <c r="O121" s="14">
        <f>N121*VLOOKUP('Données projet'!$B$9,Paramètres!$A$1:$I$89,3,0)*VLOOKUP('Données projet'!$B$9,Paramètres!$A$1:$I$89,5,0)</f>
        <v>267.45887999999951</v>
      </c>
      <c r="P121" s="14">
        <f t="shared" si="87"/>
        <v>64.309683053152327</v>
      </c>
      <c r="Q121" s="22">
        <f t="shared" si="107"/>
        <v>577.8302473175728</v>
      </c>
      <c r="R121" s="62">
        <f t="shared" si="55"/>
        <v>859.53857068217326</v>
      </c>
      <c r="S121" s="62">
        <f ca="1">AVERAGE(OFFSET($R$3,0,0,'Données projet'!$E$9+1,1))-AVERAGE(OFFSET($H$3,0,0,'Données projet'!$E$9+1,1))</f>
        <v>469.67944008675863</v>
      </c>
      <c r="T121" s="62">
        <f t="shared" si="88"/>
        <v>266.11908070867173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0</v>
      </c>
      <c r="AA121" s="23">
        <f>EXP(-LN(2)/25)*AA120+(1-EXP(-LN(2)/25))/(LN(2)/25)*Calculateur!V121*Calculateur!X121*VLOOKUP('Données projet'!$B$9,Paramètres!$A$1:$I$89,3,0)*0.475*44/12</f>
        <v>0</v>
      </c>
      <c r="AB121" s="23">
        <f>EXP(-LN(2)/2)*AB120+(1-EXP(-LN(2)/2))/(LN(2)/2)*V121*Y121*VLOOKUP('Données projet'!$B$9,Paramètres!$A$1:$I$89,3,0)*0.475*44/12</f>
        <v>0</v>
      </c>
      <c r="AC121" s="24">
        <f t="shared" si="57"/>
        <v>0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2.9487179487179485</v>
      </c>
      <c r="AI121" s="14">
        <f>IF('Données projet'!$A$62&gt;35,AI120+AH121-AQ120,IF(A121&lt;'Données projet'!$A$62,$AF$205^A121,IF(A121='Données projet'!$A$62,'Données projet'!$B$62,AI120+AH121-AQ120)))</f>
        <v>264.61538461538458</v>
      </c>
      <c r="AJ121" s="14">
        <f>AI121*VLOOKUP('Données projet'!$B$10,Paramètres!$A$1:$I$89,3,0)*VLOOKUP('Données projet'!$B$10,Paramètres!$A$1:$I$89,5,0)</f>
        <v>251.80799999999999</v>
      </c>
      <c r="AK121" s="14">
        <f t="shared" si="89"/>
        <v>60.972934322766903</v>
      </c>
      <c r="AL121" s="22">
        <f t="shared" si="58"/>
        <v>544.76012727881891</v>
      </c>
      <c r="AM121" s="62">
        <f t="shared" si="59"/>
        <v>826.46845064341937</v>
      </c>
      <c r="AN121" s="62">
        <f ca="1">AVERAGE(OFFSET($AM$3,0,0,'Données projet'!$E$10+1,1))-AVERAGE(OFFSET($H$3,0,0,'Données projet'!$E$10+1,1))</f>
        <v>400.48230125343474</v>
      </c>
      <c r="AO121" s="62">
        <f t="shared" si="90"/>
        <v>275.67023303885048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0</v>
      </c>
      <c r="AV121" s="23">
        <f>EXP(-LN(2)/25)*AV120+(1-EXP(-LN(2)/25))/(LN(2)/25)*Calculateur!AQ121*Calculateur!AS121*VLOOKUP('Données projet'!$B$10,Paramètres!$A$1:$I$89,3,0)*0.475*44/12</f>
        <v>0</v>
      </c>
      <c r="AW121" s="23">
        <f>EXP(-LN(2)/2)*AW120+(1-EXP(-LN(2)/2))/(LN(2)/2)*AQ121*AT121*VLOOKUP('Données projet'!$B$10,Paramètres!$A$1:$I$89,3,0)*0.475*44/12</f>
        <v>0</v>
      </c>
      <c r="AX121" s="23">
        <f t="shared" si="60"/>
        <v>0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3.7</v>
      </c>
      <c r="BD121" s="13">
        <f>IF('Données projet'!$A$88&gt;35,BD120+BC121-BL120,IF(A121&lt;'Données projet'!$A$88,$BA$205^A121,IF(A121='Données projet'!$A$88,'Données projet'!$B$88,BD120+BC121-BL120)))</f>
        <v>295.59999999999951</v>
      </c>
      <c r="BE121" s="14">
        <f>BD121*VLOOKUP('Données projet'!$B$11,Paramètres!$A$1:$I$89,3,0)*VLOOKUP('Données projet'!$B$11,Paramètres!$A$1:$I$89,5,0)</f>
        <v>285.90431999999953</v>
      </c>
      <c r="BF121" s="14">
        <f t="shared" si="91"/>
        <v>68.213241999614453</v>
      </c>
      <c r="BG121" s="22">
        <f t="shared" si="61"/>
        <v>616.75475381599438</v>
      </c>
      <c r="BH121" s="62">
        <f t="shared" si="62"/>
        <v>898.46307718059484</v>
      </c>
      <c r="BI121" s="62">
        <f ca="1">AVERAGE(OFFSET($BH$3,0,0,'Données projet'!$E$11+1,1))-AVERAGE(OFFSET($H$3,0,0,'Données projet'!$E$11+1,1))</f>
        <v>496.33873798282525</v>
      </c>
      <c r="BJ121" s="62">
        <f t="shared" si="92"/>
        <v>280.25465074992246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>
        <f>EXP(-LN(2)/35)*BP120+(1-EXP(-LN(2)/35))/(LN(2)/35)*BL121*BM121*VLOOKUP('Données projet'!$B$11,Paramètres!$A$1:$I$89,3,0)*0.475*44/12</f>
        <v>0</v>
      </c>
      <c r="BQ121" s="23">
        <f>EXP(-LN(2)/25)*BQ120+(1-EXP(-LN(2)/25))/(LN(2)/25)*Calculateur!BL121*Calculateur!BN121*VLOOKUP('Données projet'!$B$11,Paramètres!$A$1:$I$89,3,0)*0.475*44/12</f>
        <v>0</v>
      </c>
      <c r="BR121" s="23">
        <f>EXP(-LN(2)/2)*BR120+(1-EXP(-LN(2)/2))/(LN(2)/2)*BL121*BO121*VLOOKUP('Données projet'!$B$11,Paramètres!$A$1:$I$89,3,0)*0.475*44/12</f>
        <v>0</v>
      </c>
      <c r="BS121" s="24">
        <f t="shared" si="63"/>
        <v>0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-1.1368683772161603E-13</v>
      </c>
      <c r="BZ121" s="14">
        <f>BY121*VLOOKUP('Données projet'!$B$12,Paramètres!$A$1:$I$89,3,0)*VLOOKUP('Données projet'!$B$12,Paramètres!$A$1:$I$89,5,0)</f>
        <v>-9.9316821433603781E-14</v>
      </c>
      <c r="CA121" s="14" t="e">
        <f t="shared" si="93"/>
        <v>#NUM!</v>
      </c>
      <c r="CB121" s="22" t="e">
        <f t="shared" si="64"/>
        <v>#NUM!</v>
      </c>
      <c r="CC121" s="62" t="e">
        <f t="shared" si="65"/>
        <v>#NUM!</v>
      </c>
      <c r="CD121" s="62">
        <f ca="1">AVERAGE(OFFSET($CC$3,0,0,'Données projet'!$E$12+1,1))-AVERAGE(OFFSET($H$3,0,0,'Données projet'!$E$12+1,1))</f>
        <v>298.56812743477741</v>
      </c>
      <c r="CE121" s="62">
        <f t="shared" si="94"/>
        <v>276.01618888357268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>
        <f>EXP(-LN(2)/35)*CK120+(1-EXP(-LN(2)/35))/(LN(2)/35)*CG121*CH121*VLOOKUP('Données projet'!$B$12,Paramètres!$A$1:$I$89,3,0)*0.475*44/12</f>
        <v>0</v>
      </c>
      <c r="CL121" s="23">
        <f>EXP(-LN(2)/25)*CL120+(1-EXP(-LN(2)/25))/(LN(2)/25)*Calculateur!CG121*Calculateur!CI121*VLOOKUP('Données projet'!$B$12,Paramètres!$A$1:$I$89,3,0)*0.475*44/12</f>
        <v>0</v>
      </c>
      <c r="CM121" s="23">
        <f>EXP(-LN(2)/2)*CM120+(1-EXP(-LN(2)/2))/(LN(2)/2)*CG121*CJ121*VLOOKUP('Données projet'!$B$12,Paramètres!$A$1:$I$89,3,0)*0.475*44/12</f>
        <v>0</v>
      </c>
      <c r="CN121" s="24">
        <f t="shared" si="66"/>
        <v>0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2.2737367544323206E-13</v>
      </c>
      <c r="CU121" s="18">
        <f>CT121*VLOOKUP('Données projet'!$B$13,Paramètres!$A$1:$I$89,3,0)*VLOOKUP('Données projet'!$B$13,Paramètres!$A$1:$I$89,5,0)</f>
        <v>1.5252226148732008E-13</v>
      </c>
      <c r="CV121" s="14">
        <f t="shared" si="95"/>
        <v>2.1814502464536512E-12</v>
      </c>
      <c r="CW121" s="22">
        <f t="shared" si="67"/>
        <v>4.0650021179971913E-12</v>
      </c>
      <c r="CX121" s="62">
        <f t="shared" si="68"/>
        <v>281.7083233646045</v>
      </c>
      <c r="CY121" s="62">
        <f ca="1">AVERAGE(OFFSET($CX$3,0,0,'Données projet'!$E$13+1,1))-AVERAGE(OFFSET($H$3,0,0,'Données projet'!$E$13+1,1))</f>
        <v>346.82725381974132</v>
      </c>
      <c r="CZ121" s="62">
        <f t="shared" si="96"/>
        <v>254.09787950201044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>
        <f>EXP(-LN(2)/35)*DF120+(1-EXP(-LN(2)/35))/(LN(2)/35)*DB121*DC121*VLOOKUP('Données projet'!$B$13,Paramètres!$A$1:$I$89,3,0)*0.475*44/12</f>
        <v>0</v>
      </c>
      <c r="DG121" s="23">
        <f>EXP(-LN(2)/25)*DG120+(1-EXP(-LN(2)/25))/(LN(2)/25)*Calculateur!DB121*Calculateur!DD121*VLOOKUP('Données projet'!$B$13,Paramètres!$A$1:$I$89,3,0)*0.475*44/12</f>
        <v>0</v>
      </c>
      <c r="DH121" s="23">
        <f>EXP(-LN(2)/2)*DH120+(1-EXP(-LN(2)/2))/(LN(2)/2)*DB121*DE121*VLOOKUP('Données projet'!$B$13,Paramètres!$A$1:$I$89,3,0)*0.475*44/12</f>
        <v>0</v>
      </c>
      <c r="DI121" s="24">
        <f t="shared" si="69"/>
        <v>0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5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2">
        <f t="shared" si="86"/>
        <v>0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18.333333333333332</v>
      </c>
      <c r="H122" s="70">
        <f t="shared" si="56"/>
        <v>183.33333333333334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3.7</v>
      </c>
      <c r="N122" s="14">
        <f>IF('Données projet'!$A$36&gt;35,N121+M122-V121,IF(A122&lt;'Données projet'!$A$36,$K$205^A122,IF(A122='Données projet'!$A$36,'Données projet'!$B$36,N121+M122-V121)))</f>
        <v>299.2999999999995</v>
      </c>
      <c r="O122" s="14">
        <f>N122*VLOOKUP('Données projet'!$B$9,Paramètres!$A$1:$I$89,3,0)*VLOOKUP('Données projet'!$B$9,Paramètres!$A$1:$I$89,5,0)</f>
        <v>270.80663999999956</v>
      </c>
      <c r="P122" s="14">
        <f t="shared" si="87"/>
        <v>65.020428921429911</v>
      </c>
      <c r="Q122" s="22">
        <f t="shared" si="107"/>
        <v>584.89881170482306</v>
      </c>
      <c r="R122" s="62">
        <f t="shared" si="55"/>
        <v>866.80880300275226</v>
      </c>
      <c r="S122" s="62">
        <f ca="1">AVERAGE(OFFSET($R$3,0,0,'Données projet'!$E$9+1,1))-AVERAGE(OFFSET($H$3,0,0,'Données projet'!$E$9+1,1))</f>
        <v>469.67944008675863</v>
      </c>
      <c r="T122" s="62">
        <f t="shared" si="88"/>
        <v>266.11908070867173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0</v>
      </c>
      <c r="AA122" s="23">
        <f>EXP(-LN(2)/25)*AA121+(1-EXP(-LN(2)/25))/(LN(2)/25)*Calculateur!V122*Calculateur!X122*VLOOKUP('Données projet'!$B$9,Paramètres!$A$1:$I$89,3,0)*0.475*44/12</f>
        <v>0</v>
      </c>
      <c r="AB122" s="23">
        <f>EXP(-LN(2)/2)*AB121+(1-EXP(-LN(2)/2))/(LN(2)/2)*V122*Y122*VLOOKUP('Données projet'!$B$9,Paramètres!$A$1:$I$89,3,0)*0.475*44/12</f>
        <v>0</v>
      </c>
      <c r="AC122" s="24">
        <f t="shared" si="57"/>
        <v>0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2.9487179487179485</v>
      </c>
      <c r="AI122" s="14">
        <f>IF('Données projet'!$A$62&gt;35,AI121+AH122-AQ121,IF(A122&lt;'Données projet'!$A$62,$AF$205^A122,IF(A122='Données projet'!$A$62,'Données projet'!$B$62,AI121+AH122-AQ121)))</f>
        <v>267.56410256410254</v>
      </c>
      <c r="AJ122" s="14">
        <f>AI122*VLOOKUP('Données projet'!$B$10,Paramètres!$A$1:$I$89,3,0)*VLOOKUP('Données projet'!$B$10,Paramètres!$A$1:$I$89,5,0)</f>
        <v>254.61399999999998</v>
      </c>
      <c r="AK122" s="14">
        <f t="shared" si="89"/>
        <v>61.57290545759966</v>
      </c>
      <c r="AL122" s="22">
        <f t="shared" si="58"/>
        <v>550.69219367198605</v>
      </c>
      <c r="AM122" s="62">
        <f t="shared" si="59"/>
        <v>832.60218496991524</v>
      </c>
      <c r="AN122" s="62">
        <f ca="1">AVERAGE(OFFSET($AM$3,0,0,'Données projet'!$E$10+1,1))-AVERAGE(OFFSET($H$3,0,0,'Données projet'!$E$10+1,1))</f>
        <v>400.48230125343474</v>
      </c>
      <c r="AO122" s="62">
        <f t="shared" si="90"/>
        <v>275.67023303885048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0</v>
      </c>
      <c r="AV122" s="23">
        <f>EXP(-LN(2)/25)*AV121+(1-EXP(-LN(2)/25))/(LN(2)/25)*Calculateur!AQ122*Calculateur!AS122*VLOOKUP('Données projet'!$B$10,Paramètres!$A$1:$I$89,3,0)*0.475*44/12</f>
        <v>0</v>
      </c>
      <c r="AW122" s="23">
        <f>EXP(-LN(2)/2)*AW121+(1-EXP(-LN(2)/2))/(LN(2)/2)*AQ122*AT122*VLOOKUP('Données projet'!$B$10,Paramètres!$A$1:$I$89,3,0)*0.475*44/12</f>
        <v>0</v>
      </c>
      <c r="AX122" s="23">
        <f t="shared" si="60"/>
        <v>0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3.7</v>
      </c>
      <c r="BD122" s="13">
        <f>IF('Données projet'!$A$88&gt;35,BD121+BC122-BL121,IF(A122&lt;'Données projet'!$A$88,$BA$205^A122,IF(A122='Données projet'!$A$88,'Données projet'!$B$88,BD121+BC122-BL121)))</f>
        <v>299.2999999999995</v>
      </c>
      <c r="BE122" s="14">
        <f>BD122*VLOOKUP('Données projet'!$B$11,Paramètres!$A$1:$I$89,3,0)*VLOOKUP('Données projet'!$B$11,Paramètres!$A$1:$I$89,5,0)</f>
        <v>289.48295999999954</v>
      </c>
      <c r="BF122" s="14">
        <f t="shared" si="91"/>
        <v>68.967129713117401</v>
      </c>
      <c r="BG122" s="22">
        <f t="shared" si="61"/>
        <v>624.300572917012</v>
      </c>
      <c r="BH122" s="62">
        <f t="shared" si="62"/>
        <v>906.21056421494109</v>
      </c>
      <c r="BI122" s="62">
        <f ca="1">AVERAGE(OFFSET($BH$3,0,0,'Données projet'!$E$11+1,1))-AVERAGE(OFFSET($H$3,0,0,'Données projet'!$E$11+1,1))</f>
        <v>496.33873798282525</v>
      </c>
      <c r="BJ122" s="62">
        <f t="shared" si="92"/>
        <v>280.25465074992246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>
        <f>EXP(-LN(2)/35)*BP121+(1-EXP(-LN(2)/35))/(LN(2)/35)*BL122*BM122*VLOOKUP('Données projet'!$B$11,Paramètres!$A$1:$I$89,3,0)*0.475*44/12</f>
        <v>0</v>
      </c>
      <c r="BQ122" s="23">
        <f>EXP(-LN(2)/25)*BQ121+(1-EXP(-LN(2)/25))/(LN(2)/25)*Calculateur!BL122*Calculateur!BN122*VLOOKUP('Données projet'!$B$11,Paramètres!$A$1:$I$89,3,0)*0.475*44/12</f>
        <v>0</v>
      </c>
      <c r="BR122" s="23">
        <f>EXP(-LN(2)/2)*BR121+(1-EXP(-LN(2)/2))/(LN(2)/2)*BL122*BO122*VLOOKUP('Données projet'!$B$11,Paramètres!$A$1:$I$89,3,0)*0.475*44/12</f>
        <v>0</v>
      </c>
      <c r="BS122" s="24">
        <f t="shared" si="63"/>
        <v>0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-1.1368683772161603E-13</v>
      </c>
      <c r="BZ122" s="14">
        <f>BY122*VLOOKUP('Données projet'!$B$12,Paramètres!$A$1:$I$89,3,0)*VLOOKUP('Données projet'!$B$12,Paramètres!$A$1:$I$89,5,0)</f>
        <v>-9.9316821433603781E-14</v>
      </c>
      <c r="CA122" s="14" t="e">
        <f t="shared" si="93"/>
        <v>#NUM!</v>
      </c>
      <c r="CB122" s="22" t="e">
        <f t="shared" si="64"/>
        <v>#NUM!</v>
      </c>
      <c r="CC122" s="62" t="e">
        <f t="shared" si="65"/>
        <v>#NUM!</v>
      </c>
      <c r="CD122" s="62">
        <f ca="1">AVERAGE(OFFSET($CC$3,0,0,'Données projet'!$E$12+1,1))-AVERAGE(OFFSET($H$3,0,0,'Données projet'!$E$12+1,1))</f>
        <v>298.56812743477741</v>
      </c>
      <c r="CE122" s="62">
        <f t="shared" si="94"/>
        <v>276.01618888357268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>
        <f>EXP(-LN(2)/35)*CK121+(1-EXP(-LN(2)/35))/(LN(2)/35)*CG122*CH122*VLOOKUP('Données projet'!$B$12,Paramètres!$A$1:$I$89,3,0)*0.475*44/12</f>
        <v>0</v>
      </c>
      <c r="CL122" s="23">
        <f>EXP(-LN(2)/25)*CL121+(1-EXP(-LN(2)/25))/(LN(2)/25)*Calculateur!CG122*Calculateur!CI122*VLOOKUP('Données projet'!$B$12,Paramètres!$A$1:$I$89,3,0)*0.475*44/12</f>
        <v>0</v>
      </c>
      <c r="CM122" s="23">
        <f>EXP(-LN(2)/2)*CM121+(1-EXP(-LN(2)/2))/(LN(2)/2)*CG122*CJ122*VLOOKUP('Données projet'!$B$12,Paramètres!$A$1:$I$89,3,0)*0.475*44/12</f>
        <v>0</v>
      </c>
      <c r="CN122" s="24">
        <f t="shared" si="66"/>
        <v>0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2.2737367544323206E-13</v>
      </c>
      <c r="CU122" s="18">
        <f>CT122*VLOOKUP('Données projet'!$B$13,Paramètres!$A$1:$I$89,3,0)*VLOOKUP('Données projet'!$B$13,Paramètres!$A$1:$I$89,5,0)</f>
        <v>1.5252226148732008E-13</v>
      </c>
      <c r="CV122" s="14">
        <f t="shared" si="95"/>
        <v>2.1814502464536512E-12</v>
      </c>
      <c r="CW122" s="22">
        <f t="shared" si="67"/>
        <v>4.0650021179971913E-12</v>
      </c>
      <c r="CX122" s="62">
        <f t="shared" si="68"/>
        <v>281.90999129793323</v>
      </c>
      <c r="CY122" s="62">
        <f ca="1">AVERAGE(OFFSET($CX$3,0,0,'Données projet'!$E$13+1,1))-AVERAGE(OFFSET($H$3,0,0,'Données projet'!$E$13+1,1))</f>
        <v>346.82725381974132</v>
      </c>
      <c r="CZ122" s="62">
        <f t="shared" si="96"/>
        <v>254.09787950201044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>
        <f>EXP(-LN(2)/35)*DF121+(1-EXP(-LN(2)/35))/(LN(2)/35)*DB122*DC122*VLOOKUP('Données projet'!$B$13,Paramètres!$A$1:$I$89,3,0)*0.475*44/12</f>
        <v>0</v>
      </c>
      <c r="DG122" s="23">
        <f>EXP(-LN(2)/25)*DG121+(1-EXP(-LN(2)/25))/(LN(2)/25)*Calculateur!DB122*Calculateur!DD122*VLOOKUP('Données projet'!$B$13,Paramètres!$A$1:$I$89,3,0)*0.475*44/12</f>
        <v>0</v>
      </c>
      <c r="DH122" s="23">
        <f>EXP(-LN(2)/2)*DH121+(1-EXP(-LN(2)/2))/(LN(2)/2)*DB122*DE122*VLOOKUP('Données projet'!$B$13,Paramètres!$A$1:$I$89,3,0)*0.475*44/12</f>
        <v>0</v>
      </c>
      <c r="DI122" s="24">
        <f t="shared" si="69"/>
        <v>0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5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2">
        <f t="shared" si="86"/>
        <v>0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18.333333333333332</v>
      </c>
      <c r="H123" s="70">
        <f t="shared" si="56"/>
        <v>183.33333333333334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>
        <f>VLOOKUP(A123,'Données projet'!$A$35:$I$55,2,0)</f>
        <v>303</v>
      </c>
      <c r="L123" s="13">
        <f>VLOOKUP(A123,'Données projet'!$A$35:$I$55,9,0)</f>
        <v>3.7</v>
      </c>
      <c r="M123" s="13">
        <f t="array" ref="M123">INDEX(L:L,MIN(IF(ISNUMBER(L123:L319),ROW(L123:L319),"")))</f>
        <v>3.7</v>
      </c>
      <c r="N123" s="14">
        <f>IF('Données projet'!$A$36&gt;35,N122+M123-V122,IF(A123&lt;'Données projet'!$A$36,$K$205^A123,IF(A123='Données projet'!$A$36,'Données projet'!$B$36,N122+M123-V122)))</f>
        <v>302.99999999999949</v>
      </c>
      <c r="O123" s="14">
        <f>N123*VLOOKUP('Données projet'!$B$9,Paramètres!$A$1:$I$89,3,0)*VLOOKUP('Données projet'!$B$9,Paramètres!$A$1:$I$89,5,0)</f>
        <v>274.15439999999955</v>
      </c>
      <c r="P123" s="14">
        <f t="shared" si="87"/>
        <v>65.730152764515779</v>
      </c>
      <c r="Q123" s="22">
        <f t="shared" si="107"/>
        <v>591.96559606486414</v>
      </c>
      <c r="R123" s="62">
        <f t="shared" si="55"/>
        <v>874.0737568083407</v>
      </c>
      <c r="S123" s="62">
        <f ca="1">AVERAGE(OFFSET($R$3,0,0,'Données projet'!$E$9+1,1))-AVERAGE(OFFSET($H$3,0,0,'Données projet'!$E$9+1,1))</f>
        <v>469.67944008675863</v>
      </c>
      <c r="T123" s="62">
        <f t="shared" si="88"/>
        <v>266.11908070867173</v>
      </c>
      <c r="U123" s="16">
        <f>IF(ISNA(VLOOKUP(A123,'Données projet'!$A$35:$I$55,3,0)),0,VLOOKUP(A123,'Données projet'!$A$35:$I$55,3,0))</f>
        <v>10</v>
      </c>
      <c r="V123" s="16">
        <f>IF(ISNA(VLOOKUP(A123,'Données projet'!$A$35:$I$55,4,0)),0,VLOOKUP(A123,'Données projet'!$A$35:$I$55,4,0))</f>
        <v>35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0</v>
      </c>
      <c r="AA123" s="23">
        <f>EXP(-LN(2)/25)*AA122+(1-EXP(-LN(2)/25))/(LN(2)/25)*Calculateur!V123*Calculateur!X123*VLOOKUP('Données projet'!$B$9,Paramètres!$A$1:$I$89,3,0)*0.475*44/12</f>
        <v>0</v>
      </c>
      <c r="AB123" s="23">
        <f>EXP(-LN(2)/2)*AB122+(1-EXP(-LN(2)/2))/(LN(2)/2)*V123*Y123*VLOOKUP('Données projet'!$B$9,Paramètres!$A$1:$I$89,3,0)*0.475*44/12</f>
        <v>0</v>
      </c>
      <c r="AC123" s="24">
        <f t="shared" si="57"/>
        <v>0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>
        <f>VLOOKUP(A123,'Données projet'!$A$61:$I$81,2,0)</f>
        <v>270.5128205128205</v>
      </c>
      <c r="AG123" s="13">
        <f>VLOOKUP(A123,'Données projet'!$A$61:$I$81,9,0)</f>
        <v>2.9487179487179485</v>
      </c>
      <c r="AH123" s="13">
        <f t="array" ref="AH123">INDEX(AG:AG,MIN(IF(ISNUMBER(AG123:AG319),ROW(AG123:AG319),"")))</f>
        <v>2.9487179487179485</v>
      </c>
      <c r="AI123" s="14">
        <f>IF('Données projet'!$A$62&gt;35,AI122+AH123-AQ122,IF(A123&lt;'Données projet'!$A$62,$AF$205^A123,IF(A123='Données projet'!$A$62,'Données projet'!$B$62,AI122+AH123-AQ122)))</f>
        <v>270.5128205128205</v>
      </c>
      <c r="AJ123" s="14">
        <f>AI123*VLOOKUP('Données projet'!$B$10,Paramètres!$A$1:$I$89,3,0)*VLOOKUP('Données projet'!$B$10,Paramètres!$A$1:$I$89,5,0)</f>
        <v>257.41999999999996</v>
      </c>
      <c r="AK123" s="14">
        <f t="shared" si="89"/>
        <v>62.172107427466436</v>
      </c>
      <c r="AL123" s="22">
        <f t="shared" si="58"/>
        <v>556.6229204361706</v>
      </c>
      <c r="AM123" s="62">
        <f t="shared" si="59"/>
        <v>838.73108117964716</v>
      </c>
      <c r="AN123" s="62">
        <f ca="1">AVERAGE(OFFSET($AM$3,0,0,'Données projet'!$E$10+1,1))-AVERAGE(OFFSET($H$3,0,0,'Données projet'!$E$10+1,1))</f>
        <v>400.48230125343474</v>
      </c>
      <c r="AO123" s="62">
        <f t="shared" si="90"/>
        <v>275.67023303885048</v>
      </c>
      <c r="AP123" s="16">
        <f>IF(ISNA(VLOOKUP(A123,'Données projet'!$A$61:$I$81,3,0)),0,VLOOKUP(A123,'Données projet'!$A$61:$I$81,3,0))</f>
        <v>10</v>
      </c>
      <c r="AQ123" s="16">
        <f>IF(ISNA(VLOOKUP(A123,'Données projet'!$A$61:$I$81,4,0)),0,VLOOKUP(A123,'Données projet'!$A$61:$I$81,4,0))</f>
        <v>270.5128205128205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0</v>
      </c>
      <c r="AV123" s="23">
        <f>EXP(-LN(2)/25)*AV122+(1-EXP(-LN(2)/25))/(LN(2)/25)*Calculateur!AQ123*Calculateur!AS123*VLOOKUP('Données projet'!$B$10,Paramètres!$A$1:$I$89,3,0)*0.475*44/12</f>
        <v>0</v>
      </c>
      <c r="AW123" s="23">
        <f>EXP(-LN(2)/2)*AW122+(1-EXP(-LN(2)/2))/(LN(2)/2)*AQ123*AT123*VLOOKUP('Données projet'!$B$10,Paramètres!$A$1:$I$89,3,0)*0.475*44/12</f>
        <v>0</v>
      </c>
      <c r="AX123" s="23">
        <f t="shared" si="60"/>
        <v>0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>
        <f>VLOOKUP(A123,'Données projet'!$A$87:$I$107,2,0)</f>
        <v>303</v>
      </c>
      <c r="BB123" s="13">
        <f>VLOOKUP(A123,'Données projet'!$A$87:$I$107,9,0)</f>
        <v>3.7</v>
      </c>
      <c r="BC123" s="13">
        <f t="array" ref="BC123">INDEX(BB:BB,MIN(IF(ISNUMBER(BB123:BB319),ROW(BB123:BB319),"")))</f>
        <v>3.7</v>
      </c>
      <c r="BD123" s="13">
        <f>IF('Données projet'!$A$88&gt;35,BD122+BC123-BL122,IF(A123&lt;'Données projet'!$A$88,$BA$205^A123,IF(A123='Données projet'!$A$88,'Données projet'!$B$88,BD122+BC123-BL122)))</f>
        <v>302.99999999999949</v>
      </c>
      <c r="BE123" s="14">
        <f>BD123*VLOOKUP('Données projet'!$B$11,Paramètres!$A$1:$I$89,3,0)*VLOOKUP('Données projet'!$B$11,Paramètres!$A$1:$I$89,5,0)</f>
        <v>293.06159999999949</v>
      </c>
      <c r="BF123" s="14">
        <f t="shared" si="91"/>
        <v>69.719933365116432</v>
      </c>
      <c r="BG123" s="22">
        <f t="shared" si="61"/>
        <v>631.84450394424357</v>
      </c>
      <c r="BH123" s="62">
        <f t="shared" si="62"/>
        <v>913.95266468772024</v>
      </c>
      <c r="BI123" s="62">
        <f ca="1">AVERAGE(OFFSET($BH$3,0,0,'Données projet'!$E$11+1,1))-AVERAGE(OFFSET($H$3,0,0,'Données projet'!$E$11+1,1))</f>
        <v>496.33873798282525</v>
      </c>
      <c r="BJ123" s="62">
        <f t="shared" si="92"/>
        <v>280.25465074992246</v>
      </c>
      <c r="BK123" s="16">
        <f>IF(ISNA(VLOOKUP(A123,'Données projet'!$A$87:$I$107,3,0)),0,VLOOKUP(A123,'Données projet'!$A$87:$I$107,3,0))</f>
        <v>10</v>
      </c>
      <c r="BL123" s="16">
        <f>IF(ISNA(VLOOKUP(A123,'Données projet'!$A$87:$I$107,4,0)),0,VLOOKUP(A123,'Données projet'!$A$87:$I$107,4,0))</f>
        <v>35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>
        <f>EXP(-LN(2)/35)*BP122+(1-EXP(-LN(2)/35))/(LN(2)/35)*BL123*BM123*VLOOKUP('Données projet'!$B$11,Paramètres!$A$1:$I$89,3,0)*0.475*44/12</f>
        <v>0</v>
      </c>
      <c r="BQ123" s="23">
        <f>EXP(-LN(2)/25)*BQ122+(1-EXP(-LN(2)/25))/(LN(2)/25)*Calculateur!BL123*Calculateur!BN123*VLOOKUP('Données projet'!$B$11,Paramètres!$A$1:$I$89,3,0)*0.475*44/12</f>
        <v>0</v>
      </c>
      <c r="BR123" s="23">
        <f>EXP(-LN(2)/2)*BR122+(1-EXP(-LN(2)/2))/(LN(2)/2)*BL123*BO123*VLOOKUP('Données projet'!$B$11,Paramètres!$A$1:$I$89,3,0)*0.475*44/12</f>
        <v>0</v>
      </c>
      <c r="BS123" s="24">
        <f t="shared" si="63"/>
        <v>0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-1.1368683772161603E-13</v>
      </c>
      <c r="BZ123" s="14">
        <f>BY123*VLOOKUP('Données projet'!$B$12,Paramètres!$A$1:$I$89,3,0)*VLOOKUP('Données projet'!$B$12,Paramètres!$A$1:$I$89,5,0)</f>
        <v>-9.9316821433603781E-14</v>
      </c>
      <c r="CA123" s="14" t="e">
        <f t="shared" si="93"/>
        <v>#NUM!</v>
      </c>
      <c r="CB123" s="22" t="e">
        <f t="shared" si="64"/>
        <v>#NUM!</v>
      </c>
      <c r="CC123" s="62" t="e">
        <f t="shared" si="65"/>
        <v>#NUM!</v>
      </c>
      <c r="CD123" s="62">
        <f ca="1">AVERAGE(OFFSET($CC$3,0,0,'Données projet'!$E$12+1,1))-AVERAGE(OFFSET($H$3,0,0,'Données projet'!$E$12+1,1))</f>
        <v>298.56812743477741</v>
      </c>
      <c r="CE123" s="62">
        <f t="shared" si="94"/>
        <v>276.01618888357268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>
        <f>EXP(-LN(2)/35)*CK122+(1-EXP(-LN(2)/35))/(LN(2)/35)*CG123*CH123*VLOOKUP('Données projet'!$B$12,Paramètres!$A$1:$I$89,3,0)*0.475*44/12</f>
        <v>0</v>
      </c>
      <c r="CL123" s="23">
        <f>EXP(-LN(2)/25)*CL122+(1-EXP(-LN(2)/25))/(LN(2)/25)*Calculateur!CG123*Calculateur!CI123*VLOOKUP('Données projet'!$B$12,Paramètres!$A$1:$I$89,3,0)*0.475*44/12</f>
        <v>0</v>
      </c>
      <c r="CM123" s="23">
        <f>EXP(-LN(2)/2)*CM122+(1-EXP(-LN(2)/2))/(LN(2)/2)*CG123*CJ123*VLOOKUP('Données projet'!$B$12,Paramètres!$A$1:$I$89,3,0)*0.475*44/12</f>
        <v>0</v>
      </c>
      <c r="CN123" s="24">
        <f t="shared" si="66"/>
        <v>0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2.2737367544323206E-13</v>
      </c>
      <c r="CU123" s="18">
        <f>CT123*VLOOKUP('Données projet'!$B$13,Paramètres!$A$1:$I$89,3,0)*VLOOKUP('Données projet'!$B$13,Paramètres!$A$1:$I$89,5,0)</f>
        <v>1.5252226148732008E-13</v>
      </c>
      <c r="CV123" s="14">
        <f t="shared" si="95"/>
        <v>2.1814502464536512E-12</v>
      </c>
      <c r="CW123" s="22">
        <f t="shared" si="67"/>
        <v>4.0650021179971913E-12</v>
      </c>
      <c r="CX123" s="62">
        <f t="shared" si="68"/>
        <v>282.10816074348071</v>
      </c>
      <c r="CY123" s="62">
        <f ca="1">AVERAGE(OFFSET($CX$3,0,0,'Données projet'!$E$13+1,1))-AVERAGE(OFFSET($H$3,0,0,'Données projet'!$E$13+1,1))</f>
        <v>346.82725381974132</v>
      </c>
      <c r="CZ123" s="62">
        <f t="shared" si="96"/>
        <v>254.09787950201044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>
        <f>EXP(-LN(2)/35)*DF122+(1-EXP(-LN(2)/35))/(LN(2)/35)*DB123*DC123*VLOOKUP('Données projet'!$B$13,Paramètres!$A$1:$I$89,3,0)*0.475*44/12</f>
        <v>0</v>
      </c>
      <c r="DG123" s="23">
        <f>EXP(-LN(2)/25)*DG122+(1-EXP(-LN(2)/25))/(LN(2)/25)*Calculateur!DB123*Calculateur!DD123*VLOOKUP('Données projet'!$B$13,Paramètres!$A$1:$I$89,3,0)*0.475*44/12</f>
        <v>0</v>
      </c>
      <c r="DH123" s="23">
        <f>EXP(-LN(2)/2)*DH122+(1-EXP(-LN(2)/2))/(LN(2)/2)*DB123*DE123*VLOOKUP('Données projet'!$B$13,Paramètres!$A$1:$I$89,3,0)*0.475*44/12</f>
        <v>0</v>
      </c>
      <c r="DI123" s="24">
        <f t="shared" si="69"/>
        <v>0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5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2">
        <f t="shared" si="86"/>
        <v>0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18.333333333333332</v>
      </c>
      <c r="H124" s="70">
        <f t="shared" si="56"/>
        <v>183.33333333333334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3.2</v>
      </c>
      <c r="N124" s="14">
        <f>IF('Données projet'!$A$36&gt;35,N123+M124-V123,IF(A124&lt;'Données projet'!$A$36,$K$205^A124,IF(A124='Données projet'!$A$36,'Données projet'!$B$36,N123+M124-V123)))</f>
        <v>271.19999999999948</v>
      </c>
      <c r="O124" s="14">
        <f>N124*VLOOKUP('Données projet'!$B$9,Paramètres!$A$1:$I$89,3,0)*VLOOKUP('Données projet'!$B$9,Paramètres!$A$1:$I$89,5,0)</f>
        <v>245.3817599999995</v>
      </c>
      <c r="P124" s="14">
        <f t="shared" si="87"/>
        <v>59.595943661626663</v>
      </c>
      <c r="Q124" s="22">
        <f t="shared" si="107"/>
        <v>531.16950054399888</v>
      </c>
      <c r="R124" s="62">
        <f t="shared" si="55"/>
        <v>813.47239293618327</v>
      </c>
      <c r="S124" s="62">
        <f ca="1">AVERAGE(OFFSET($R$3,0,0,'Données projet'!$E$9+1,1))-AVERAGE(OFFSET($H$3,0,0,'Données projet'!$E$9+1,1))</f>
        <v>469.67944008675863</v>
      </c>
      <c r="T124" s="62">
        <f t="shared" si="88"/>
        <v>266.11908070867173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0</v>
      </c>
      <c r="AA124" s="23">
        <f>EXP(-LN(2)/25)*AA123+(1-EXP(-LN(2)/25))/(LN(2)/25)*Calculateur!V124*Calculateur!X124*VLOOKUP('Données projet'!$B$9,Paramètres!$A$1:$I$89,3,0)*0.475*44/12</f>
        <v>0</v>
      </c>
      <c r="AB124" s="23">
        <f>EXP(-LN(2)/2)*AB123+(1-EXP(-LN(2)/2))/(LN(2)/2)*V124*Y124*VLOOKUP('Données projet'!$B$9,Paramètres!$A$1:$I$89,3,0)*0.475*44/12</f>
        <v>0</v>
      </c>
      <c r="AC124" s="24">
        <f t="shared" si="57"/>
        <v>0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0</v>
      </c>
      <c r="AJ124" s="14">
        <f>AI124*VLOOKUP('Données projet'!$B$10,Paramètres!$A$1:$I$89,3,0)*VLOOKUP('Données projet'!$B$10,Paramètres!$A$1:$I$89,5,0)</f>
        <v>0</v>
      </c>
      <c r="AK124" s="14" t="e">
        <f t="shared" si="89"/>
        <v>#NUM!</v>
      </c>
      <c r="AL124" s="22" t="e">
        <f t="shared" si="58"/>
        <v>#NUM!</v>
      </c>
      <c r="AM124" s="62" t="e">
        <f t="shared" si="59"/>
        <v>#NUM!</v>
      </c>
      <c r="AN124" s="62">
        <f ca="1">AVERAGE(OFFSET($AM$3,0,0,'Données projet'!$E$10+1,1))-AVERAGE(OFFSET($H$3,0,0,'Données projet'!$E$10+1,1))</f>
        <v>400.48230125343474</v>
      </c>
      <c r="AO124" s="62">
        <f t="shared" si="90"/>
        <v>275.67023303885048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0</v>
      </c>
      <c r="AV124" s="23">
        <f>EXP(-LN(2)/25)*AV123+(1-EXP(-LN(2)/25))/(LN(2)/25)*Calculateur!AQ124*Calculateur!AS124*VLOOKUP('Données projet'!$B$10,Paramètres!$A$1:$I$89,3,0)*0.475*44/12</f>
        <v>0</v>
      </c>
      <c r="AW124" s="23">
        <f>EXP(-LN(2)/2)*AW123+(1-EXP(-LN(2)/2))/(LN(2)/2)*AQ124*AT124*VLOOKUP('Données projet'!$B$10,Paramètres!$A$1:$I$89,3,0)*0.475*44/12</f>
        <v>0</v>
      </c>
      <c r="AX124" s="23">
        <f t="shared" si="60"/>
        <v>0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3.2</v>
      </c>
      <c r="BD124" s="13">
        <f>IF('Données projet'!$A$88&gt;35,BD123+BC124-BL123,IF(A124&lt;'Données projet'!$A$88,$BA$205^A124,IF(A124='Données projet'!$A$88,'Données projet'!$B$88,BD123+BC124-BL123)))</f>
        <v>271.19999999999948</v>
      </c>
      <c r="BE124" s="14">
        <f>BD124*VLOOKUP('Données projet'!$B$11,Paramètres!$A$1:$I$89,3,0)*VLOOKUP('Données projet'!$B$11,Paramètres!$A$1:$I$89,5,0)</f>
        <v>262.30463999999949</v>
      </c>
      <c r="BF124" s="14">
        <f t="shared" si="91"/>
        <v>63.213381472055985</v>
      </c>
      <c r="BG124" s="22">
        <f t="shared" si="61"/>
        <v>566.94388739716328</v>
      </c>
      <c r="BH124" s="62">
        <f t="shared" si="62"/>
        <v>849.24677978934767</v>
      </c>
      <c r="BI124" s="62">
        <f ca="1">AVERAGE(OFFSET($BH$3,0,0,'Données projet'!$E$11+1,1))-AVERAGE(OFFSET($H$3,0,0,'Données projet'!$E$11+1,1))</f>
        <v>496.33873798282525</v>
      </c>
      <c r="BJ124" s="62">
        <f t="shared" si="92"/>
        <v>280.25465074992246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>
        <f>EXP(-LN(2)/35)*BP123+(1-EXP(-LN(2)/35))/(LN(2)/35)*BL124*BM124*VLOOKUP('Données projet'!$B$11,Paramètres!$A$1:$I$89,3,0)*0.475*44/12</f>
        <v>0</v>
      </c>
      <c r="BQ124" s="23">
        <f>EXP(-LN(2)/25)*BQ123+(1-EXP(-LN(2)/25))/(LN(2)/25)*Calculateur!BL124*Calculateur!BN124*VLOOKUP('Données projet'!$B$11,Paramètres!$A$1:$I$89,3,0)*0.475*44/12</f>
        <v>0</v>
      </c>
      <c r="BR124" s="23">
        <f>EXP(-LN(2)/2)*BR123+(1-EXP(-LN(2)/2))/(LN(2)/2)*BL124*BO124*VLOOKUP('Données projet'!$B$11,Paramètres!$A$1:$I$89,3,0)*0.475*44/12</f>
        <v>0</v>
      </c>
      <c r="BS124" s="24">
        <f t="shared" si="63"/>
        <v>0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-1.1368683772161603E-13</v>
      </c>
      <c r="BZ124" s="14">
        <f>BY124*VLOOKUP('Données projet'!$B$12,Paramètres!$A$1:$I$89,3,0)*VLOOKUP('Données projet'!$B$12,Paramètres!$A$1:$I$89,5,0)</f>
        <v>-9.9316821433603781E-14</v>
      </c>
      <c r="CA124" s="14" t="e">
        <f t="shared" si="93"/>
        <v>#NUM!</v>
      </c>
      <c r="CB124" s="22" t="e">
        <f t="shared" si="64"/>
        <v>#NUM!</v>
      </c>
      <c r="CC124" s="62" t="e">
        <f t="shared" si="65"/>
        <v>#NUM!</v>
      </c>
      <c r="CD124" s="62">
        <f ca="1">AVERAGE(OFFSET($CC$3,0,0,'Données projet'!$E$12+1,1))-AVERAGE(OFFSET($H$3,0,0,'Données projet'!$E$12+1,1))</f>
        <v>298.56812743477741</v>
      </c>
      <c r="CE124" s="62">
        <f t="shared" si="94"/>
        <v>276.01618888357268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>
        <f>EXP(-LN(2)/35)*CK123+(1-EXP(-LN(2)/35))/(LN(2)/35)*CG124*CH124*VLOOKUP('Données projet'!$B$12,Paramètres!$A$1:$I$89,3,0)*0.475*44/12</f>
        <v>0</v>
      </c>
      <c r="CL124" s="23">
        <f>EXP(-LN(2)/25)*CL123+(1-EXP(-LN(2)/25))/(LN(2)/25)*Calculateur!CG124*Calculateur!CI124*VLOOKUP('Données projet'!$B$12,Paramètres!$A$1:$I$89,3,0)*0.475*44/12</f>
        <v>0</v>
      </c>
      <c r="CM124" s="23">
        <f>EXP(-LN(2)/2)*CM123+(1-EXP(-LN(2)/2))/(LN(2)/2)*CG124*CJ124*VLOOKUP('Données projet'!$B$12,Paramètres!$A$1:$I$89,3,0)*0.475*44/12</f>
        <v>0</v>
      </c>
      <c r="CN124" s="24">
        <f t="shared" si="66"/>
        <v>0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2.2737367544323206E-13</v>
      </c>
      <c r="CU124" s="18">
        <f>CT124*VLOOKUP('Données projet'!$B$13,Paramètres!$A$1:$I$89,3,0)*VLOOKUP('Données projet'!$B$13,Paramètres!$A$1:$I$89,5,0)</f>
        <v>1.5252226148732008E-13</v>
      </c>
      <c r="CV124" s="14">
        <f t="shared" si="95"/>
        <v>2.1814502464536512E-12</v>
      </c>
      <c r="CW124" s="22">
        <f t="shared" si="67"/>
        <v>4.0650021179971913E-12</v>
      </c>
      <c r="CX124" s="62">
        <f t="shared" si="68"/>
        <v>282.30289239218848</v>
      </c>
      <c r="CY124" s="62">
        <f ca="1">AVERAGE(OFFSET($CX$3,0,0,'Données projet'!$E$13+1,1))-AVERAGE(OFFSET($H$3,0,0,'Données projet'!$E$13+1,1))</f>
        <v>346.82725381974132</v>
      </c>
      <c r="CZ124" s="62">
        <f t="shared" si="96"/>
        <v>254.09787950201044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>
        <f>EXP(-LN(2)/35)*DF123+(1-EXP(-LN(2)/35))/(LN(2)/35)*DB124*DC124*VLOOKUP('Données projet'!$B$13,Paramètres!$A$1:$I$89,3,0)*0.475*44/12</f>
        <v>0</v>
      </c>
      <c r="DG124" s="23">
        <f>EXP(-LN(2)/25)*DG123+(1-EXP(-LN(2)/25))/(LN(2)/25)*Calculateur!DB124*Calculateur!DD124*VLOOKUP('Données projet'!$B$13,Paramètres!$A$1:$I$89,3,0)*0.475*44/12</f>
        <v>0</v>
      </c>
      <c r="DH124" s="23">
        <f>EXP(-LN(2)/2)*DH123+(1-EXP(-LN(2)/2))/(LN(2)/2)*DB124*DE124*VLOOKUP('Données projet'!$B$13,Paramètres!$A$1:$I$89,3,0)*0.475*44/12</f>
        <v>0</v>
      </c>
      <c r="DI124" s="24">
        <f t="shared" si="69"/>
        <v>0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5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2">
        <f t="shared" si="86"/>
        <v>0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18.333333333333332</v>
      </c>
      <c r="H125" s="70">
        <f t="shared" si="56"/>
        <v>183.33333333333334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3.2</v>
      </c>
      <c r="N125" s="14">
        <f>IF('Données projet'!$A$36&gt;35,N124+M125-V124,IF(A125&lt;'Données projet'!$A$36,$K$205^A125,IF(A125='Données projet'!$A$36,'Données projet'!$B$36,N124+M125-V124)))</f>
        <v>274.39999999999947</v>
      </c>
      <c r="O125" s="14">
        <f>N125*VLOOKUP('Données projet'!$B$9,Paramètres!$A$1:$I$89,3,0)*VLOOKUP('Données projet'!$B$9,Paramètres!$A$1:$I$89,5,0)</f>
        <v>248.27711999999951</v>
      </c>
      <c r="P125" s="14">
        <f t="shared" si="87"/>
        <v>60.216863677580257</v>
      </c>
      <c r="Q125" s="22">
        <f t="shared" si="107"/>
        <v>537.29368823845141</v>
      </c>
      <c r="R125" s="62">
        <f t="shared" si="55"/>
        <v>819.78793412059326</v>
      </c>
      <c r="S125" s="62">
        <f ca="1">AVERAGE(OFFSET($R$3,0,0,'Données projet'!$E$9+1,1))-AVERAGE(OFFSET($H$3,0,0,'Données projet'!$E$9+1,1))</f>
        <v>469.67944008675863</v>
      </c>
      <c r="T125" s="62">
        <f t="shared" si="88"/>
        <v>266.11908070867173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0</v>
      </c>
      <c r="AA125" s="23">
        <f>EXP(-LN(2)/25)*AA124+(1-EXP(-LN(2)/25))/(LN(2)/25)*Calculateur!V125*Calculateur!X125*VLOOKUP('Données projet'!$B$9,Paramètres!$A$1:$I$89,3,0)*0.475*44/12</f>
        <v>0</v>
      </c>
      <c r="AB125" s="23">
        <f>EXP(-LN(2)/2)*AB124+(1-EXP(-LN(2)/2))/(LN(2)/2)*V125*Y125*VLOOKUP('Données projet'!$B$9,Paramètres!$A$1:$I$89,3,0)*0.475*44/12</f>
        <v>0</v>
      </c>
      <c r="AC125" s="24">
        <f t="shared" si="57"/>
        <v>0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0</v>
      </c>
      <c r="AJ125" s="14">
        <f>AI125*VLOOKUP('Données projet'!$B$10,Paramètres!$A$1:$I$89,3,0)*VLOOKUP('Données projet'!$B$10,Paramètres!$A$1:$I$89,5,0)</f>
        <v>0</v>
      </c>
      <c r="AK125" s="14" t="e">
        <f t="shared" si="89"/>
        <v>#NUM!</v>
      </c>
      <c r="AL125" s="22" t="e">
        <f t="shared" si="58"/>
        <v>#NUM!</v>
      </c>
      <c r="AM125" s="62" t="e">
        <f t="shared" si="59"/>
        <v>#NUM!</v>
      </c>
      <c r="AN125" s="62">
        <f ca="1">AVERAGE(OFFSET($AM$3,0,0,'Données projet'!$E$10+1,1))-AVERAGE(OFFSET($H$3,0,0,'Données projet'!$E$10+1,1))</f>
        <v>400.48230125343474</v>
      </c>
      <c r="AO125" s="62">
        <f t="shared" si="90"/>
        <v>275.67023303885048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0</v>
      </c>
      <c r="AV125" s="23">
        <f>EXP(-LN(2)/25)*AV124+(1-EXP(-LN(2)/25))/(LN(2)/25)*Calculateur!AQ125*Calculateur!AS125*VLOOKUP('Données projet'!$B$10,Paramètres!$A$1:$I$89,3,0)*0.475*44/12</f>
        <v>0</v>
      </c>
      <c r="AW125" s="23">
        <f>EXP(-LN(2)/2)*AW124+(1-EXP(-LN(2)/2))/(LN(2)/2)*AQ125*AT125*VLOOKUP('Données projet'!$B$10,Paramètres!$A$1:$I$89,3,0)*0.475*44/12</f>
        <v>0</v>
      </c>
      <c r="AX125" s="23">
        <f t="shared" si="60"/>
        <v>0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3.2</v>
      </c>
      <c r="BD125" s="13">
        <f>IF('Données projet'!$A$88&gt;35,BD124+BC125-BL124,IF(A125&lt;'Données projet'!$A$88,$BA$205^A125,IF(A125='Données projet'!$A$88,'Données projet'!$B$88,BD124+BC125-BL124)))</f>
        <v>274.39999999999947</v>
      </c>
      <c r="BE125" s="14">
        <f>BD125*VLOOKUP('Données projet'!$B$11,Paramètres!$A$1:$I$89,3,0)*VLOOKUP('Données projet'!$B$11,Paramètres!$A$1:$I$89,5,0)</f>
        <v>265.39967999999948</v>
      </c>
      <c r="BF125" s="14">
        <f t="shared" si="91"/>
        <v>63.87199095821434</v>
      </c>
      <c r="BG125" s="22">
        <f t="shared" si="61"/>
        <v>573.48149358555565</v>
      </c>
      <c r="BH125" s="62">
        <f t="shared" si="62"/>
        <v>855.97573946769739</v>
      </c>
      <c r="BI125" s="62">
        <f ca="1">AVERAGE(OFFSET($BH$3,0,0,'Données projet'!$E$11+1,1))-AVERAGE(OFFSET($H$3,0,0,'Données projet'!$E$11+1,1))</f>
        <v>496.33873798282525</v>
      </c>
      <c r="BJ125" s="62">
        <f t="shared" si="92"/>
        <v>280.25465074992246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>
        <f>EXP(-LN(2)/35)*BP124+(1-EXP(-LN(2)/35))/(LN(2)/35)*BL125*BM125*VLOOKUP('Données projet'!$B$11,Paramètres!$A$1:$I$89,3,0)*0.475*44/12</f>
        <v>0</v>
      </c>
      <c r="BQ125" s="23">
        <f>EXP(-LN(2)/25)*BQ124+(1-EXP(-LN(2)/25))/(LN(2)/25)*Calculateur!BL125*Calculateur!BN125*VLOOKUP('Données projet'!$B$11,Paramètres!$A$1:$I$89,3,0)*0.475*44/12</f>
        <v>0</v>
      </c>
      <c r="BR125" s="23">
        <f>EXP(-LN(2)/2)*BR124+(1-EXP(-LN(2)/2))/(LN(2)/2)*BL125*BO125*VLOOKUP('Données projet'!$B$11,Paramètres!$A$1:$I$89,3,0)*0.475*44/12</f>
        <v>0</v>
      </c>
      <c r="BS125" s="24">
        <f t="shared" si="63"/>
        <v>0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-1.1368683772161603E-13</v>
      </c>
      <c r="BZ125" s="14">
        <f>BY125*VLOOKUP('Données projet'!$B$12,Paramètres!$A$1:$I$89,3,0)*VLOOKUP('Données projet'!$B$12,Paramètres!$A$1:$I$89,5,0)</f>
        <v>-9.9316821433603781E-14</v>
      </c>
      <c r="CA125" s="14" t="e">
        <f t="shared" si="93"/>
        <v>#NUM!</v>
      </c>
      <c r="CB125" s="22" t="e">
        <f t="shared" si="64"/>
        <v>#NUM!</v>
      </c>
      <c r="CC125" s="62" t="e">
        <f t="shared" si="65"/>
        <v>#NUM!</v>
      </c>
      <c r="CD125" s="62">
        <f ca="1">AVERAGE(OFFSET($CC$3,0,0,'Données projet'!$E$12+1,1))-AVERAGE(OFFSET($H$3,0,0,'Données projet'!$E$12+1,1))</f>
        <v>298.56812743477741</v>
      </c>
      <c r="CE125" s="62">
        <f t="shared" si="94"/>
        <v>276.01618888357268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>
        <f>EXP(-LN(2)/35)*CK124+(1-EXP(-LN(2)/35))/(LN(2)/35)*CG125*CH125*VLOOKUP('Données projet'!$B$12,Paramètres!$A$1:$I$89,3,0)*0.475*44/12</f>
        <v>0</v>
      </c>
      <c r="CL125" s="23">
        <f>EXP(-LN(2)/25)*CL124+(1-EXP(-LN(2)/25))/(LN(2)/25)*Calculateur!CG125*Calculateur!CI125*VLOOKUP('Données projet'!$B$12,Paramètres!$A$1:$I$89,3,0)*0.475*44/12</f>
        <v>0</v>
      </c>
      <c r="CM125" s="23">
        <f>EXP(-LN(2)/2)*CM124+(1-EXP(-LN(2)/2))/(LN(2)/2)*CG125*CJ125*VLOOKUP('Données projet'!$B$12,Paramètres!$A$1:$I$89,3,0)*0.475*44/12</f>
        <v>0</v>
      </c>
      <c r="CN125" s="24">
        <f t="shared" si="66"/>
        <v>0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2.2737367544323206E-13</v>
      </c>
      <c r="CU125" s="18">
        <f>CT125*VLOOKUP('Données projet'!$B$13,Paramètres!$A$1:$I$89,3,0)*VLOOKUP('Données projet'!$B$13,Paramètres!$A$1:$I$89,5,0)</f>
        <v>1.5252226148732008E-13</v>
      </c>
      <c r="CV125" s="14">
        <f t="shared" si="95"/>
        <v>2.1814502464536512E-12</v>
      </c>
      <c r="CW125" s="22">
        <f t="shared" si="67"/>
        <v>4.0650021179971913E-12</v>
      </c>
      <c r="CX125" s="62">
        <f t="shared" si="68"/>
        <v>282.49424588214589</v>
      </c>
      <c r="CY125" s="62">
        <f ca="1">AVERAGE(OFFSET($CX$3,0,0,'Données projet'!$E$13+1,1))-AVERAGE(OFFSET($H$3,0,0,'Données projet'!$E$13+1,1))</f>
        <v>346.82725381974132</v>
      </c>
      <c r="CZ125" s="62">
        <f t="shared" si="96"/>
        <v>254.09787950201044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>
        <f>EXP(-LN(2)/35)*DF124+(1-EXP(-LN(2)/35))/(LN(2)/35)*DB125*DC125*VLOOKUP('Données projet'!$B$13,Paramètres!$A$1:$I$89,3,0)*0.475*44/12</f>
        <v>0</v>
      </c>
      <c r="DG125" s="23">
        <f>EXP(-LN(2)/25)*DG124+(1-EXP(-LN(2)/25))/(LN(2)/25)*Calculateur!DB125*Calculateur!DD125*VLOOKUP('Données projet'!$B$13,Paramètres!$A$1:$I$89,3,0)*0.475*44/12</f>
        <v>0</v>
      </c>
      <c r="DH125" s="23">
        <f>EXP(-LN(2)/2)*DH124+(1-EXP(-LN(2)/2))/(LN(2)/2)*DB125*DE125*VLOOKUP('Données projet'!$B$13,Paramètres!$A$1:$I$89,3,0)*0.475*44/12</f>
        <v>0</v>
      </c>
      <c r="DI125" s="24">
        <f t="shared" si="69"/>
        <v>0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5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2">
        <f t="shared" si="86"/>
        <v>0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18.333333333333332</v>
      </c>
      <c r="H126" s="70">
        <f t="shared" si="56"/>
        <v>183.33333333333334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3.2</v>
      </c>
      <c r="N126" s="14">
        <f>IF('Données projet'!$A$36&gt;35,N125+M126-V125,IF(A126&lt;'Données projet'!$A$36,$K$205^A126,IF(A126='Données projet'!$A$36,'Données projet'!$B$36,N125+M126-V125)))</f>
        <v>277.59999999999945</v>
      </c>
      <c r="O126" s="14">
        <f>N126*VLOOKUP('Données projet'!$B$9,Paramètres!$A$1:$I$89,3,0)*VLOOKUP('Données projet'!$B$9,Paramètres!$A$1:$I$89,5,0)</f>
        <v>251.1724799999995</v>
      </c>
      <c r="P126" s="14">
        <f t="shared" si="87"/>
        <v>60.836941386956575</v>
      </c>
      <c r="Q126" s="22">
        <f t="shared" si="107"/>
        <v>543.41640891561519</v>
      </c>
      <c r="R126" s="62">
        <f t="shared" si="55"/>
        <v>826.09868873246592</v>
      </c>
      <c r="S126" s="62">
        <f ca="1">AVERAGE(OFFSET($R$3,0,0,'Données projet'!$E$9+1,1))-AVERAGE(OFFSET($H$3,0,0,'Données projet'!$E$9+1,1))</f>
        <v>469.67944008675863</v>
      </c>
      <c r="T126" s="62">
        <f t="shared" si="88"/>
        <v>266.11908070867173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0</v>
      </c>
      <c r="AA126" s="23">
        <f>EXP(-LN(2)/25)*AA125+(1-EXP(-LN(2)/25))/(LN(2)/25)*Calculateur!V126*Calculateur!X126*VLOOKUP('Données projet'!$B$9,Paramètres!$A$1:$I$89,3,0)*0.475*44/12</f>
        <v>0</v>
      </c>
      <c r="AB126" s="23">
        <f>EXP(-LN(2)/2)*AB125+(1-EXP(-LN(2)/2))/(LN(2)/2)*V126*Y126*VLOOKUP('Données projet'!$B$9,Paramètres!$A$1:$I$89,3,0)*0.475*44/12</f>
        <v>0</v>
      </c>
      <c r="AC126" s="24">
        <f t="shared" si="57"/>
        <v>0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0</v>
      </c>
      <c r="AJ126" s="14">
        <f>AI126*VLOOKUP('Données projet'!$B$10,Paramètres!$A$1:$I$89,3,0)*VLOOKUP('Données projet'!$B$10,Paramètres!$A$1:$I$89,5,0)</f>
        <v>0</v>
      </c>
      <c r="AK126" s="14" t="e">
        <f t="shared" si="89"/>
        <v>#NUM!</v>
      </c>
      <c r="AL126" s="22" t="e">
        <f t="shared" si="58"/>
        <v>#NUM!</v>
      </c>
      <c r="AM126" s="62" t="e">
        <f t="shared" si="59"/>
        <v>#NUM!</v>
      </c>
      <c r="AN126" s="62">
        <f ca="1">AVERAGE(OFFSET($AM$3,0,0,'Données projet'!$E$10+1,1))-AVERAGE(OFFSET($H$3,0,0,'Données projet'!$E$10+1,1))</f>
        <v>400.48230125343474</v>
      </c>
      <c r="AO126" s="62">
        <f t="shared" si="90"/>
        <v>275.67023303885048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0</v>
      </c>
      <c r="AV126" s="23">
        <f>EXP(-LN(2)/25)*AV125+(1-EXP(-LN(2)/25))/(LN(2)/25)*Calculateur!AQ126*Calculateur!AS126*VLOOKUP('Données projet'!$B$10,Paramètres!$A$1:$I$89,3,0)*0.475*44/12</f>
        <v>0</v>
      </c>
      <c r="AW126" s="23">
        <f>EXP(-LN(2)/2)*AW125+(1-EXP(-LN(2)/2))/(LN(2)/2)*AQ126*AT126*VLOOKUP('Données projet'!$B$10,Paramètres!$A$1:$I$89,3,0)*0.475*44/12</f>
        <v>0</v>
      </c>
      <c r="AX126" s="23">
        <f t="shared" si="60"/>
        <v>0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3.2</v>
      </c>
      <c r="BD126" s="13">
        <f>IF('Données projet'!$A$88&gt;35,BD125+BC126-BL125,IF(A126&lt;'Données projet'!$A$88,$BA$205^A126,IF(A126='Données projet'!$A$88,'Données projet'!$B$88,BD125+BC126-BL125)))</f>
        <v>277.59999999999945</v>
      </c>
      <c r="BE126" s="14">
        <f>BD126*VLOOKUP('Données projet'!$B$11,Paramètres!$A$1:$I$89,3,0)*VLOOKUP('Données projet'!$B$11,Paramètres!$A$1:$I$89,5,0)</f>
        <v>268.49471999999946</v>
      </c>
      <c r="BF126" s="14">
        <f t="shared" si="91"/>
        <v>64.529707010294615</v>
      </c>
      <c r="BG126" s="22">
        <f t="shared" si="61"/>
        <v>580.01754370959543</v>
      </c>
      <c r="BH126" s="62">
        <f t="shared" si="62"/>
        <v>862.69982352644615</v>
      </c>
      <c r="BI126" s="62">
        <f ca="1">AVERAGE(OFFSET($BH$3,0,0,'Données projet'!$E$11+1,1))-AVERAGE(OFFSET($H$3,0,0,'Données projet'!$E$11+1,1))</f>
        <v>496.33873798282525</v>
      </c>
      <c r="BJ126" s="62">
        <f t="shared" si="92"/>
        <v>280.25465074992246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>
        <f>EXP(-LN(2)/35)*BP125+(1-EXP(-LN(2)/35))/(LN(2)/35)*BL126*BM126*VLOOKUP('Données projet'!$B$11,Paramètres!$A$1:$I$89,3,0)*0.475*44/12</f>
        <v>0</v>
      </c>
      <c r="BQ126" s="23">
        <f>EXP(-LN(2)/25)*BQ125+(1-EXP(-LN(2)/25))/(LN(2)/25)*Calculateur!BL126*Calculateur!BN126*VLOOKUP('Données projet'!$B$11,Paramètres!$A$1:$I$89,3,0)*0.475*44/12</f>
        <v>0</v>
      </c>
      <c r="BR126" s="23">
        <f>EXP(-LN(2)/2)*BR125+(1-EXP(-LN(2)/2))/(LN(2)/2)*BL126*BO126*VLOOKUP('Données projet'!$B$11,Paramètres!$A$1:$I$89,3,0)*0.475*44/12</f>
        <v>0</v>
      </c>
      <c r="BS126" s="24">
        <f t="shared" si="63"/>
        <v>0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-1.1368683772161603E-13</v>
      </c>
      <c r="BZ126" s="14">
        <f>BY126*VLOOKUP('Données projet'!$B$12,Paramètres!$A$1:$I$89,3,0)*VLOOKUP('Données projet'!$B$12,Paramètres!$A$1:$I$89,5,0)</f>
        <v>-9.9316821433603781E-14</v>
      </c>
      <c r="CA126" s="14" t="e">
        <f t="shared" si="93"/>
        <v>#NUM!</v>
      </c>
      <c r="CB126" s="22" t="e">
        <f t="shared" si="64"/>
        <v>#NUM!</v>
      </c>
      <c r="CC126" s="62" t="e">
        <f t="shared" si="65"/>
        <v>#NUM!</v>
      </c>
      <c r="CD126" s="62">
        <f ca="1">AVERAGE(OFFSET($CC$3,0,0,'Données projet'!$E$12+1,1))-AVERAGE(OFFSET($H$3,0,0,'Données projet'!$E$12+1,1))</f>
        <v>298.56812743477741</v>
      </c>
      <c r="CE126" s="62">
        <f t="shared" si="94"/>
        <v>276.01618888357268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>
        <f>EXP(-LN(2)/35)*CK125+(1-EXP(-LN(2)/35))/(LN(2)/35)*CG126*CH126*VLOOKUP('Données projet'!$B$12,Paramètres!$A$1:$I$89,3,0)*0.475*44/12</f>
        <v>0</v>
      </c>
      <c r="CL126" s="23">
        <f>EXP(-LN(2)/25)*CL125+(1-EXP(-LN(2)/25))/(LN(2)/25)*Calculateur!CG126*Calculateur!CI126*VLOOKUP('Données projet'!$B$12,Paramètres!$A$1:$I$89,3,0)*0.475*44/12</f>
        <v>0</v>
      </c>
      <c r="CM126" s="23">
        <f>EXP(-LN(2)/2)*CM125+(1-EXP(-LN(2)/2))/(LN(2)/2)*CG126*CJ126*VLOOKUP('Données projet'!$B$12,Paramètres!$A$1:$I$89,3,0)*0.475*44/12</f>
        <v>0</v>
      </c>
      <c r="CN126" s="24">
        <f t="shared" si="66"/>
        <v>0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2.2737367544323206E-13</v>
      </c>
      <c r="CU126" s="18">
        <f>CT126*VLOOKUP('Données projet'!$B$13,Paramètres!$A$1:$I$89,3,0)*VLOOKUP('Données projet'!$B$13,Paramètres!$A$1:$I$89,5,0)</f>
        <v>1.5252226148732008E-13</v>
      </c>
      <c r="CV126" s="14">
        <f t="shared" si="95"/>
        <v>2.1814502464536512E-12</v>
      </c>
      <c r="CW126" s="22">
        <f t="shared" si="67"/>
        <v>4.0650021179971913E-12</v>
      </c>
      <c r="CX126" s="62">
        <f t="shared" si="68"/>
        <v>282.68227981685476</v>
      </c>
      <c r="CY126" s="62">
        <f ca="1">AVERAGE(OFFSET($CX$3,0,0,'Données projet'!$E$13+1,1))-AVERAGE(OFFSET($H$3,0,0,'Données projet'!$E$13+1,1))</f>
        <v>346.82725381974132</v>
      </c>
      <c r="CZ126" s="62">
        <f t="shared" si="96"/>
        <v>254.09787950201044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>
        <f>EXP(-LN(2)/35)*DF125+(1-EXP(-LN(2)/35))/(LN(2)/35)*DB126*DC126*VLOOKUP('Données projet'!$B$13,Paramètres!$A$1:$I$89,3,0)*0.475*44/12</f>
        <v>0</v>
      </c>
      <c r="DG126" s="23">
        <f>EXP(-LN(2)/25)*DG125+(1-EXP(-LN(2)/25))/(LN(2)/25)*Calculateur!DB126*Calculateur!DD126*VLOOKUP('Données projet'!$B$13,Paramètres!$A$1:$I$89,3,0)*0.475*44/12</f>
        <v>0</v>
      </c>
      <c r="DH126" s="23">
        <f>EXP(-LN(2)/2)*DH125+(1-EXP(-LN(2)/2))/(LN(2)/2)*DB126*DE126*VLOOKUP('Données projet'!$B$13,Paramètres!$A$1:$I$89,3,0)*0.475*44/12</f>
        <v>0</v>
      </c>
      <c r="DI126" s="24">
        <f t="shared" si="69"/>
        <v>0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5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2">
        <f t="shared" si="86"/>
        <v>0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18.333333333333332</v>
      </c>
      <c r="H127" s="70">
        <f t="shared" si="56"/>
        <v>183.33333333333334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3.2</v>
      </c>
      <c r="N127" s="14">
        <f>IF('Données projet'!$A$36&gt;35,N126+M127-V126,IF(A127&lt;'Données projet'!$A$36,$K$205^A127,IF(A127='Données projet'!$A$36,'Données projet'!$B$36,N126+M127-V126)))</f>
        <v>280.79999999999944</v>
      </c>
      <c r="O127" s="14">
        <f>N127*VLOOKUP('Données projet'!$B$9,Paramètres!$A$1:$I$89,3,0)*VLOOKUP('Données projet'!$B$9,Paramètres!$A$1:$I$89,5,0)</f>
        <v>254.06783999999948</v>
      </c>
      <c r="P127" s="14">
        <f t="shared" si="87"/>
        <v>61.456187622750612</v>
      </c>
      <c r="Q127" s="22">
        <f t="shared" si="107"/>
        <v>549.53768144295634</v>
      </c>
      <c r="R127" s="62">
        <f t="shared" si="55"/>
        <v>832.40473322612968</v>
      </c>
      <c r="S127" s="62">
        <f ca="1">AVERAGE(OFFSET($R$3,0,0,'Données projet'!$E$9+1,1))-AVERAGE(OFFSET($H$3,0,0,'Données projet'!$E$9+1,1))</f>
        <v>469.67944008675863</v>
      </c>
      <c r="T127" s="62">
        <f t="shared" si="88"/>
        <v>266.11908070867173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0</v>
      </c>
      <c r="AA127" s="23">
        <f>EXP(-LN(2)/25)*AA126+(1-EXP(-LN(2)/25))/(LN(2)/25)*Calculateur!V127*Calculateur!X127*VLOOKUP('Données projet'!$B$9,Paramètres!$A$1:$I$89,3,0)*0.475*44/12</f>
        <v>0</v>
      </c>
      <c r="AB127" s="23">
        <f>EXP(-LN(2)/2)*AB126+(1-EXP(-LN(2)/2))/(LN(2)/2)*V127*Y127*VLOOKUP('Données projet'!$B$9,Paramètres!$A$1:$I$89,3,0)*0.475*44/12</f>
        <v>0</v>
      </c>
      <c r="AC127" s="24">
        <f t="shared" si="57"/>
        <v>0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0</v>
      </c>
      <c r="AJ127" s="14">
        <f>AI127*VLOOKUP('Données projet'!$B$10,Paramètres!$A$1:$I$89,3,0)*VLOOKUP('Données projet'!$B$10,Paramètres!$A$1:$I$89,5,0)</f>
        <v>0</v>
      </c>
      <c r="AK127" s="14" t="e">
        <f t="shared" si="89"/>
        <v>#NUM!</v>
      </c>
      <c r="AL127" s="22" t="e">
        <f t="shared" si="58"/>
        <v>#NUM!</v>
      </c>
      <c r="AM127" s="62" t="e">
        <f t="shared" si="59"/>
        <v>#NUM!</v>
      </c>
      <c r="AN127" s="62">
        <f ca="1">AVERAGE(OFFSET($AM$3,0,0,'Données projet'!$E$10+1,1))-AVERAGE(OFFSET($H$3,0,0,'Données projet'!$E$10+1,1))</f>
        <v>400.48230125343474</v>
      </c>
      <c r="AO127" s="62">
        <f t="shared" si="90"/>
        <v>275.67023303885048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0</v>
      </c>
      <c r="AV127" s="23">
        <f>EXP(-LN(2)/25)*AV126+(1-EXP(-LN(2)/25))/(LN(2)/25)*Calculateur!AQ127*Calculateur!AS127*VLOOKUP('Données projet'!$B$10,Paramètres!$A$1:$I$89,3,0)*0.475*44/12</f>
        <v>0</v>
      </c>
      <c r="AW127" s="23">
        <f>EXP(-LN(2)/2)*AW126+(1-EXP(-LN(2)/2))/(LN(2)/2)*AQ127*AT127*VLOOKUP('Données projet'!$B$10,Paramètres!$A$1:$I$89,3,0)*0.475*44/12</f>
        <v>0</v>
      </c>
      <c r="AX127" s="23">
        <f t="shared" si="60"/>
        <v>0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3.2</v>
      </c>
      <c r="BD127" s="13">
        <f>IF('Données projet'!$A$88&gt;35,BD126+BC127-BL126,IF(A127&lt;'Données projet'!$A$88,$BA$205^A127,IF(A127='Données projet'!$A$88,'Données projet'!$B$88,BD126+BC127-BL126)))</f>
        <v>280.79999999999944</v>
      </c>
      <c r="BE127" s="14">
        <f>BD127*VLOOKUP('Données projet'!$B$11,Paramètres!$A$1:$I$89,3,0)*VLOOKUP('Données projet'!$B$11,Paramètres!$A$1:$I$89,5,0)</f>
        <v>271.5897599999995</v>
      </c>
      <c r="BF127" s="14">
        <f t="shared" si="91"/>
        <v>65.186541118848012</v>
      </c>
      <c r="BG127" s="22">
        <f t="shared" si="61"/>
        <v>586.55205778199274</v>
      </c>
      <c r="BH127" s="62">
        <f t="shared" si="62"/>
        <v>869.41910956516608</v>
      </c>
      <c r="BI127" s="62">
        <f ca="1">AVERAGE(OFFSET($BH$3,0,0,'Données projet'!$E$11+1,1))-AVERAGE(OFFSET($H$3,0,0,'Données projet'!$E$11+1,1))</f>
        <v>496.33873798282525</v>
      </c>
      <c r="BJ127" s="62">
        <f t="shared" si="92"/>
        <v>280.25465074992246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>
        <f>EXP(-LN(2)/35)*BP126+(1-EXP(-LN(2)/35))/(LN(2)/35)*BL127*BM127*VLOOKUP('Données projet'!$B$11,Paramètres!$A$1:$I$89,3,0)*0.475*44/12</f>
        <v>0</v>
      </c>
      <c r="BQ127" s="23">
        <f>EXP(-LN(2)/25)*BQ126+(1-EXP(-LN(2)/25))/(LN(2)/25)*Calculateur!BL127*Calculateur!BN127*VLOOKUP('Données projet'!$B$11,Paramètres!$A$1:$I$89,3,0)*0.475*44/12</f>
        <v>0</v>
      </c>
      <c r="BR127" s="23">
        <f>EXP(-LN(2)/2)*BR126+(1-EXP(-LN(2)/2))/(LN(2)/2)*BL127*BO127*VLOOKUP('Données projet'!$B$11,Paramètres!$A$1:$I$89,3,0)*0.475*44/12</f>
        <v>0</v>
      </c>
      <c r="BS127" s="24">
        <f t="shared" si="63"/>
        <v>0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-1.1368683772161603E-13</v>
      </c>
      <c r="BZ127" s="14">
        <f>BY127*VLOOKUP('Données projet'!$B$12,Paramètres!$A$1:$I$89,3,0)*VLOOKUP('Données projet'!$B$12,Paramètres!$A$1:$I$89,5,0)</f>
        <v>-9.9316821433603781E-14</v>
      </c>
      <c r="CA127" s="14" t="e">
        <f t="shared" si="93"/>
        <v>#NUM!</v>
      </c>
      <c r="CB127" s="22" t="e">
        <f t="shared" si="64"/>
        <v>#NUM!</v>
      </c>
      <c r="CC127" s="62" t="e">
        <f t="shared" si="65"/>
        <v>#NUM!</v>
      </c>
      <c r="CD127" s="62">
        <f ca="1">AVERAGE(OFFSET($CC$3,0,0,'Données projet'!$E$12+1,1))-AVERAGE(OFFSET($H$3,0,0,'Données projet'!$E$12+1,1))</f>
        <v>298.56812743477741</v>
      </c>
      <c r="CE127" s="62">
        <f t="shared" si="94"/>
        <v>276.01618888357268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>
        <f>EXP(-LN(2)/35)*CK126+(1-EXP(-LN(2)/35))/(LN(2)/35)*CG127*CH127*VLOOKUP('Données projet'!$B$12,Paramètres!$A$1:$I$89,3,0)*0.475*44/12</f>
        <v>0</v>
      </c>
      <c r="CL127" s="23">
        <f>EXP(-LN(2)/25)*CL126+(1-EXP(-LN(2)/25))/(LN(2)/25)*Calculateur!CG127*Calculateur!CI127*VLOOKUP('Données projet'!$B$12,Paramètres!$A$1:$I$89,3,0)*0.475*44/12</f>
        <v>0</v>
      </c>
      <c r="CM127" s="23">
        <f>EXP(-LN(2)/2)*CM126+(1-EXP(-LN(2)/2))/(LN(2)/2)*CG127*CJ127*VLOOKUP('Données projet'!$B$12,Paramètres!$A$1:$I$89,3,0)*0.475*44/12</f>
        <v>0</v>
      </c>
      <c r="CN127" s="24">
        <f t="shared" si="66"/>
        <v>0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2.2737367544323206E-13</v>
      </c>
      <c r="CU127" s="18">
        <f>CT127*VLOOKUP('Données projet'!$B$13,Paramètres!$A$1:$I$89,3,0)*VLOOKUP('Données projet'!$B$13,Paramètres!$A$1:$I$89,5,0)</f>
        <v>1.5252226148732008E-13</v>
      </c>
      <c r="CV127" s="14">
        <f t="shared" si="95"/>
        <v>2.1814502464536512E-12</v>
      </c>
      <c r="CW127" s="22">
        <f t="shared" si="67"/>
        <v>4.0650021179971913E-12</v>
      </c>
      <c r="CX127" s="62">
        <f t="shared" si="68"/>
        <v>282.86705178317743</v>
      </c>
      <c r="CY127" s="62">
        <f ca="1">AVERAGE(OFFSET($CX$3,0,0,'Données projet'!$E$13+1,1))-AVERAGE(OFFSET($H$3,0,0,'Données projet'!$E$13+1,1))</f>
        <v>346.82725381974132</v>
      </c>
      <c r="CZ127" s="62">
        <f t="shared" si="96"/>
        <v>254.09787950201044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>
        <f>EXP(-LN(2)/35)*DF126+(1-EXP(-LN(2)/35))/(LN(2)/35)*DB127*DC127*VLOOKUP('Données projet'!$B$13,Paramètres!$A$1:$I$89,3,0)*0.475*44/12</f>
        <v>0</v>
      </c>
      <c r="DG127" s="23">
        <f>EXP(-LN(2)/25)*DG126+(1-EXP(-LN(2)/25))/(LN(2)/25)*Calculateur!DB127*Calculateur!DD127*VLOOKUP('Données projet'!$B$13,Paramètres!$A$1:$I$89,3,0)*0.475*44/12</f>
        <v>0</v>
      </c>
      <c r="DH127" s="23">
        <f>EXP(-LN(2)/2)*DH126+(1-EXP(-LN(2)/2))/(LN(2)/2)*DB127*DE127*VLOOKUP('Données projet'!$B$13,Paramètres!$A$1:$I$89,3,0)*0.475*44/12</f>
        <v>0</v>
      </c>
      <c r="DI127" s="24">
        <f t="shared" si="69"/>
        <v>0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5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2">
        <f t="shared" si="86"/>
        <v>0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18.333333333333332</v>
      </c>
      <c r="H128" s="70">
        <f t="shared" si="56"/>
        <v>183.33333333333334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3.2</v>
      </c>
      <c r="N128" s="14">
        <f>IF('Données projet'!$A$36&gt;35,N127+M128-V127,IF(A128&lt;'Données projet'!$A$36,$K$205^A128,IF(A128='Données projet'!$A$36,'Données projet'!$B$36,N127+M128-V127)))</f>
        <v>283.99999999999943</v>
      </c>
      <c r="O128" s="14">
        <f>N128*VLOOKUP('Données projet'!$B$9,Paramètres!$A$1:$I$89,3,0)*VLOOKUP('Données projet'!$B$9,Paramètres!$A$1:$I$89,5,0)</f>
        <v>256.96319999999946</v>
      </c>
      <c r="P128" s="14">
        <f t="shared" si="87"/>
        <v>62.07461295683791</v>
      </c>
      <c r="Q128" s="22">
        <f t="shared" si="107"/>
        <v>555.65752423315837</v>
      </c>
      <c r="R128" s="62">
        <f t="shared" si="55"/>
        <v>838.70614260212687</v>
      </c>
      <c r="S128" s="62">
        <f ca="1">AVERAGE(OFFSET($R$3,0,0,'Données projet'!$E$9+1,1))-AVERAGE(OFFSET($H$3,0,0,'Données projet'!$E$9+1,1))</f>
        <v>469.67944008675863</v>
      </c>
      <c r="T128" s="62">
        <f t="shared" si="88"/>
        <v>266.11908070867173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0</v>
      </c>
      <c r="AA128" s="23">
        <f>EXP(-LN(2)/25)*AA127+(1-EXP(-LN(2)/25))/(LN(2)/25)*Calculateur!V128*Calculateur!X128*VLOOKUP('Données projet'!$B$9,Paramètres!$A$1:$I$89,3,0)*0.475*44/12</f>
        <v>0</v>
      </c>
      <c r="AB128" s="23">
        <f>EXP(-LN(2)/2)*AB127+(1-EXP(-LN(2)/2))/(LN(2)/2)*V128*Y128*VLOOKUP('Données projet'!$B$9,Paramètres!$A$1:$I$89,3,0)*0.475*44/12</f>
        <v>0</v>
      </c>
      <c r="AC128" s="24">
        <f t="shared" si="57"/>
        <v>0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0</v>
      </c>
      <c r="AJ128" s="14">
        <f>AI128*VLOOKUP('Données projet'!$B$10,Paramètres!$A$1:$I$89,3,0)*VLOOKUP('Données projet'!$B$10,Paramètres!$A$1:$I$89,5,0)</f>
        <v>0</v>
      </c>
      <c r="AK128" s="14" t="e">
        <f t="shared" si="89"/>
        <v>#NUM!</v>
      </c>
      <c r="AL128" s="22" t="e">
        <f t="shared" si="58"/>
        <v>#NUM!</v>
      </c>
      <c r="AM128" s="62" t="e">
        <f t="shared" si="59"/>
        <v>#NUM!</v>
      </c>
      <c r="AN128" s="62">
        <f ca="1">AVERAGE(OFFSET($AM$3,0,0,'Données projet'!$E$10+1,1))-AVERAGE(OFFSET($H$3,0,0,'Données projet'!$E$10+1,1))</f>
        <v>400.48230125343474</v>
      </c>
      <c r="AO128" s="62">
        <f t="shared" si="90"/>
        <v>275.67023303885048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0</v>
      </c>
      <c r="AV128" s="23">
        <f>EXP(-LN(2)/25)*AV127+(1-EXP(-LN(2)/25))/(LN(2)/25)*Calculateur!AQ128*Calculateur!AS128*VLOOKUP('Données projet'!$B$10,Paramètres!$A$1:$I$89,3,0)*0.475*44/12</f>
        <v>0</v>
      </c>
      <c r="AW128" s="23">
        <f>EXP(-LN(2)/2)*AW127+(1-EXP(-LN(2)/2))/(LN(2)/2)*AQ128*AT128*VLOOKUP('Données projet'!$B$10,Paramètres!$A$1:$I$89,3,0)*0.475*44/12</f>
        <v>0</v>
      </c>
      <c r="AX128" s="23">
        <f t="shared" si="60"/>
        <v>0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3.2</v>
      </c>
      <c r="BD128" s="13">
        <f>IF('Données projet'!$A$88&gt;35,BD127+BC128-BL127,IF(A128&lt;'Données projet'!$A$88,$BA$205^A128,IF(A128='Données projet'!$A$88,'Données projet'!$B$88,BD127+BC128-BL127)))</f>
        <v>283.99999999999943</v>
      </c>
      <c r="BE128" s="14">
        <f>BD128*VLOOKUP('Données projet'!$B$11,Paramètres!$A$1:$I$89,3,0)*VLOOKUP('Données projet'!$B$11,Paramètres!$A$1:$I$89,5,0)</f>
        <v>274.68479999999943</v>
      </c>
      <c r="BF128" s="14">
        <f t="shared" si="91"/>
        <v>65.842504497456545</v>
      </c>
      <c r="BG128" s="22">
        <f t="shared" si="61"/>
        <v>593.08505533306914</v>
      </c>
      <c r="BH128" s="62">
        <f t="shared" si="62"/>
        <v>876.13367370203764</v>
      </c>
      <c r="BI128" s="62">
        <f ca="1">AVERAGE(OFFSET($BH$3,0,0,'Données projet'!$E$11+1,1))-AVERAGE(OFFSET($H$3,0,0,'Données projet'!$E$11+1,1))</f>
        <v>496.33873798282525</v>
      </c>
      <c r="BJ128" s="62">
        <f t="shared" si="92"/>
        <v>280.25465074992246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>
        <f>EXP(-LN(2)/35)*BP127+(1-EXP(-LN(2)/35))/(LN(2)/35)*BL128*BM128*VLOOKUP('Données projet'!$B$11,Paramètres!$A$1:$I$89,3,0)*0.475*44/12</f>
        <v>0</v>
      </c>
      <c r="BQ128" s="23">
        <f>EXP(-LN(2)/25)*BQ127+(1-EXP(-LN(2)/25))/(LN(2)/25)*Calculateur!BL128*Calculateur!BN128*VLOOKUP('Données projet'!$B$11,Paramètres!$A$1:$I$89,3,0)*0.475*44/12</f>
        <v>0</v>
      </c>
      <c r="BR128" s="23">
        <f>EXP(-LN(2)/2)*BR127+(1-EXP(-LN(2)/2))/(LN(2)/2)*BL128*BO128*VLOOKUP('Données projet'!$B$11,Paramètres!$A$1:$I$89,3,0)*0.475*44/12</f>
        <v>0</v>
      </c>
      <c r="BS128" s="24">
        <f t="shared" si="63"/>
        <v>0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-1.1368683772161603E-13</v>
      </c>
      <c r="BZ128" s="14">
        <f>BY128*VLOOKUP('Données projet'!$B$12,Paramètres!$A$1:$I$89,3,0)*VLOOKUP('Données projet'!$B$12,Paramètres!$A$1:$I$89,5,0)</f>
        <v>-9.9316821433603781E-14</v>
      </c>
      <c r="CA128" s="14" t="e">
        <f t="shared" si="93"/>
        <v>#NUM!</v>
      </c>
      <c r="CB128" s="22" t="e">
        <f t="shared" si="64"/>
        <v>#NUM!</v>
      </c>
      <c r="CC128" s="62" t="e">
        <f t="shared" si="65"/>
        <v>#NUM!</v>
      </c>
      <c r="CD128" s="62">
        <f ca="1">AVERAGE(OFFSET($CC$3,0,0,'Données projet'!$E$12+1,1))-AVERAGE(OFFSET($H$3,0,0,'Données projet'!$E$12+1,1))</f>
        <v>298.56812743477741</v>
      </c>
      <c r="CE128" s="62">
        <f t="shared" si="94"/>
        <v>276.01618888357268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>
        <f>EXP(-LN(2)/35)*CK127+(1-EXP(-LN(2)/35))/(LN(2)/35)*CG128*CH128*VLOOKUP('Données projet'!$B$12,Paramètres!$A$1:$I$89,3,0)*0.475*44/12</f>
        <v>0</v>
      </c>
      <c r="CL128" s="23">
        <f>EXP(-LN(2)/25)*CL127+(1-EXP(-LN(2)/25))/(LN(2)/25)*Calculateur!CG128*Calculateur!CI128*VLOOKUP('Données projet'!$B$12,Paramètres!$A$1:$I$89,3,0)*0.475*44/12</f>
        <v>0</v>
      </c>
      <c r="CM128" s="23">
        <f>EXP(-LN(2)/2)*CM127+(1-EXP(-LN(2)/2))/(LN(2)/2)*CG128*CJ128*VLOOKUP('Données projet'!$B$12,Paramètres!$A$1:$I$89,3,0)*0.475*44/12</f>
        <v>0</v>
      </c>
      <c r="CN128" s="24">
        <f t="shared" si="66"/>
        <v>0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2.2737367544323206E-13</v>
      </c>
      <c r="CU128" s="18">
        <f>CT128*VLOOKUP('Données projet'!$B$13,Paramètres!$A$1:$I$89,3,0)*VLOOKUP('Données projet'!$B$13,Paramètres!$A$1:$I$89,5,0)</f>
        <v>1.5252226148732008E-13</v>
      </c>
      <c r="CV128" s="14">
        <f t="shared" si="95"/>
        <v>2.1814502464536512E-12</v>
      </c>
      <c r="CW128" s="22">
        <f t="shared" si="67"/>
        <v>4.0650021179971913E-12</v>
      </c>
      <c r="CX128" s="62">
        <f t="shared" si="68"/>
        <v>283.0486183689726</v>
      </c>
      <c r="CY128" s="62">
        <f ca="1">AVERAGE(OFFSET($CX$3,0,0,'Données projet'!$E$13+1,1))-AVERAGE(OFFSET($H$3,0,0,'Données projet'!$E$13+1,1))</f>
        <v>346.82725381974132</v>
      </c>
      <c r="CZ128" s="62">
        <f t="shared" si="96"/>
        <v>254.09787950201044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>
        <f>EXP(-LN(2)/35)*DF127+(1-EXP(-LN(2)/35))/(LN(2)/35)*DB128*DC128*VLOOKUP('Données projet'!$B$13,Paramètres!$A$1:$I$89,3,0)*0.475*44/12</f>
        <v>0</v>
      </c>
      <c r="DG128" s="23">
        <f>EXP(-LN(2)/25)*DG127+(1-EXP(-LN(2)/25))/(LN(2)/25)*Calculateur!DB128*Calculateur!DD128*VLOOKUP('Données projet'!$B$13,Paramètres!$A$1:$I$89,3,0)*0.475*44/12</f>
        <v>0</v>
      </c>
      <c r="DH128" s="23">
        <f>EXP(-LN(2)/2)*DH127+(1-EXP(-LN(2)/2))/(LN(2)/2)*DB128*DE128*VLOOKUP('Données projet'!$B$13,Paramètres!$A$1:$I$89,3,0)*0.475*44/12</f>
        <v>0</v>
      </c>
      <c r="DI128" s="24">
        <f t="shared" si="69"/>
        <v>0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5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2">
        <f t="shared" si="86"/>
        <v>0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18.333333333333332</v>
      </c>
      <c r="H129" s="70">
        <f t="shared" si="56"/>
        <v>183.33333333333334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3.2</v>
      </c>
      <c r="N129" s="14">
        <f>IF('Données projet'!$A$36&gt;35,N128+M129-V128,IF(A129&lt;'Données projet'!$A$36,$K$205^A129,IF(A129='Données projet'!$A$36,'Données projet'!$B$36,N128+M129-V128)))</f>
        <v>287.19999999999942</v>
      </c>
      <c r="O129" s="14">
        <f>N129*VLOOKUP('Données projet'!$B$9,Paramètres!$A$1:$I$89,3,0)*VLOOKUP('Données projet'!$B$9,Paramètres!$A$1:$I$89,5,0)</f>
        <v>259.85855999999944</v>
      </c>
      <c r="P129" s="14">
        <f t="shared" si="87"/>
        <v>62.692227709138365</v>
      </c>
      <c r="Q129" s="22">
        <f t="shared" si="107"/>
        <v>561.77595526008167</v>
      </c>
      <c r="R129" s="62">
        <f t="shared" si="55"/>
        <v>845.00299044050394</v>
      </c>
      <c r="S129" s="62">
        <f ca="1">AVERAGE(OFFSET($R$3,0,0,'Données projet'!$E$9+1,1))-AVERAGE(OFFSET($H$3,0,0,'Données projet'!$E$9+1,1))</f>
        <v>469.67944008675863</v>
      </c>
      <c r="T129" s="62">
        <f t="shared" si="88"/>
        <v>266.11908070867173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0</v>
      </c>
      <c r="AA129" s="23">
        <f>EXP(-LN(2)/25)*AA128+(1-EXP(-LN(2)/25))/(LN(2)/25)*Calculateur!V129*Calculateur!X129*VLOOKUP('Données projet'!$B$9,Paramètres!$A$1:$I$89,3,0)*0.475*44/12</f>
        <v>0</v>
      </c>
      <c r="AB129" s="23">
        <f>EXP(-LN(2)/2)*AB128+(1-EXP(-LN(2)/2))/(LN(2)/2)*V129*Y129*VLOOKUP('Données projet'!$B$9,Paramètres!$A$1:$I$89,3,0)*0.475*44/12</f>
        <v>0</v>
      </c>
      <c r="AC129" s="24">
        <f t="shared" si="57"/>
        <v>0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0</v>
      </c>
      <c r="AJ129" s="14">
        <f>AI129*VLOOKUP('Données projet'!$B$10,Paramètres!$A$1:$I$89,3,0)*VLOOKUP('Données projet'!$B$10,Paramètres!$A$1:$I$89,5,0)</f>
        <v>0</v>
      </c>
      <c r="AK129" s="14" t="e">
        <f t="shared" si="89"/>
        <v>#NUM!</v>
      </c>
      <c r="AL129" s="22" t="e">
        <f t="shared" si="58"/>
        <v>#NUM!</v>
      </c>
      <c r="AM129" s="62" t="e">
        <f t="shared" si="59"/>
        <v>#NUM!</v>
      </c>
      <c r="AN129" s="62">
        <f ca="1">AVERAGE(OFFSET($AM$3,0,0,'Données projet'!$E$10+1,1))-AVERAGE(OFFSET($H$3,0,0,'Données projet'!$E$10+1,1))</f>
        <v>400.48230125343474</v>
      </c>
      <c r="AO129" s="62">
        <f t="shared" si="90"/>
        <v>275.67023303885048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0</v>
      </c>
      <c r="AV129" s="23">
        <f>EXP(-LN(2)/25)*AV128+(1-EXP(-LN(2)/25))/(LN(2)/25)*Calculateur!AQ129*Calculateur!AS129*VLOOKUP('Données projet'!$B$10,Paramètres!$A$1:$I$89,3,0)*0.475*44/12</f>
        <v>0</v>
      </c>
      <c r="AW129" s="23">
        <f>EXP(-LN(2)/2)*AW128+(1-EXP(-LN(2)/2))/(LN(2)/2)*AQ129*AT129*VLOOKUP('Données projet'!$B$10,Paramètres!$A$1:$I$89,3,0)*0.475*44/12</f>
        <v>0</v>
      </c>
      <c r="AX129" s="23">
        <f t="shared" si="60"/>
        <v>0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3.2</v>
      </c>
      <c r="BD129" s="13">
        <f>IF('Données projet'!$A$88&gt;35,BD128+BC129-BL128,IF(A129&lt;'Données projet'!$A$88,$BA$205^A129,IF(A129='Données projet'!$A$88,'Données projet'!$B$88,BD128+BC129-BL128)))</f>
        <v>287.19999999999942</v>
      </c>
      <c r="BE129" s="14">
        <f>BD129*VLOOKUP('Données projet'!$B$11,Paramètres!$A$1:$I$89,3,0)*VLOOKUP('Données projet'!$B$11,Paramètres!$A$1:$I$89,5,0)</f>
        <v>277.77983999999947</v>
      </c>
      <c r="BF129" s="14">
        <f t="shared" si="91"/>
        <v>66.497608092453063</v>
      </c>
      <c r="BG129" s="22">
        <f t="shared" si="61"/>
        <v>599.61655542768813</v>
      </c>
      <c r="BH129" s="62">
        <f t="shared" si="62"/>
        <v>882.84359060811039</v>
      </c>
      <c r="BI129" s="62">
        <f ca="1">AVERAGE(OFFSET($BH$3,0,0,'Données projet'!$E$11+1,1))-AVERAGE(OFFSET($H$3,0,0,'Données projet'!$E$11+1,1))</f>
        <v>496.33873798282525</v>
      </c>
      <c r="BJ129" s="62">
        <f t="shared" si="92"/>
        <v>280.25465074992246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>
        <f>EXP(-LN(2)/35)*BP128+(1-EXP(-LN(2)/35))/(LN(2)/35)*BL129*BM129*VLOOKUP('Données projet'!$B$11,Paramètres!$A$1:$I$89,3,0)*0.475*44/12</f>
        <v>0</v>
      </c>
      <c r="BQ129" s="23">
        <f>EXP(-LN(2)/25)*BQ128+(1-EXP(-LN(2)/25))/(LN(2)/25)*Calculateur!BL129*Calculateur!BN129*VLOOKUP('Données projet'!$B$11,Paramètres!$A$1:$I$89,3,0)*0.475*44/12</f>
        <v>0</v>
      </c>
      <c r="BR129" s="23">
        <f>EXP(-LN(2)/2)*BR128+(1-EXP(-LN(2)/2))/(LN(2)/2)*BL129*BO129*VLOOKUP('Données projet'!$B$11,Paramètres!$A$1:$I$89,3,0)*0.475*44/12</f>
        <v>0</v>
      </c>
      <c r="BS129" s="24">
        <f t="shared" si="63"/>
        <v>0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-1.1368683772161603E-13</v>
      </c>
      <c r="BZ129" s="14">
        <f>BY129*VLOOKUP('Données projet'!$B$12,Paramètres!$A$1:$I$89,3,0)*VLOOKUP('Données projet'!$B$12,Paramètres!$A$1:$I$89,5,0)</f>
        <v>-9.9316821433603781E-14</v>
      </c>
      <c r="CA129" s="14" t="e">
        <f t="shared" si="93"/>
        <v>#NUM!</v>
      </c>
      <c r="CB129" s="22" t="e">
        <f t="shared" si="64"/>
        <v>#NUM!</v>
      </c>
      <c r="CC129" s="62" t="e">
        <f t="shared" si="65"/>
        <v>#NUM!</v>
      </c>
      <c r="CD129" s="62">
        <f ca="1">AVERAGE(OFFSET($CC$3,0,0,'Données projet'!$E$12+1,1))-AVERAGE(OFFSET($H$3,0,0,'Données projet'!$E$12+1,1))</f>
        <v>298.56812743477741</v>
      </c>
      <c r="CE129" s="62">
        <f t="shared" si="94"/>
        <v>276.01618888357268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>
        <f>EXP(-LN(2)/35)*CK128+(1-EXP(-LN(2)/35))/(LN(2)/35)*CG129*CH129*VLOOKUP('Données projet'!$B$12,Paramètres!$A$1:$I$89,3,0)*0.475*44/12</f>
        <v>0</v>
      </c>
      <c r="CL129" s="23">
        <f>EXP(-LN(2)/25)*CL128+(1-EXP(-LN(2)/25))/(LN(2)/25)*Calculateur!CG129*Calculateur!CI129*VLOOKUP('Données projet'!$B$12,Paramètres!$A$1:$I$89,3,0)*0.475*44/12</f>
        <v>0</v>
      </c>
      <c r="CM129" s="23">
        <f>EXP(-LN(2)/2)*CM128+(1-EXP(-LN(2)/2))/(LN(2)/2)*CG129*CJ129*VLOOKUP('Données projet'!$B$12,Paramètres!$A$1:$I$89,3,0)*0.475*44/12</f>
        <v>0</v>
      </c>
      <c r="CN129" s="24">
        <f t="shared" si="66"/>
        <v>0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2.2737367544323206E-13</v>
      </c>
      <c r="CU129" s="18">
        <f>CT129*VLOOKUP('Données projet'!$B$13,Paramètres!$A$1:$I$89,3,0)*VLOOKUP('Données projet'!$B$13,Paramètres!$A$1:$I$89,5,0)</f>
        <v>1.5252226148732008E-13</v>
      </c>
      <c r="CV129" s="14">
        <f t="shared" si="95"/>
        <v>2.1814502464536512E-12</v>
      </c>
      <c r="CW129" s="22">
        <f t="shared" si="67"/>
        <v>4.0650021179971913E-12</v>
      </c>
      <c r="CX129" s="62">
        <f t="shared" si="68"/>
        <v>283.2270351804263</v>
      </c>
      <c r="CY129" s="62">
        <f ca="1">AVERAGE(OFFSET($CX$3,0,0,'Données projet'!$E$13+1,1))-AVERAGE(OFFSET($H$3,0,0,'Données projet'!$E$13+1,1))</f>
        <v>346.82725381974132</v>
      </c>
      <c r="CZ129" s="62">
        <f t="shared" si="96"/>
        <v>254.09787950201044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>
        <f>EXP(-LN(2)/35)*DF128+(1-EXP(-LN(2)/35))/(LN(2)/35)*DB129*DC129*VLOOKUP('Données projet'!$B$13,Paramètres!$A$1:$I$89,3,0)*0.475*44/12</f>
        <v>0</v>
      </c>
      <c r="DG129" s="23">
        <f>EXP(-LN(2)/25)*DG128+(1-EXP(-LN(2)/25))/(LN(2)/25)*Calculateur!DB129*Calculateur!DD129*VLOOKUP('Données projet'!$B$13,Paramètres!$A$1:$I$89,3,0)*0.475*44/12</f>
        <v>0</v>
      </c>
      <c r="DH129" s="23">
        <f>EXP(-LN(2)/2)*DH128+(1-EXP(-LN(2)/2))/(LN(2)/2)*DB129*DE129*VLOOKUP('Données projet'!$B$13,Paramètres!$A$1:$I$89,3,0)*0.475*44/12</f>
        <v>0</v>
      </c>
      <c r="DI129" s="24">
        <f t="shared" si="69"/>
        <v>0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5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2">
        <f t="shared" si="86"/>
        <v>0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18.333333333333332</v>
      </c>
      <c r="H130" s="70">
        <f t="shared" si="56"/>
        <v>183.33333333333334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3.2</v>
      </c>
      <c r="N130" s="14">
        <f>IF('Données projet'!$A$36&gt;35,N129+M130-V129,IF(A130&lt;'Données projet'!$A$36,$K$205^A130,IF(A130='Données projet'!$A$36,'Données projet'!$B$36,N129+M130-V129)))</f>
        <v>290.39999999999941</v>
      </c>
      <c r="O130" s="14">
        <f>N130*VLOOKUP('Données projet'!$B$9,Paramètres!$A$1:$I$89,3,0)*VLOOKUP('Données projet'!$B$9,Paramètres!$A$1:$I$89,5,0)</f>
        <v>262.75391999999948</v>
      </c>
      <c r="P130" s="14">
        <f t="shared" si="87"/>
        <v>63.309041956360211</v>
      </c>
      <c r="Q130" s="22">
        <f t="shared" si="107"/>
        <v>567.89299207399313</v>
      </c>
      <c r="R130" s="62">
        <f t="shared" si="55"/>
        <v>851.2953489330705</v>
      </c>
      <c r="S130" s="62">
        <f ca="1">AVERAGE(OFFSET($R$3,0,0,'Données projet'!$E$9+1,1))-AVERAGE(OFFSET($H$3,0,0,'Données projet'!$E$9+1,1))</f>
        <v>469.67944008675863</v>
      </c>
      <c r="T130" s="62">
        <f t="shared" si="88"/>
        <v>266.11908070867173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0</v>
      </c>
      <c r="AA130" s="23">
        <f>EXP(-LN(2)/25)*AA129+(1-EXP(-LN(2)/25))/(LN(2)/25)*Calculateur!V130*Calculateur!X130*VLOOKUP('Données projet'!$B$9,Paramètres!$A$1:$I$89,3,0)*0.475*44/12</f>
        <v>0</v>
      </c>
      <c r="AB130" s="23">
        <f>EXP(-LN(2)/2)*AB129+(1-EXP(-LN(2)/2))/(LN(2)/2)*V130*Y130*VLOOKUP('Données projet'!$B$9,Paramètres!$A$1:$I$89,3,0)*0.475*44/12</f>
        <v>0</v>
      </c>
      <c r="AC130" s="24">
        <f t="shared" si="57"/>
        <v>0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0</v>
      </c>
      <c r="AJ130" s="14">
        <f>AI130*VLOOKUP('Données projet'!$B$10,Paramètres!$A$1:$I$89,3,0)*VLOOKUP('Données projet'!$B$10,Paramètres!$A$1:$I$89,5,0)</f>
        <v>0</v>
      </c>
      <c r="AK130" s="14" t="e">
        <f t="shared" si="89"/>
        <v>#NUM!</v>
      </c>
      <c r="AL130" s="22" t="e">
        <f t="shared" si="58"/>
        <v>#NUM!</v>
      </c>
      <c r="AM130" s="62" t="e">
        <f t="shared" si="59"/>
        <v>#NUM!</v>
      </c>
      <c r="AN130" s="62">
        <f ca="1">AVERAGE(OFFSET($AM$3,0,0,'Données projet'!$E$10+1,1))-AVERAGE(OFFSET($H$3,0,0,'Données projet'!$E$10+1,1))</f>
        <v>400.48230125343474</v>
      </c>
      <c r="AO130" s="62">
        <f t="shared" si="90"/>
        <v>275.67023303885048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0</v>
      </c>
      <c r="AV130" s="23">
        <f>EXP(-LN(2)/25)*AV129+(1-EXP(-LN(2)/25))/(LN(2)/25)*Calculateur!AQ130*Calculateur!AS130*VLOOKUP('Données projet'!$B$10,Paramètres!$A$1:$I$89,3,0)*0.475*44/12</f>
        <v>0</v>
      </c>
      <c r="AW130" s="23">
        <f>EXP(-LN(2)/2)*AW129+(1-EXP(-LN(2)/2))/(LN(2)/2)*AQ130*AT130*VLOOKUP('Données projet'!$B$10,Paramètres!$A$1:$I$89,3,0)*0.475*44/12</f>
        <v>0</v>
      </c>
      <c r="AX130" s="23">
        <f t="shared" si="60"/>
        <v>0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3.2</v>
      </c>
      <c r="BD130" s="13">
        <f>IF('Données projet'!$A$88&gt;35,BD129+BC130-BL129,IF(A130&lt;'Données projet'!$A$88,$BA$205^A130,IF(A130='Données projet'!$A$88,'Données projet'!$B$88,BD129+BC130-BL129)))</f>
        <v>290.39999999999941</v>
      </c>
      <c r="BE130" s="14">
        <f>BD130*VLOOKUP('Données projet'!$B$11,Paramètres!$A$1:$I$89,3,0)*VLOOKUP('Données projet'!$B$11,Paramètres!$A$1:$I$89,5,0)</f>
        <v>280.87487999999945</v>
      </c>
      <c r="BF130" s="14">
        <f t="shared" si="91"/>
        <v>67.151862592195727</v>
      </c>
      <c r="BG130" s="22">
        <f t="shared" si="61"/>
        <v>606.1465766814066</v>
      </c>
      <c r="BH130" s="62">
        <f t="shared" si="62"/>
        <v>889.54893354048409</v>
      </c>
      <c r="BI130" s="62">
        <f ca="1">AVERAGE(OFFSET($BH$3,0,0,'Données projet'!$E$11+1,1))-AVERAGE(OFFSET($H$3,0,0,'Données projet'!$E$11+1,1))</f>
        <v>496.33873798282525</v>
      </c>
      <c r="BJ130" s="62">
        <f t="shared" si="92"/>
        <v>280.25465074992246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>
        <f>EXP(-LN(2)/35)*BP129+(1-EXP(-LN(2)/35))/(LN(2)/35)*BL130*BM130*VLOOKUP('Données projet'!$B$11,Paramètres!$A$1:$I$89,3,0)*0.475*44/12</f>
        <v>0</v>
      </c>
      <c r="BQ130" s="23">
        <f>EXP(-LN(2)/25)*BQ129+(1-EXP(-LN(2)/25))/(LN(2)/25)*Calculateur!BL130*Calculateur!BN130*VLOOKUP('Données projet'!$B$11,Paramètres!$A$1:$I$89,3,0)*0.475*44/12</f>
        <v>0</v>
      </c>
      <c r="BR130" s="23">
        <f>EXP(-LN(2)/2)*BR129+(1-EXP(-LN(2)/2))/(LN(2)/2)*BL130*BO130*VLOOKUP('Données projet'!$B$11,Paramètres!$A$1:$I$89,3,0)*0.475*44/12</f>
        <v>0</v>
      </c>
      <c r="BS130" s="24">
        <f t="shared" si="63"/>
        <v>0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-1.1368683772161603E-13</v>
      </c>
      <c r="BZ130" s="14">
        <f>BY130*VLOOKUP('Données projet'!$B$12,Paramètres!$A$1:$I$89,3,0)*VLOOKUP('Données projet'!$B$12,Paramètres!$A$1:$I$89,5,0)</f>
        <v>-9.9316821433603781E-14</v>
      </c>
      <c r="CA130" s="14" t="e">
        <f t="shared" si="93"/>
        <v>#NUM!</v>
      </c>
      <c r="CB130" s="22" t="e">
        <f t="shared" si="64"/>
        <v>#NUM!</v>
      </c>
      <c r="CC130" s="62" t="e">
        <f t="shared" si="65"/>
        <v>#NUM!</v>
      </c>
      <c r="CD130" s="62">
        <f ca="1">AVERAGE(OFFSET($CC$3,0,0,'Données projet'!$E$12+1,1))-AVERAGE(OFFSET($H$3,0,0,'Données projet'!$E$12+1,1))</f>
        <v>298.56812743477741</v>
      </c>
      <c r="CE130" s="62">
        <f t="shared" si="94"/>
        <v>276.01618888357268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>
        <f>EXP(-LN(2)/35)*CK129+(1-EXP(-LN(2)/35))/(LN(2)/35)*CG130*CH130*VLOOKUP('Données projet'!$B$12,Paramètres!$A$1:$I$89,3,0)*0.475*44/12</f>
        <v>0</v>
      </c>
      <c r="CL130" s="23">
        <f>EXP(-LN(2)/25)*CL129+(1-EXP(-LN(2)/25))/(LN(2)/25)*Calculateur!CG130*Calculateur!CI130*VLOOKUP('Données projet'!$B$12,Paramètres!$A$1:$I$89,3,0)*0.475*44/12</f>
        <v>0</v>
      </c>
      <c r="CM130" s="23">
        <f>EXP(-LN(2)/2)*CM129+(1-EXP(-LN(2)/2))/(LN(2)/2)*CG130*CJ130*VLOOKUP('Données projet'!$B$12,Paramètres!$A$1:$I$89,3,0)*0.475*44/12</f>
        <v>0</v>
      </c>
      <c r="CN130" s="24">
        <f t="shared" si="66"/>
        <v>0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2.2737367544323206E-13</v>
      </c>
      <c r="CU130" s="18">
        <f>CT130*VLOOKUP('Données projet'!$B$13,Paramètres!$A$1:$I$89,3,0)*VLOOKUP('Données projet'!$B$13,Paramètres!$A$1:$I$89,5,0)</f>
        <v>1.5252226148732008E-13</v>
      </c>
      <c r="CV130" s="14">
        <f t="shared" si="95"/>
        <v>2.1814502464536512E-12</v>
      </c>
      <c r="CW130" s="22">
        <f t="shared" si="67"/>
        <v>4.0650021179971913E-12</v>
      </c>
      <c r="CX130" s="62">
        <f t="shared" si="68"/>
        <v>283.40235685908152</v>
      </c>
      <c r="CY130" s="62">
        <f ca="1">AVERAGE(OFFSET($CX$3,0,0,'Données projet'!$E$13+1,1))-AVERAGE(OFFSET($H$3,0,0,'Données projet'!$E$13+1,1))</f>
        <v>346.82725381974132</v>
      </c>
      <c r="CZ130" s="62">
        <f t="shared" si="96"/>
        <v>254.09787950201044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>
        <f>EXP(-LN(2)/35)*DF129+(1-EXP(-LN(2)/35))/(LN(2)/35)*DB130*DC130*VLOOKUP('Données projet'!$B$13,Paramètres!$A$1:$I$89,3,0)*0.475*44/12</f>
        <v>0</v>
      </c>
      <c r="DG130" s="23">
        <f>EXP(-LN(2)/25)*DG129+(1-EXP(-LN(2)/25))/(LN(2)/25)*Calculateur!DB130*Calculateur!DD130*VLOOKUP('Données projet'!$B$13,Paramètres!$A$1:$I$89,3,0)*0.475*44/12</f>
        <v>0</v>
      </c>
      <c r="DH130" s="23">
        <f>EXP(-LN(2)/2)*DH129+(1-EXP(-LN(2)/2))/(LN(2)/2)*DB130*DE130*VLOOKUP('Données projet'!$B$13,Paramètres!$A$1:$I$89,3,0)*0.475*44/12</f>
        <v>0</v>
      </c>
      <c r="DI130" s="24">
        <f t="shared" si="69"/>
        <v>0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5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2">
        <f t="shared" si="86"/>
        <v>0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18.333333333333332</v>
      </c>
      <c r="H131" s="70">
        <f t="shared" si="56"/>
        <v>183.33333333333334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3.2</v>
      </c>
      <c r="N131" s="14">
        <f>IF('Données projet'!$A$36&gt;35,N130+M131-V130,IF(A131&lt;'Données projet'!$A$36,$K$205^A131,IF(A131='Données projet'!$A$36,'Données projet'!$B$36,N130+M131-V130)))</f>
        <v>293.5999999999994</v>
      </c>
      <c r="O131" s="14">
        <f>N131*VLOOKUP('Données projet'!$B$9,Paramètres!$A$1:$I$89,3,0)*VLOOKUP('Données projet'!$B$9,Paramètres!$A$1:$I$89,5,0)</f>
        <v>265.64927999999946</v>
      </c>
      <c r="P131" s="14">
        <f t="shared" si="87"/>
        <v>63.925065540346907</v>
      </c>
      <c r="Q131" s="22">
        <f t="shared" ref="Q131:Q153" si="108">(O131+P131)*0.475*44/12</f>
        <v>574.00865181610322</v>
      </c>
      <c r="R131" s="62">
        <f t="shared" ref="R131:R194" si="109">Q131+(I131+J131)*44/12</f>
        <v>857.58328891467181</v>
      </c>
      <c r="S131" s="62">
        <f ca="1">AVERAGE(OFFSET($R$3,0,0,'Données projet'!$E$9+1,1))-AVERAGE(OFFSET($H$3,0,0,'Données projet'!$E$9+1,1))</f>
        <v>469.67944008675863</v>
      </c>
      <c r="T131" s="62">
        <f t="shared" si="88"/>
        <v>266.11908070867173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0</v>
      </c>
      <c r="AA131" s="23">
        <f>EXP(-LN(2)/25)*AA130+(1-EXP(-LN(2)/25))/(LN(2)/25)*Calculateur!V131*Calculateur!X131*VLOOKUP('Données projet'!$B$9,Paramètres!$A$1:$I$89,3,0)*0.475*44/12</f>
        <v>0</v>
      </c>
      <c r="AB131" s="23">
        <f>EXP(-LN(2)/2)*AB130+(1-EXP(-LN(2)/2))/(LN(2)/2)*V131*Y131*VLOOKUP('Données projet'!$B$9,Paramètres!$A$1:$I$89,3,0)*0.475*44/12</f>
        <v>0</v>
      </c>
      <c r="AC131" s="24">
        <f t="shared" si="57"/>
        <v>0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0</v>
      </c>
      <c r="AJ131" s="14">
        <f>AI131*VLOOKUP('Données projet'!$B$10,Paramètres!$A$1:$I$89,3,0)*VLOOKUP('Données projet'!$B$10,Paramètres!$A$1:$I$89,5,0)</f>
        <v>0</v>
      </c>
      <c r="AK131" s="14" t="e">
        <f t="shared" si="89"/>
        <v>#NUM!</v>
      </c>
      <c r="AL131" s="22" t="e">
        <f t="shared" si="58"/>
        <v>#NUM!</v>
      </c>
      <c r="AM131" s="62" t="e">
        <f t="shared" si="59"/>
        <v>#NUM!</v>
      </c>
      <c r="AN131" s="62">
        <f ca="1">AVERAGE(OFFSET($AM$3,0,0,'Données projet'!$E$10+1,1))-AVERAGE(OFFSET($H$3,0,0,'Données projet'!$E$10+1,1))</f>
        <v>400.48230125343474</v>
      </c>
      <c r="AO131" s="62">
        <f t="shared" si="90"/>
        <v>275.67023303885048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0</v>
      </c>
      <c r="AV131" s="23">
        <f>EXP(-LN(2)/25)*AV130+(1-EXP(-LN(2)/25))/(LN(2)/25)*Calculateur!AQ131*Calculateur!AS131*VLOOKUP('Données projet'!$B$10,Paramètres!$A$1:$I$89,3,0)*0.475*44/12</f>
        <v>0</v>
      </c>
      <c r="AW131" s="23">
        <f>EXP(-LN(2)/2)*AW130+(1-EXP(-LN(2)/2))/(LN(2)/2)*AQ131*AT131*VLOOKUP('Données projet'!$B$10,Paramètres!$A$1:$I$89,3,0)*0.475*44/12</f>
        <v>0</v>
      </c>
      <c r="AX131" s="23">
        <f t="shared" si="60"/>
        <v>0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3.2</v>
      </c>
      <c r="BD131" s="13">
        <f>IF('Données projet'!$A$88&gt;35,BD130+BC131-BL130,IF(A131&lt;'Données projet'!$A$88,$BA$205^A131,IF(A131='Données projet'!$A$88,'Données projet'!$B$88,BD130+BC131-BL130)))</f>
        <v>293.5999999999994</v>
      </c>
      <c r="BE131" s="14">
        <f>BD131*VLOOKUP('Données projet'!$B$11,Paramètres!$A$1:$I$89,3,0)*VLOOKUP('Données projet'!$B$11,Paramètres!$A$1:$I$89,5,0)</f>
        <v>283.96991999999943</v>
      </c>
      <c r="BF131" s="14">
        <f t="shared" si="91"/>
        <v>67.805278435922148</v>
      </c>
      <c r="BG131" s="22">
        <f t="shared" si="61"/>
        <v>612.67513727589676</v>
      </c>
      <c r="BH131" s="62">
        <f t="shared" si="62"/>
        <v>896.24977437446523</v>
      </c>
      <c r="BI131" s="62">
        <f ca="1">AVERAGE(OFFSET($BH$3,0,0,'Données projet'!$E$11+1,1))-AVERAGE(OFFSET($H$3,0,0,'Données projet'!$E$11+1,1))</f>
        <v>496.33873798282525</v>
      </c>
      <c r="BJ131" s="62">
        <f t="shared" si="92"/>
        <v>280.25465074992246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>
        <f>EXP(-LN(2)/35)*BP130+(1-EXP(-LN(2)/35))/(LN(2)/35)*BL131*BM131*VLOOKUP('Données projet'!$B$11,Paramètres!$A$1:$I$89,3,0)*0.475*44/12</f>
        <v>0</v>
      </c>
      <c r="BQ131" s="23">
        <f>EXP(-LN(2)/25)*BQ130+(1-EXP(-LN(2)/25))/(LN(2)/25)*Calculateur!BL131*Calculateur!BN131*VLOOKUP('Données projet'!$B$11,Paramètres!$A$1:$I$89,3,0)*0.475*44/12</f>
        <v>0</v>
      </c>
      <c r="BR131" s="23">
        <f>EXP(-LN(2)/2)*BR130+(1-EXP(-LN(2)/2))/(LN(2)/2)*BL131*BO131*VLOOKUP('Données projet'!$B$11,Paramètres!$A$1:$I$89,3,0)*0.475*44/12</f>
        <v>0</v>
      </c>
      <c r="BS131" s="24">
        <f t="shared" si="63"/>
        <v>0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-1.1368683772161603E-13</v>
      </c>
      <c r="BZ131" s="14">
        <f>BY131*VLOOKUP('Données projet'!$B$12,Paramètres!$A$1:$I$89,3,0)*VLOOKUP('Données projet'!$B$12,Paramètres!$A$1:$I$89,5,0)</f>
        <v>-9.9316821433603781E-14</v>
      </c>
      <c r="CA131" s="14" t="e">
        <f t="shared" si="93"/>
        <v>#NUM!</v>
      </c>
      <c r="CB131" s="22" t="e">
        <f t="shared" si="64"/>
        <v>#NUM!</v>
      </c>
      <c r="CC131" s="62" t="e">
        <f t="shared" si="65"/>
        <v>#NUM!</v>
      </c>
      <c r="CD131" s="62">
        <f ca="1">AVERAGE(OFFSET($CC$3,0,0,'Données projet'!$E$12+1,1))-AVERAGE(OFFSET($H$3,0,0,'Données projet'!$E$12+1,1))</f>
        <v>298.56812743477741</v>
      </c>
      <c r="CE131" s="62">
        <f t="shared" si="94"/>
        <v>276.01618888357268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>
        <f>EXP(-LN(2)/35)*CK130+(1-EXP(-LN(2)/35))/(LN(2)/35)*CG131*CH131*VLOOKUP('Données projet'!$B$12,Paramètres!$A$1:$I$89,3,0)*0.475*44/12</f>
        <v>0</v>
      </c>
      <c r="CL131" s="23">
        <f>EXP(-LN(2)/25)*CL130+(1-EXP(-LN(2)/25))/(LN(2)/25)*Calculateur!CG131*Calculateur!CI131*VLOOKUP('Données projet'!$B$12,Paramètres!$A$1:$I$89,3,0)*0.475*44/12</f>
        <v>0</v>
      </c>
      <c r="CM131" s="23">
        <f>EXP(-LN(2)/2)*CM130+(1-EXP(-LN(2)/2))/(LN(2)/2)*CG131*CJ131*VLOOKUP('Données projet'!$B$12,Paramètres!$A$1:$I$89,3,0)*0.475*44/12</f>
        <v>0</v>
      </c>
      <c r="CN131" s="24">
        <f t="shared" si="66"/>
        <v>0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2.2737367544323206E-13</v>
      </c>
      <c r="CU131" s="18">
        <f>CT131*VLOOKUP('Données projet'!$B$13,Paramètres!$A$1:$I$89,3,0)*VLOOKUP('Données projet'!$B$13,Paramètres!$A$1:$I$89,5,0)</f>
        <v>1.5252226148732008E-13</v>
      </c>
      <c r="CV131" s="14">
        <f t="shared" si="95"/>
        <v>2.1814502464536512E-12</v>
      </c>
      <c r="CW131" s="22">
        <f t="shared" si="67"/>
        <v>4.0650021179971913E-12</v>
      </c>
      <c r="CX131" s="62">
        <f t="shared" si="68"/>
        <v>283.57463709857262</v>
      </c>
      <c r="CY131" s="62">
        <f ca="1">AVERAGE(OFFSET($CX$3,0,0,'Données projet'!$E$13+1,1))-AVERAGE(OFFSET($H$3,0,0,'Données projet'!$E$13+1,1))</f>
        <v>346.82725381974132</v>
      </c>
      <c r="CZ131" s="62">
        <f t="shared" si="96"/>
        <v>254.09787950201044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>
        <f>EXP(-LN(2)/35)*DF130+(1-EXP(-LN(2)/35))/(LN(2)/35)*DB131*DC131*VLOOKUP('Données projet'!$B$13,Paramètres!$A$1:$I$89,3,0)*0.475*44/12</f>
        <v>0</v>
      </c>
      <c r="DG131" s="23">
        <f>EXP(-LN(2)/25)*DG130+(1-EXP(-LN(2)/25))/(LN(2)/25)*Calculateur!DB131*Calculateur!DD131*VLOOKUP('Données projet'!$B$13,Paramètres!$A$1:$I$89,3,0)*0.475*44/12</f>
        <v>0</v>
      </c>
      <c r="DH131" s="23">
        <f>EXP(-LN(2)/2)*DH130+(1-EXP(-LN(2)/2))/(LN(2)/2)*DB131*DE131*VLOOKUP('Données projet'!$B$13,Paramètres!$A$1:$I$89,3,0)*0.475*44/12</f>
        <v>0</v>
      </c>
      <c r="DI131" s="24">
        <f t="shared" si="69"/>
        <v>0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5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2">
        <f t="shared" si="86"/>
        <v>0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18.333333333333332</v>
      </c>
      <c r="H132" s="70">
        <f t="shared" ref="H132:H195" si="110">(B132+E132+F132)*44/12+(C132+D132)*0.475*44/12</f>
        <v>183.33333333333334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3.2</v>
      </c>
      <c r="N132" s="14">
        <f>IF('Données projet'!$A$36&gt;35,N131+M132-V131,IF(A132&lt;'Données projet'!$A$36,$K$205^A132,IF(A132='Données projet'!$A$36,'Données projet'!$B$36,N131+M132-V131)))</f>
        <v>296.79999999999939</v>
      </c>
      <c r="O132" s="14">
        <f>N132*VLOOKUP('Données projet'!$B$9,Paramètres!$A$1:$I$89,3,0)*VLOOKUP('Données projet'!$B$9,Paramètres!$A$1:$I$89,5,0)</f>
        <v>268.54463999999945</v>
      </c>
      <c r="P132" s="14">
        <f t="shared" si="87"/>
        <v>64.540308076050593</v>
      </c>
      <c r="Q132" s="22">
        <f t="shared" si="108"/>
        <v>580.12295123245383</v>
      </c>
      <c r="R132" s="62">
        <f t="shared" si="109"/>
        <v>863.86687989351913</v>
      </c>
      <c r="S132" s="62">
        <f ca="1">AVERAGE(OFFSET($R$3,0,0,'Données projet'!$E$9+1,1))-AVERAGE(OFFSET($H$3,0,0,'Données projet'!$E$9+1,1))</f>
        <v>469.67944008675863</v>
      </c>
      <c r="T132" s="62">
        <f t="shared" si="88"/>
        <v>266.11908070867173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0</v>
      </c>
      <c r="AA132" s="23">
        <f>EXP(-LN(2)/25)*AA131+(1-EXP(-LN(2)/25))/(LN(2)/25)*Calculateur!V132*Calculateur!X132*VLOOKUP('Données projet'!$B$9,Paramètres!$A$1:$I$89,3,0)*0.475*44/12</f>
        <v>0</v>
      </c>
      <c r="AB132" s="23">
        <f>EXP(-LN(2)/2)*AB131+(1-EXP(-LN(2)/2))/(LN(2)/2)*V132*Y132*VLOOKUP('Données projet'!$B$9,Paramètres!$A$1:$I$89,3,0)*0.475*44/12</f>
        <v>0</v>
      </c>
      <c r="AC132" s="24">
        <f t="shared" ref="AC132:AC153" si="111">SUM(Z132:AB132)</f>
        <v>0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0</v>
      </c>
      <c r="AJ132" s="14">
        <f>AI132*VLOOKUP('Données projet'!$B$10,Paramètres!$A$1:$I$89,3,0)*VLOOKUP('Données projet'!$B$10,Paramètres!$A$1:$I$89,5,0)</f>
        <v>0</v>
      </c>
      <c r="AK132" s="14" t="e">
        <f t="shared" si="89"/>
        <v>#NUM!</v>
      </c>
      <c r="AL132" s="22" t="e">
        <f t="shared" ref="AL132:AL153" si="112">(AJ132+AK132)*0.475*44/12</f>
        <v>#NUM!</v>
      </c>
      <c r="AM132" s="62" t="e">
        <f t="shared" ref="AM132:AM195" si="113">AL132+(AD132+AE132)*44/12</f>
        <v>#NUM!</v>
      </c>
      <c r="AN132" s="62">
        <f ca="1">AVERAGE(OFFSET($AM$3,0,0,'Données projet'!$E$10+1,1))-AVERAGE(OFFSET($H$3,0,0,'Données projet'!$E$10+1,1))</f>
        <v>400.48230125343474</v>
      </c>
      <c r="AO132" s="62">
        <f t="shared" si="90"/>
        <v>275.67023303885048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0</v>
      </c>
      <c r="AV132" s="23">
        <f>EXP(-LN(2)/25)*AV131+(1-EXP(-LN(2)/25))/(LN(2)/25)*Calculateur!AQ132*Calculateur!AS132*VLOOKUP('Données projet'!$B$10,Paramètres!$A$1:$I$89,3,0)*0.475*44/12</f>
        <v>0</v>
      </c>
      <c r="AW132" s="23">
        <f>EXP(-LN(2)/2)*AW131+(1-EXP(-LN(2)/2))/(LN(2)/2)*AQ132*AT132*VLOOKUP('Données projet'!$B$10,Paramètres!$A$1:$I$89,3,0)*0.475*44/12</f>
        <v>0</v>
      </c>
      <c r="AX132" s="23">
        <f t="shared" ref="AX132:AX153" si="114">SUM(AU132:AW132)</f>
        <v>0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3.2</v>
      </c>
      <c r="BD132" s="13">
        <f>IF('Données projet'!$A$88&gt;35,BD131+BC132-BL131,IF(A132&lt;'Données projet'!$A$88,$BA$205^A132,IF(A132='Données projet'!$A$88,'Données projet'!$B$88,BD131+BC132-BL131)))</f>
        <v>296.79999999999939</v>
      </c>
      <c r="BE132" s="14">
        <f>BD132*VLOOKUP('Données projet'!$B$11,Paramètres!$A$1:$I$89,3,0)*VLOOKUP('Données projet'!$B$11,Paramètres!$A$1:$I$89,5,0)</f>
        <v>287.06495999999942</v>
      </c>
      <c r="BF132" s="14">
        <f t="shared" si="91"/>
        <v>68.457865822206202</v>
      </c>
      <c r="BG132" s="22">
        <f t="shared" ref="BG132:BG153" si="115">(BE132+BF132)*0.475*44/12</f>
        <v>619.20225497367471</v>
      </c>
      <c r="BH132" s="62">
        <f t="shared" ref="BH132:BH195" si="116">BG132+(AY132+AZ132)*44/12</f>
        <v>902.94618363474001</v>
      </c>
      <c r="BI132" s="62">
        <f ca="1">AVERAGE(OFFSET($BH$3,0,0,'Données projet'!$E$11+1,1))-AVERAGE(OFFSET($H$3,0,0,'Données projet'!$E$11+1,1))</f>
        <v>496.33873798282525</v>
      </c>
      <c r="BJ132" s="62">
        <f t="shared" si="92"/>
        <v>280.25465074992246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>
        <f>EXP(-LN(2)/35)*BP131+(1-EXP(-LN(2)/35))/(LN(2)/35)*BL132*BM132*VLOOKUP('Données projet'!$B$11,Paramètres!$A$1:$I$89,3,0)*0.475*44/12</f>
        <v>0</v>
      </c>
      <c r="BQ132" s="23">
        <f>EXP(-LN(2)/25)*BQ131+(1-EXP(-LN(2)/25))/(LN(2)/25)*Calculateur!BL132*Calculateur!BN132*VLOOKUP('Données projet'!$B$11,Paramètres!$A$1:$I$89,3,0)*0.475*44/12</f>
        <v>0</v>
      </c>
      <c r="BR132" s="23">
        <f>EXP(-LN(2)/2)*BR131+(1-EXP(-LN(2)/2))/(LN(2)/2)*BL132*BO132*VLOOKUP('Données projet'!$B$11,Paramètres!$A$1:$I$89,3,0)*0.475*44/12</f>
        <v>0</v>
      </c>
      <c r="BS132" s="24">
        <f t="shared" ref="BS132:BS153" si="117">SUM(BP132:BR132)</f>
        <v>0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-1.1368683772161603E-13</v>
      </c>
      <c r="BZ132" s="14">
        <f>BY132*VLOOKUP('Données projet'!$B$12,Paramètres!$A$1:$I$89,3,0)*VLOOKUP('Données projet'!$B$12,Paramètres!$A$1:$I$89,5,0)</f>
        <v>-9.9316821433603781E-14</v>
      </c>
      <c r="CA132" s="14" t="e">
        <f t="shared" si="93"/>
        <v>#NUM!</v>
      </c>
      <c r="CB132" s="22" t="e">
        <f t="shared" ref="CB132:CB153" si="118">(BZ132+CA132)*0.475*44/12</f>
        <v>#NUM!</v>
      </c>
      <c r="CC132" s="62" t="e">
        <f t="shared" ref="CC132:CC195" si="119">CB132+(BT132+BU132)*44/12</f>
        <v>#NUM!</v>
      </c>
      <c r="CD132" s="62">
        <f ca="1">AVERAGE(OFFSET($CC$3,0,0,'Données projet'!$E$12+1,1))-AVERAGE(OFFSET($H$3,0,0,'Données projet'!$E$12+1,1))</f>
        <v>298.56812743477741</v>
      </c>
      <c r="CE132" s="62">
        <f t="shared" si="94"/>
        <v>276.01618888357268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>
        <f>EXP(-LN(2)/35)*CK131+(1-EXP(-LN(2)/35))/(LN(2)/35)*CG132*CH132*VLOOKUP('Données projet'!$B$12,Paramètres!$A$1:$I$89,3,0)*0.475*44/12</f>
        <v>0</v>
      </c>
      <c r="CL132" s="23">
        <f>EXP(-LN(2)/25)*CL131+(1-EXP(-LN(2)/25))/(LN(2)/25)*Calculateur!CG132*Calculateur!CI132*VLOOKUP('Données projet'!$B$12,Paramètres!$A$1:$I$89,3,0)*0.475*44/12</f>
        <v>0</v>
      </c>
      <c r="CM132" s="23">
        <f>EXP(-LN(2)/2)*CM131+(1-EXP(-LN(2)/2))/(LN(2)/2)*CG132*CJ132*VLOOKUP('Données projet'!$B$12,Paramètres!$A$1:$I$89,3,0)*0.475*44/12</f>
        <v>0</v>
      </c>
      <c r="CN132" s="24">
        <f t="shared" ref="CN132:CN153" si="120">SUM(CK132:CM132)</f>
        <v>0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2.2737367544323206E-13</v>
      </c>
      <c r="CU132" s="18">
        <f>CT132*VLOOKUP('Données projet'!$B$13,Paramètres!$A$1:$I$89,3,0)*VLOOKUP('Données projet'!$B$13,Paramètres!$A$1:$I$89,5,0)</f>
        <v>1.5252226148732008E-13</v>
      </c>
      <c r="CV132" s="14">
        <f t="shared" si="95"/>
        <v>2.1814502464536512E-12</v>
      </c>
      <c r="CW132" s="22">
        <f t="shared" ref="CW132:CW153" si="121">(CU132+CV132)*0.475*44/12</f>
        <v>4.0650021179971913E-12</v>
      </c>
      <c r="CX132" s="62">
        <f t="shared" ref="CX132:CX195" si="122">CW132+(CO132+CP132)*44/12</f>
        <v>283.74392866106945</v>
      </c>
      <c r="CY132" s="62">
        <f ca="1">AVERAGE(OFFSET($CX$3,0,0,'Données projet'!$E$13+1,1))-AVERAGE(OFFSET($H$3,0,0,'Données projet'!$E$13+1,1))</f>
        <v>346.82725381974132</v>
      </c>
      <c r="CZ132" s="62">
        <f t="shared" si="96"/>
        <v>254.09787950201044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>
        <f>EXP(-LN(2)/35)*DF131+(1-EXP(-LN(2)/35))/(LN(2)/35)*DB132*DC132*VLOOKUP('Données projet'!$B$13,Paramètres!$A$1:$I$89,3,0)*0.475*44/12</f>
        <v>0</v>
      </c>
      <c r="DG132" s="23">
        <f>EXP(-LN(2)/25)*DG131+(1-EXP(-LN(2)/25))/(LN(2)/25)*Calculateur!DB132*Calculateur!DD132*VLOOKUP('Données projet'!$B$13,Paramètres!$A$1:$I$89,3,0)*0.475*44/12</f>
        <v>0</v>
      </c>
      <c r="DH132" s="23">
        <f>EXP(-LN(2)/2)*DH131+(1-EXP(-LN(2)/2))/(LN(2)/2)*DB132*DE132*VLOOKUP('Données projet'!$B$13,Paramètres!$A$1:$I$89,3,0)*0.475*44/12</f>
        <v>0</v>
      </c>
      <c r="DI132" s="24">
        <f t="shared" ref="DI132:DI153" si="123">SUM(DF132:DH132)</f>
        <v>0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5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2">
        <f t="shared" ref="D133:D196" si="140">IFERROR(EXP(-1.0587+0.8836*LN(C133)+0.284),0)</f>
        <v>0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18.333333333333332</v>
      </c>
      <c r="H133" s="70">
        <f t="shared" si="110"/>
        <v>183.33333333333334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>
        <f>VLOOKUP(A133,'Données projet'!$A$35:$I$55,2,0)</f>
        <v>300</v>
      </c>
      <c r="L133" s="13">
        <f>VLOOKUP(A133,'Données projet'!$A$35:$I$55,9,0)</f>
        <v>3.2</v>
      </c>
      <c r="M133" s="13">
        <f t="array" ref="M133">INDEX(L:L,MIN(IF(ISNUMBER(L133:L329),ROW(L133:L329),"")))</f>
        <v>3.2</v>
      </c>
      <c r="N133" s="14">
        <f>IF('Données projet'!$A$36&gt;35,N132+M133-V132,IF(A133&lt;'Données projet'!$A$36,$K$205^A133,IF(A133='Données projet'!$A$36,'Données projet'!$B$36,N132+M133-V132)))</f>
        <v>299.99999999999937</v>
      </c>
      <c r="O133" s="14">
        <f>N133*VLOOKUP('Données projet'!$B$9,Paramètres!$A$1:$I$89,3,0)*VLOOKUP('Données projet'!$B$9,Paramètres!$A$1:$I$89,5,0)</f>
        <v>271.43999999999943</v>
      </c>
      <c r="P133" s="14">
        <f t="shared" ref="P133:P196" si="141">EXP(-1.0587+0.8836*LN(O133)+0.284)</f>
        <v>65.154778959151116</v>
      </c>
      <c r="Q133" s="22">
        <f t="shared" si="108"/>
        <v>586.23590668718714</v>
      </c>
      <c r="R133" s="62">
        <f t="shared" si="109"/>
        <v>870.14619008061925</v>
      </c>
      <c r="S133" s="62">
        <f ca="1">AVERAGE(OFFSET($R$3,0,0,'Données projet'!$E$9+1,1))-AVERAGE(OFFSET($H$3,0,0,'Données projet'!$E$9+1,1))</f>
        <v>469.67944008675863</v>
      </c>
      <c r="T133" s="62">
        <f t="shared" ref="T133:T196" si="142">$T$3</f>
        <v>266.11908070867173</v>
      </c>
      <c r="U133" s="16">
        <f>IF(ISNA(VLOOKUP(A133,'Données projet'!$A$35:$I$55,3,0)),0,VLOOKUP(A133,'Données projet'!$A$35:$I$55,3,0))</f>
        <v>11</v>
      </c>
      <c r="V133" s="16">
        <f>IF(ISNA(VLOOKUP(A133,'Données projet'!$A$35:$I$55,4,0)),0,VLOOKUP(A133,'Données projet'!$A$35:$I$55,4,0))</f>
        <v>31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0</v>
      </c>
      <c r="AA133" s="23">
        <f>EXP(-LN(2)/25)*AA132+(1-EXP(-LN(2)/25))/(LN(2)/25)*Calculateur!V133*Calculateur!X133*VLOOKUP('Données projet'!$B$9,Paramètres!$A$1:$I$89,3,0)*0.475*44/12</f>
        <v>0</v>
      </c>
      <c r="AB133" s="23">
        <f>EXP(-LN(2)/2)*AB132+(1-EXP(-LN(2)/2))/(LN(2)/2)*V133*Y133*VLOOKUP('Données projet'!$B$9,Paramètres!$A$1:$I$89,3,0)*0.475*44/12</f>
        <v>0</v>
      </c>
      <c r="AC133" s="24">
        <f t="shared" si="111"/>
        <v>0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0</v>
      </c>
      <c r="AJ133" s="14">
        <f>AI133*VLOOKUP('Données projet'!$B$10,Paramètres!$A$1:$I$89,3,0)*VLOOKUP('Données projet'!$B$10,Paramètres!$A$1:$I$89,5,0)</f>
        <v>0</v>
      </c>
      <c r="AK133" s="14" t="e">
        <f t="shared" ref="AK133:AK153" si="143">EXP(-1.0587+0.8836*LN(AJ133)+0.284)</f>
        <v>#NUM!</v>
      </c>
      <c r="AL133" s="22" t="e">
        <f t="shared" si="112"/>
        <v>#NUM!</v>
      </c>
      <c r="AM133" s="62" t="e">
        <f t="shared" si="113"/>
        <v>#NUM!</v>
      </c>
      <c r="AN133" s="62">
        <f ca="1">AVERAGE(OFFSET($AM$3,0,0,'Données projet'!$E$10+1,1))-AVERAGE(OFFSET($H$3,0,0,'Données projet'!$E$10+1,1))</f>
        <v>400.48230125343474</v>
      </c>
      <c r="AO133" s="62">
        <f t="shared" ref="AO133:AO196" si="144">$AO$3</f>
        <v>275.67023303885048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0</v>
      </c>
      <c r="AV133" s="23">
        <f>EXP(-LN(2)/25)*AV132+(1-EXP(-LN(2)/25))/(LN(2)/25)*Calculateur!AQ133*Calculateur!AS133*VLOOKUP('Données projet'!$B$10,Paramètres!$A$1:$I$89,3,0)*0.475*44/12</f>
        <v>0</v>
      </c>
      <c r="AW133" s="23">
        <f>EXP(-LN(2)/2)*AW132+(1-EXP(-LN(2)/2))/(LN(2)/2)*AQ133*AT133*VLOOKUP('Données projet'!$B$10,Paramètres!$A$1:$I$89,3,0)*0.475*44/12</f>
        <v>0</v>
      </c>
      <c r="AX133" s="23">
        <f t="shared" si="114"/>
        <v>0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>
        <f>VLOOKUP(A133,'Données projet'!$A$87:$I$107,2,0)</f>
        <v>300</v>
      </c>
      <c r="BB133" s="13">
        <f>VLOOKUP(A133,'Données projet'!$A$87:$I$107,9,0)</f>
        <v>3.2</v>
      </c>
      <c r="BC133" s="13">
        <f t="array" ref="BC133">INDEX(BB:BB,MIN(IF(ISNUMBER(BB133:BB329),ROW(BB133:BB329),"")))</f>
        <v>3.2</v>
      </c>
      <c r="BD133" s="13">
        <f>IF('Données projet'!$A$88&gt;35,BD132+BC133-BL132,IF(A133&lt;'Données projet'!$A$88,$BA$205^A133,IF(A133='Données projet'!$A$88,'Données projet'!$B$88,BD132+BC133-BL132)))</f>
        <v>299.99999999999937</v>
      </c>
      <c r="BE133" s="14">
        <f>BD133*VLOOKUP('Données projet'!$B$11,Paramètres!$A$1:$I$89,3,0)*VLOOKUP('Données projet'!$B$11,Paramètres!$A$1:$I$89,5,0)</f>
        <v>290.1599999999994</v>
      </c>
      <c r="BF133" s="14">
        <f t="shared" ref="BF133:BF153" si="145">EXP(-1.0587+0.8836*LN(BE133)+0.284)</f>
        <v>69.10963471703981</v>
      </c>
      <c r="BG133" s="22">
        <f t="shared" si="115"/>
        <v>625.72794713217661</v>
      </c>
      <c r="BH133" s="62">
        <f t="shared" si="116"/>
        <v>909.63823052560872</v>
      </c>
      <c r="BI133" s="62">
        <f ca="1">AVERAGE(OFFSET($BH$3,0,0,'Données projet'!$E$11+1,1))-AVERAGE(OFFSET($H$3,0,0,'Données projet'!$E$11+1,1))</f>
        <v>496.33873798282525</v>
      </c>
      <c r="BJ133" s="62">
        <f t="shared" ref="BJ133:BJ196" si="146">$BJ$3</f>
        <v>280.25465074992246</v>
      </c>
      <c r="BK133" s="16">
        <f>IF(ISNA(VLOOKUP(A133,'Données projet'!$A$87:$I$107,3,0)),0,VLOOKUP(A133,'Données projet'!$A$87:$I$107,3,0))</f>
        <v>11</v>
      </c>
      <c r="BL133" s="16">
        <f>IF(ISNA(VLOOKUP(A133,'Données projet'!$A$87:$I$107,4,0)),0,VLOOKUP(A133,'Données projet'!$A$87:$I$107,4,0))</f>
        <v>31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>
        <f>EXP(-LN(2)/35)*BP132+(1-EXP(-LN(2)/35))/(LN(2)/35)*BL133*BM133*VLOOKUP('Données projet'!$B$11,Paramètres!$A$1:$I$89,3,0)*0.475*44/12</f>
        <v>0</v>
      </c>
      <c r="BQ133" s="23">
        <f>EXP(-LN(2)/25)*BQ132+(1-EXP(-LN(2)/25))/(LN(2)/25)*Calculateur!BL133*Calculateur!BN133*VLOOKUP('Données projet'!$B$11,Paramètres!$A$1:$I$89,3,0)*0.475*44/12</f>
        <v>0</v>
      </c>
      <c r="BR133" s="23">
        <f>EXP(-LN(2)/2)*BR132+(1-EXP(-LN(2)/2))/(LN(2)/2)*BL133*BO133*VLOOKUP('Données projet'!$B$11,Paramètres!$A$1:$I$89,3,0)*0.475*44/12</f>
        <v>0</v>
      </c>
      <c r="BS133" s="24">
        <f t="shared" si="117"/>
        <v>0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-1.1368683772161603E-13</v>
      </c>
      <c r="BZ133" s="14">
        <f>BY133*VLOOKUP('Données projet'!$B$12,Paramètres!$A$1:$I$89,3,0)*VLOOKUP('Données projet'!$B$12,Paramètres!$A$1:$I$89,5,0)</f>
        <v>-9.9316821433603781E-14</v>
      </c>
      <c r="CA133" s="14" t="e">
        <f t="shared" ref="CA133:CA153" si="147">EXP(-1.0587+0.8836*LN(BZ133)+0.284)</f>
        <v>#NUM!</v>
      </c>
      <c r="CB133" s="22" t="e">
        <f t="shared" si="118"/>
        <v>#NUM!</v>
      </c>
      <c r="CC133" s="62" t="e">
        <f t="shared" si="119"/>
        <v>#NUM!</v>
      </c>
      <c r="CD133" s="62">
        <f ca="1">AVERAGE(OFFSET($CC$3,0,0,'Données projet'!$E$12+1,1))-AVERAGE(OFFSET($H$3,0,0,'Données projet'!$E$12+1,1))</f>
        <v>298.56812743477741</v>
      </c>
      <c r="CE133" s="62">
        <f t="shared" ref="CE133:CE196" si="148">$CE$3</f>
        <v>276.01618888357268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>
        <f>EXP(-LN(2)/35)*CK132+(1-EXP(-LN(2)/35))/(LN(2)/35)*CG133*CH133*VLOOKUP('Données projet'!$B$12,Paramètres!$A$1:$I$89,3,0)*0.475*44/12</f>
        <v>0</v>
      </c>
      <c r="CL133" s="23">
        <f>EXP(-LN(2)/25)*CL132+(1-EXP(-LN(2)/25))/(LN(2)/25)*Calculateur!CG133*Calculateur!CI133*VLOOKUP('Données projet'!$B$12,Paramètres!$A$1:$I$89,3,0)*0.475*44/12</f>
        <v>0</v>
      </c>
      <c r="CM133" s="23">
        <f>EXP(-LN(2)/2)*CM132+(1-EXP(-LN(2)/2))/(LN(2)/2)*CG133*CJ133*VLOOKUP('Données projet'!$B$12,Paramètres!$A$1:$I$89,3,0)*0.475*44/12</f>
        <v>0</v>
      </c>
      <c r="CN133" s="24">
        <f t="shared" si="120"/>
        <v>0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2.2737367544323206E-13</v>
      </c>
      <c r="CU133" s="18">
        <f>CT133*VLOOKUP('Données projet'!$B$13,Paramètres!$A$1:$I$89,3,0)*VLOOKUP('Données projet'!$B$13,Paramètres!$A$1:$I$89,5,0)</f>
        <v>1.5252226148732008E-13</v>
      </c>
      <c r="CV133" s="14">
        <f t="shared" ref="CV133:CV153" si="149">EXP(-1.0587+0.8836*LN(CU133)+0.284)</f>
        <v>2.1814502464536512E-12</v>
      </c>
      <c r="CW133" s="22">
        <f t="shared" si="121"/>
        <v>4.0650021179971913E-12</v>
      </c>
      <c r="CX133" s="62">
        <f t="shared" si="122"/>
        <v>283.9102833934362</v>
      </c>
      <c r="CY133" s="62">
        <f ca="1">AVERAGE(OFFSET($CX$3,0,0,'Données projet'!$E$13+1,1))-AVERAGE(OFFSET($H$3,0,0,'Données projet'!$E$13+1,1))</f>
        <v>346.82725381974132</v>
      </c>
      <c r="CZ133" s="62">
        <f t="shared" ref="CZ133:CZ196" si="150">$CZ$3</f>
        <v>254.09787950201044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>
        <f>EXP(-LN(2)/35)*DF132+(1-EXP(-LN(2)/35))/(LN(2)/35)*DB133*DC133*VLOOKUP('Données projet'!$B$13,Paramètres!$A$1:$I$89,3,0)*0.475*44/12</f>
        <v>0</v>
      </c>
      <c r="DG133" s="23">
        <f>EXP(-LN(2)/25)*DG132+(1-EXP(-LN(2)/25))/(LN(2)/25)*Calculateur!DB133*Calculateur!DD133*VLOOKUP('Données projet'!$B$13,Paramètres!$A$1:$I$89,3,0)*0.475*44/12</f>
        <v>0</v>
      </c>
      <c r="DH133" s="23">
        <f>EXP(-LN(2)/2)*DH132+(1-EXP(-LN(2)/2))/(LN(2)/2)*DB133*DE133*VLOOKUP('Données projet'!$B$13,Paramètres!$A$1:$I$89,3,0)*0.475*44/12</f>
        <v>0</v>
      </c>
      <c r="DI133" s="24">
        <f t="shared" si="123"/>
        <v>0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5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2">
        <f t="shared" si="140"/>
        <v>0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18.333333333333332</v>
      </c>
      <c r="H134" s="70">
        <f t="shared" si="110"/>
        <v>183.33333333333334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2.7</v>
      </c>
      <c r="N134" s="14">
        <f>IF('Données projet'!$A$36&gt;35,N133+M134-V133,IF(A134&lt;'Données projet'!$A$36,$K$205^A134,IF(A134='Données projet'!$A$36,'Données projet'!$B$36,N133+M134-V133)))</f>
        <v>271.69999999999936</v>
      </c>
      <c r="O134" s="14">
        <f>N134*VLOOKUP('Données projet'!$B$9,Paramètres!$A$1:$I$89,3,0)*VLOOKUP('Données projet'!$B$9,Paramètres!$A$1:$I$89,5,0)</f>
        <v>245.8341599999994</v>
      </c>
      <c r="P134" s="14">
        <f t="shared" si="141"/>
        <v>59.693018383856675</v>
      </c>
      <c r="Q134" s="22">
        <f t="shared" si="108"/>
        <v>532.12650235188266</v>
      </c>
      <c r="R134" s="62">
        <f t="shared" si="109"/>
        <v>816.20025459498834</v>
      </c>
      <c r="S134" s="62">
        <f ca="1">AVERAGE(OFFSET($R$3,0,0,'Données projet'!$E$9+1,1))-AVERAGE(OFFSET($H$3,0,0,'Données projet'!$E$9+1,1))</f>
        <v>469.67944008675863</v>
      </c>
      <c r="T134" s="62">
        <f t="shared" si="142"/>
        <v>266.11908070867173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0</v>
      </c>
      <c r="AA134" s="23">
        <f>EXP(-LN(2)/25)*AA133+(1-EXP(-LN(2)/25))/(LN(2)/25)*Calculateur!V134*Calculateur!X134*VLOOKUP('Données projet'!$B$9,Paramètres!$A$1:$I$89,3,0)*0.475*44/12</f>
        <v>0</v>
      </c>
      <c r="AB134" s="23">
        <f>EXP(-LN(2)/2)*AB133+(1-EXP(-LN(2)/2))/(LN(2)/2)*V134*Y134*VLOOKUP('Données projet'!$B$9,Paramètres!$A$1:$I$89,3,0)*0.475*44/12</f>
        <v>0</v>
      </c>
      <c r="AC134" s="24">
        <f t="shared" si="111"/>
        <v>0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0</v>
      </c>
      <c r="AJ134" s="14">
        <f>AI134*VLOOKUP('Données projet'!$B$10,Paramètres!$A$1:$I$89,3,0)*VLOOKUP('Données projet'!$B$10,Paramètres!$A$1:$I$89,5,0)</f>
        <v>0</v>
      </c>
      <c r="AK134" s="14" t="e">
        <f t="shared" si="143"/>
        <v>#NUM!</v>
      </c>
      <c r="AL134" s="22" t="e">
        <f t="shared" si="112"/>
        <v>#NUM!</v>
      </c>
      <c r="AM134" s="62" t="e">
        <f t="shared" si="113"/>
        <v>#NUM!</v>
      </c>
      <c r="AN134" s="62">
        <f ca="1">AVERAGE(OFFSET($AM$3,0,0,'Données projet'!$E$10+1,1))-AVERAGE(OFFSET($H$3,0,0,'Données projet'!$E$10+1,1))</f>
        <v>400.48230125343474</v>
      </c>
      <c r="AO134" s="62">
        <f t="shared" si="144"/>
        <v>275.67023303885048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0</v>
      </c>
      <c r="AV134" s="23">
        <f>EXP(-LN(2)/25)*AV133+(1-EXP(-LN(2)/25))/(LN(2)/25)*Calculateur!AQ134*Calculateur!AS134*VLOOKUP('Données projet'!$B$10,Paramètres!$A$1:$I$89,3,0)*0.475*44/12</f>
        <v>0</v>
      </c>
      <c r="AW134" s="23">
        <f>EXP(-LN(2)/2)*AW133+(1-EXP(-LN(2)/2))/(LN(2)/2)*AQ134*AT134*VLOOKUP('Données projet'!$B$10,Paramètres!$A$1:$I$89,3,0)*0.475*44/12</f>
        <v>0</v>
      </c>
      <c r="AX134" s="23">
        <f t="shared" si="114"/>
        <v>0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2.7</v>
      </c>
      <c r="BD134" s="13">
        <f>IF('Données projet'!$A$88&gt;35,BD133+BC134-BL133,IF(A134&lt;'Données projet'!$A$88,$BA$205^A134,IF(A134='Données projet'!$A$88,'Données projet'!$B$88,BD133+BC134-BL133)))</f>
        <v>271.69999999999936</v>
      </c>
      <c r="BE134" s="14">
        <f>BD134*VLOOKUP('Données projet'!$B$11,Paramètres!$A$1:$I$89,3,0)*VLOOKUP('Données projet'!$B$11,Paramètres!$A$1:$I$89,5,0)</f>
        <v>262.7882399999994</v>
      </c>
      <c r="BF134" s="14">
        <f t="shared" si="145"/>
        <v>63.316348571334714</v>
      </c>
      <c r="BG134" s="22">
        <f t="shared" si="115"/>
        <v>567.96549176174028</v>
      </c>
      <c r="BH134" s="62">
        <f t="shared" si="116"/>
        <v>852.03924400484607</v>
      </c>
      <c r="BI134" s="62">
        <f ca="1">AVERAGE(OFFSET($BH$3,0,0,'Données projet'!$E$11+1,1))-AVERAGE(OFFSET($H$3,0,0,'Données projet'!$E$11+1,1))</f>
        <v>496.33873798282525</v>
      </c>
      <c r="BJ134" s="62">
        <f t="shared" si="146"/>
        <v>280.25465074992246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>
        <f>EXP(-LN(2)/35)*BP133+(1-EXP(-LN(2)/35))/(LN(2)/35)*BL134*BM134*VLOOKUP('Données projet'!$B$11,Paramètres!$A$1:$I$89,3,0)*0.475*44/12</f>
        <v>0</v>
      </c>
      <c r="BQ134" s="23">
        <f>EXP(-LN(2)/25)*BQ133+(1-EXP(-LN(2)/25))/(LN(2)/25)*Calculateur!BL134*Calculateur!BN134*VLOOKUP('Données projet'!$B$11,Paramètres!$A$1:$I$89,3,0)*0.475*44/12</f>
        <v>0</v>
      </c>
      <c r="BR134" s="23">
        <f>EXP(-LN(2)/2)*BR133+(1-EXP(-LN(2)/2))/(LN(2)/2)*BL134*BO134*VLOOKUP('Données projet'!$B$11,Paramètres!$A$1:$I$89,3,0)*0.475*44/12</f>
        <v>0</v>
      </c>
      <c r="BS134" s="24">
        <f t="shared" si="117"/>
        <v>0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-1.1368683772161603E-13</v>
      </c>
      <c r="BZ134" s="14">
        <f>BY134*VLOOKUP('Données projet'!$B$12,Paramètres!$A$1:$I$89,3,0)*VLOOKUP('Données projet'!$B$12,Paramètres!$A$1:$I$89,5,0)</f>
        <v>-9.9316821433603781E-14</v>
      </c>
      <c r="CA134" s="14" t="e">
        <f t="shared" si="147"/>
        <v>#NUM!</v>
      </c>
      <c r="CB134" s="22" t="e">
        <f t="shared" si="118"/>
        <v>#NUM!</v>
      </c>
      <c r="CC134" s="62" t="e">
        <f t="shared" si="119"/>
        <v>#NUM!</v>
      </c>
      <c r="CD134" s="62">
        <f ca="1">AVERAGE(OFFSET($CC$3,0,0,'Données projet'!$E$12+1,1))-AVERAGE(OFFSET($H$3,0,0,'Données projet'!$E$12+1,1))</f>
        <v>298.56812743477741</v>
      </c>
      <c r="CE134" s="62">
        <f t="shared" si="148"/>
        <v>276.01618888357268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>
        <f>EXP(-LN(2)/35)*CK133+(1-EXP(-LN(2)/35))/(LN(2)/35)*CG134*CH134*VLOOKUP('Données projet'!$B$12,Paramètres!$A$1:$I$89,3,0)*0.475*44/12</f>
        <v>0</v>
      </c>
      <c r="CL134" s="23">
        <f>EXP(-LN(2)/25)*CL133+(1-EXP(-LN(2)/25))/(LN(2)/25)*Calculateur!CG134*Calculateur!CI134*VLOOKUP('Données projet'!$B$12,Paramètres!$A$1:$I$89,3,0)*0.475*44/12</f>
        <v>0</v>
      </c>
      <c r="CM134" s="23">
        <f>EXP(-LN(2)/2)*CM133+(1-EXP(-LN(2)/2))/(LN(2)/2)*CG134*CJ134*VLOOKUP('Données projet'!$B$12,Paramètres!$A$1:$I$89,3,0)*0.475*44/12</f>
        <v>0</v>
      </c>
      <c r="CN134" s="24">
        <f t="shared" si="120"/>
        <v>0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2.2737367544323206E-13</v>
      </c>
      <c r="CU134" s="18">
        <f>CT134*VLOOKUP('Données projet'!$B$13,Paramètres!$A$1:$I$89,3,0)*VLOOKUP('Données projet'!$B$13,Paramètres!$A$1:$I$89,5,0)</f>
        <v>1.5252226148732008E-13</v>
      </c>
      <c r="CV134" s="14">
        <f t="shared" si="149"/>
        <v>2.1814502464536512E-12</v>
      </c>
      <c r="CW134" s="22">
        <f t="shared" si="121"/>
        <v>4.0650021179971913E-12</v>
      </c>
      <c r="CX134" s="62">
        <f t="shared" si="122"/>
        <v>284.07375224310982</v>
      </c>
      <c r="CY134" s="62">
        <f ca="1">AVERAGE(OFFSET($CX$3,0,0,'Données projet'!$E$13+1,1))-AVERAGE(OFFSET($H$3,0,0,'Données projet'!$E$13+1,1))</f>
        <v>346.82725381974132</v>
      </c>
      <c r="CZ134" s="62">
        <f t="shared" si="150"/>
        <v>254.09787950201044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>
        <f>EXP(-LN(2)/35)*DF133+(1-EXP(-LN(2)/35))/(LN(2)/35)*DB134*DC134*VLOOKUP('Données projet'!$B$13,Paramètres!$A$1:$I$89,3,0)*0.475*44/12</f>
        <v>0</v>
      </c>
      <c r="DG134" s="23">
        <f>EXP(-LN(2)/25)*DG133+(1-EXP(-LN(2)/25))/(LN(2)/25)*Calculateur!DB134*Calculateur!DD134*VLOOKUP('Données projet'!$B$13,Paramètres!$A$1:$I$89,3,0)*0.475*44/12</f>
        <v>0</v>
      </c>
      <c r="DH134" s="23">
        <f>EXP(-LN(2)/2)*DH133+(1-EXP(-LN(2)/2))/(LN(2)/2)*DB134*DE134*VLOOKUP('Données projet'!$B$13,Paramètres!$A$1:$I$89,3,0)*0.475*44/12</f>
        <v>0</v>
      </c>
      <c r="DI134" s="24">
        <f t="shared" si="123"/>
        <v>0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5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2">
        <f t="shared" si="140"/>
        <v>0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18.333333333333332</v>
      </c>
      <c r="H135" s="70">
        <f t="shared" si="110"/>
        <v>183.33333333333334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2.7</v>
      </c>
      <c r="N135" s="14">
        <f>IF('Données projet'!$A$36&gt;35,N134+M135-V134,IF(A135&lt;'Données projet'!$A$36,$K$205^A135,IF(A135='Données projet'!$A$36,'Données projet'!$B$36,N134+M135-V134)))</f>
        <v>274.39999999999935</v>
      </c>
      <c r="O135" s="14">
        <f>N135*VLOOKUP('Données projet'!$B$9,Paramètres!$A$1:$I$89,3,0)*VLOOKUP('Données projet'!$B$9,Paramètres!$A$1:$I$89,5,0)</f>
        <v>248.2771199999994</v>
      </c>
      <c r="P135" s="14">
        <f t="shared" si="141"/>
        <v>60.216863677580257</v>
      </c>
      <c r="Q135" s="22">
        <f t="shared" si="108"/>
        <v>537.29368823845118</v>
      </c>
      <c r="R135" s="62">
        <f t="shared" si="109"/>
        <v>821.52807351215029</v>
      </c>
      <c r="S135" s="62">
        <f ca="1">AVERAGE(OFFSET($R$3,0,0,'Données projet'!$E$9+1,1))-AVERAGE(OFFSET($H$3,0,0,'Données projet'!$E$9+1,1))</f>
        <v>469.67944008675863</v>
      </c>
      <c r="T135" s="62">
        <f t="shared" si="142"/>
        <v>266.11908070867173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0</v>
      </c>
      <c r="AA135" s="23">
        <f>EXP(-LN(2)/25)*AA134+(1-EXP(-LN(2)/25))/(LN(2)/25)*Calculateur!V135*Calculateur!X135*VLOOKUP('Données projet'!$B$9,Paramètres!$A$1:$I$89,3,0)*0.475*44/12</f>
        <v>0</v>
      </c>
      <c r="AB135" s="23">
        <f>EXP(-LN(2)/2)*AB134+(1-EXP(-LN(2)/2))/(LN(2)/2)*V135*Y135*VLOOKUP('Données projet'!$B$9,Paramètres!$A$1:$I$89,3,0)*0.475*44/12</f>
        <v>0</v>
      </c>
      <c r="AC135" s="24">
        <f t="shared" si="111"/>
        <v>0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0</v>
      </c>
      <c r="AJ135" s="14">
        <f>AI135*VLOOKUP('Données projet'!$B$10,Paramètres!$A$1:$I$89,3,0)*VLOOKUP('Données projet'!$B$10,Paramètres!$A$1:$I$89,5,0)</f>
        <v>0</v>
      </c>
      <c r="AK135" s="14" t="e">
        <f t="shared" si="143"/>
        <v>#NUM!</v>
      </c>
      <c r="AL135" s="22" t="e">
        <f t="shared" si="112"/>
        <v>#NUM!</v>
      </c>
      <c r="AM135" s="62" t="e">
        <f t="shared" si="113"/>
        <v>#NUM!</v>
      </c>
      <c r="AN135" s="62">
        <f ca="1">AVERAGE(OFFSET($AM$3,0,0,'Données projet'!$E$10+1,1))-AVERAGE(OFFSET($H$3,0,0,'Données projet'!$E$10+1,1))</f>
        <v>400.48230125343474</v>
      </c>
      <c r="AO135" s="62">
        <f t="shared" si="144"/>
        <v>275.67023303885048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0</v>
      </c>
      <c r="AV135" s="23">
        <f>EXP(-LN(2)/25)*AV134+(1-EXP(-LN(2)/25))/(LN(2)/25)*Calculateur!AQ135*Calculateur!AS135*VLOOKUP('Données projet'!$B$10,Paramètres!$A$1:$I$89,3,0)*0.475*44/12</f>
        <v>0</v>
      </c>
      <c r="AW135" s="23">
        <f>EXP(-LN(2)/2)*AW134+(1-EXP(-LN(2)/2))/(LN(2)/2)*AQ135*AT135*VLOOKUP('Données projet'!$B$10,Paramètres!$A$1:$I$89,3,0)*0.475*44/12</f>
        <v>0</v>
      </c>
      <c r="AX135" s="23">
        <f t="shared" si="114"/>
        <v>0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2.7</v>
      </c>
      <c r="BD135" s="13">
        <f>IF('Données projet'!$A$88&gt;35,BD134+BC135-BL134,IF(A135&lt;'Données projet'!$A$88,$BA$205^A135,IF(A135='Données projet'!$A$88,'Données projet'!$B$88,BD134+BC135-BL134)))</f>
        <v>274.39999999999935</v>
      </c>
      <c r="BE135" s="14">
        <f>BD135*VLOOKUP('Données projet'!$B$11,Paramètres!$A$1:$I$89,3,0)*VLOOKUP('Données projet'!$B$11,Paramètres!$A$1:$I$89,5,0)</f>
        <v>265.39967999999936</v>
      </c>
      <c r="BF135" s="14">
        <f t="shared" si="145"/>
        <v>63.87199095821434</v>
      </c>
      <c r="BG135" s="22">
        <f t="shared" si="115"/>
        <v>573.48149358555554</v>
      </c>
      <c r="BH135" s="62">
        <f t="shared" si="116"/>
        <v>857.71587885925464</v>
      </c>
      <c r="BI135" s="62">
        <f ca="1">AVERAGE(OFFSET($BH$3,0,0,'Données projet'!$E$11+1,1))-AVERAGE(OFFSET($H$3,0,0,'Données projet'!$E$11+1,1))</f>
        <v>496.33873798282525</v>
      </c>
      <c r="BJ135" s="62">
        <f t="shared" si="146"/>
        <v>280.25465074992246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>
        <f>EXP(-LN(2)/35)*BP134+(1-EXP(-LN(2)/35))/(LN(2)/35)*BL135*BM135*VLOOKUP('Données projet'!$B$11,Paramètres!$A$1:$I$89,3,0)*0.475*44/12</f>
        <v>0</v>
      </c>
      <c r="BQ135" s="23">
        <f>EXP(-LN(2)/25)*BQ134+(1-EXP(-LN(2)/25))/(LN(2)/25)*Calculateur!BL135*Calculateur!BN135*VLOOKUP('Données projet'!$B$11,Paramètres!$A$1:$I$89,3,0)*0.475*44/12</f>
        <v>0</v>
      </c>
      <c r="BR135" s="23">
        <f>EXP(-LN(2)/2)*BR134+(1-EXP(-LN(2)/2))/(LN(2)/2)*BL135*BO135*VLOOKUP('Données projet'!$B$11,Paramètres!$A$1:$I$89,3,0)*0.475*44/12</f>
        <v>0</v>
      </c>
      <c r="BS135" s="24">
        <f t="shared" si="117"/>
        <v>0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-1.1368683772161603E-13</v>
      </c>
      <c r="BZ135" s="14">
        <f>BY135*VLOOKUP('Données projet'!$B$12,Paramètres!$A$1:$I$89,3,0)*VLOOKUP('Données projet'!$B$12,Paramètres!$A$1:$I$89,5,0)</f>
        <v>-9.9316821433603781E-14</v>
      </c>
      <c r="CA135" s="14" t="e">
        <f t="shared" si="147"/>
        <v>#NUM!</v>
      </c>
      <c r="CB135" s="22" t="e">
        <f t="shared" si="118"/>
        <v>#NUM!</v>
      </c>
      <c r="CC135" s="62" t="e">
        <f t="shared" si="119"/>
        <v>#NUM!</v>
      </c>
      <c r="CD135" s="62">
        <f ca="1">AVERAGE(OFFSET($CC$3,0,0,'Données projet'!$E$12+1,1))-AVERAGE(OFFSET($H$3,0,0,'Données projet'!$E$12+1,1))</f>
        <v>298.56812743477741</v>
      </c>
      <c r="CE135" s="62">
        <f t="shared" si="148"/>
        <v>276.01618888357268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>
        <f>EXP(-LN(2)/35)*CK134+(1-EXP(-LN(2)/35))/(LN(2)/35)*CG135*CH135*VLOOKUP('Données projet'!$B$12,Paramètres!$A$1:$I$89,3,0)*0.475*44/12</f>
        <v>0</v>
      </c>
      <c r="CL135" s="23">
        <f>EXP(-LN(2)/25)*CL134+(1-EXP(-LN(2)/25))/(LN(2)/25)*Calculateur!CG135*Calculateur!CI135*VLOOKUP('Données projet'!$B$12,Paramètres!$A$1:$I$89,3,0)*0.475*44/12</f>
        <v>0</v>
      </c>
      <c r="CM135" s="23">
        <f>EXP(-LN(2)/2)*CM134+(1-EXP(-LN(2)/2))/(LN(2)/2)*CG135*CJ135*VLOOKUP('Données projet'!$B$12,Paramètres!$A$1:$I$89,3,0)*0.475*44/12</f>
        <v>0</v>
      </c>
      <c r="CN135" s="24">
        <f t="shared" si="120"/>
        <v>0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2.2737367544323206E-13</v>
      </c>
      <c r="CU135" s="18">
        <f>CT135*VLOOKUP('Données projet'!$B$13,Paramètres!$A$1:$I$89,3,0)*VLOOKUP('Données projet'!$B$13,Paramètres!$A$1:$I$89,5,0)</f>
        <v>1.5252226148732008E-13</v>
      </c>
      <c r="CV135" s="14">
        <f t="shared" si="149"/>
        <v>2.1814502464536512E-12</v>
      </c>
      <c r="CW135" s="22">
        <f t="shared" si="121"/>
        <v>4.0650021179971913E-12</v>
      </c>
      <c r="CX135" s="62">
        <f t="shared" si="122"/>
        <v>284.23438527370325</v>
      </c>
      <c r="CY135" s="62">
        <f ca="1">AVERAGE(OFFSET($CX$3,0,0,'Données projet'!$E$13+1,1))-AVERAGE(OFFSET($H$3,0,0,'Données projet'!$E$13+1,1))</f>
        <v>346.82725381974132</v>
      </c>
      <c r="CZ135" s="62">
        <f t="shared" si="150"/>
        <v>254.09787950201044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>
        <f>EXP(-LN(2)/35)*DF134+(1-EXP(-LN(2)/35))/(LN(2)/35)*DB135*DC135*VLOOKUP('Données projet'!$B$13,Paramètres!$A$1:$I$89,3,0)*0.475*44/12</f>
        <v>0</v>
      </c>
      <c r="DG135" s="23">
        <f>EXP(-LN(2)/25)*DG134+(1-EXP(-LN(2)/25))/(LN(2)/25)*Calculateur!DB135*Calculateur!DD135*VLOOKUP('Données projet'!$B$13,Paramètres!$A$1:$I$89,3,0)*0.475*44/12</f>
        <v>0</v>
      </c>
      <c r="DH135" s="23">
        <f>EXP(-LN(2)/2)*DH134+(1-EXP(-LN(2)/2))/(LN(2)/2)*DB135*DE135*VLOOKUP('Données projet'!$B$13,Paramètres!$A$1:$I$89,3,0)*0.475*44/12</f>
        <v>0</v>
      </c>
      <c r="DI135" s="24">
        <f t="shared" si="123"/>
        <v>0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5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2">
        <f t="shared" si="140"/>
        <v>0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18.333333333333332</v>
      </c>
      <c r="H136" s="70">
        <f t="shared" si="110"/>
        <v>183.33333333333334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2.7</v>
      </c>
      <c r="N136" s="14">
        <f>IF('Données projet'!$A$36&gt;35,N135+M136-V135,IF(A136&lt;'Données projet'!$A$36,$K$205^A136,IF(A136='Données projet'!$A$36,'Données projet'!$B$36,N135+M136-V135)))</f>
        <v>277.09999999999934</v>
      </c>
      <c r="O136" s="14">
        <f>N136*VLOOKUP('Données projet'!$B$9,Paramètres!$A$1:$I$89,3,0)*VLOOKUP('Données projet'!$B$9,Paramètres!$A$1:$I$89,5,0)</f>
        <v>250.72007999999943</v>
      </c>
      <c r="P136" s="14">
        <f t="shared" si="141"/>
        <v>60.740109326032709</v>
      </c>
      <c r="Q136" s="22">
        <f t="shared" si="108"/>
        <v>542.45982974283925</v>
      </c>
      <c r="R136" s="62">
        <f t="shared" si="109"/>
        <v>826.8520614231727</v>
      </c>
      <c r="S136" s="62">
        <f ca="1">AVERAGE(OFFSET($R$3,0,0,'Données projet'!$E$9+1,1))-AVERAGE(OFFSET($H$3,0,0,'Données projet'!$E$9+1,1))</f>
        <v>469.67944008675863</v>
      </c>
      <c r="T136" s="62">
        <f t="shared" si="142"/>
        <v>266.11908070867173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0</v>
      </c>
      <c r="AA136" s="23">
        <f>EXP(-LN(2)/25)*AA135+(1-EXP(-LN(2)/25))/(LN(2)/25)*Calculateur!V136*Calculateur!X136*VLOOKUP('Données projet'!$B$9,Paramètres!$A$1:$I$89,3,0)*0.475*44/12</f>
        <v>0</v>
      </c>
      <c r="AB136" s="23">
        <f>EXP(-LN(2)/2)*AB135+(1-EXP(-LN(2)/2))/(LN(2)/2)*V136*Y136*VLOOKUP('Données projet'!$B$9,Paramètres!$A$1:$I$89,3,0)*0.475*44/12</f>
        <v>0</v>
      </c>
      <c r="AC136" s="24">
        <f t="shared" si="111"/>
        <v>0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0</v>
      </c>
      <c r="AJ136" s="14">
        <f>AI136*VLOOKUP('Données projet'!$B$10,Paramètres!$A$1:$I$89,3,0)*VLOOKUP('Données projet'!$B$10,Paramètres!$A$1:$I$89,5,0)</f>
        <v>0</v>
      </c>
      <c r="AK136" s="14" t="e">
        <f t="shared" si="143"/>
        <v>#NUM!</v>
      </c>
      <c r="AL136" s="22" t="e">
        <f t="shared" si="112"/>
        <v>#NUM!</v>
      </c>
      <c r="AM136" s="62" t="e">
        <f t="shared" si="113"/>
        <v>#NUM!</v>
      </c>
      <c r="AN136" s="62">
        <f ca="1">AVERAGE(OFFSET($AM$3,0,0,'Données projet'!$E$10+1,1))-AVERAGE(OFFSET($H$3,0,0,'Données projet'!$E$10+1,1))</f>
        <v>400.48230125343474</v>
      </c>
      <c r="AO136" s="62">
        <f t="shared" si="144"/>
        <v>275.67023303885048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0</v>
      </c>
      <c r="AV136" s="23">
        <f>EXP(-LN(2)/25)*AV135+(1-EXP(-LN(2)/25))/(LN(2)/25)*Calculateur!AQ136*Calculateur!AS136*VLOOKUP('Données projet'!$B$10,Paramètres!$A$1:$I$89,3,0)*0.475*44/12</f>
        <v>0</v>
      </c>
      <c r="AW136" s="23">
        <f>EXP(-LN(2)/2)*AW135+(1-EXP(-LN(2)/2))/(LN(2)/2)*AQ136*AT136*VLOOKUP('Données projet'!$B$10,Paramètres!$A$1:$I$89,3,0)*0.475*44/12</f>
        <v>0</v>
      </c>
      <c r="AX136" s="23">
        <f t="shared" si="114"/>
        <v>0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2.7</v>
      </c>
      <c r="BD136" s="13">
        <f>IF('Données projet'!$A$88&gt;35,BD135+BC136-BL135,IF(A136&lt;'Données projet'!$A$88,$BA$205^A136,IF(A136='Données projet'!$A$88,'Données projet'!$B$88,BD135+BC136-BL135)))</f>
        <v>277.09999999999934</v>
      </c>
      <c r="BE136" s="14">
        <f>BD136*VLOOKUP('Données projet'!$B$11,Paramètres!$A$1:$I$89,3,0)*VLOOKUP('Données projet'!$B$11,Paramètres!$A$1:$I$89,5,0)</f>
        <v>268.01111999999938</v>
      </c>
      <c r="BF136" s="14">
        <f t="shared" si="145"/>
        <v>64.426997301716739</v>
      </c>
      <c r="BG136" s="22">
        <f t="shared" si="115"/>
        <v>578.99638763382234</v>
      </c>
      <c r="BH136" s="62">
        <f t="shared" si="116"/>
        <v>863.38861931415568</v>
      </c>
      <c r="BI136" s="62">
        <f ca="1">AVERAGE(OFFSET($BH$3,0,0,'Données projet'!$E$11+1,1))-AVERAGE(OFFSET($H$3,0,0,'Données projet'!$E$11+1,1))</f>
        <v>496.33873798282525</v>
      </c>
      <c r="BJ136" s="62">
        <f t="shared" si="146"/>
        <v>280.25465074992246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>
        <f>EXP(-LN(2)/35)*BP135+(1-EXP(-LN(2)/35))/(LN(2)/35)*BL136*BM136*VLOOKUP('Données projet'!$B$11,Paramètres!$A$1:$I$89,3,0)*0.475*44/12</f>
        <v>0</v>
      </c>
      <c r="BQ136" s="23">
        <f>EXP(-LN(2)/25)*BQ135+(1-EXP(-LN(2)/25))/(LN(2)/25)*Calculateur!BL136*Calculateur!BN136*VLOOKUP('Données projet'!$B$11,Paramètres!$A$1:$I$89,3,0)*0.475*44/12</f>
        <v>0</v>
      </c>
      <c r="BR136" s="23">
        <f>EXP(-LN(2)/2)*BR135+(1-EXP(-LN(2)/2))/(LN(2)/2)*BL136*BO136*VLOOKUP('Données projet'!$B$11,Paramètres!$A$1:$I$89,3,0)*0.475*44/12</f>
        <v>0</v>
      </c>
      <c r="BS136" s="24">
        <f t="shared" si="117"/>
        <v>0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-1.1368683772161603E-13</v>
      </c>
      <c r="BZ136" s="14">
        <f>BY136*VLOOKUP('Données projet'!$B$12,Paramètres!$A$1:$I$89,3,0)*VLOOKUP('Données projet'!$B$12,Paramètres!$A$1:$I$89,5,0)</f>
        <v>-9.9316821433603781E-14</v>
      </c>
      <c r="CA136" s="14" t="e">
        <f t="shared" si="147"/>
        <v>#NUM!</v>
      </c>
      <c r="CB136" s="22" t="e">
        <f t="shared" si="118"/>
        <v>#NUM!</v>
      </c>
      <c r="CC136" s="62" t="e">
        <f t="shared" si="119"/>
        <v>#NUM!</v>
      </c>
      <c r="CD136" s="62">
        <f ca="1">AVERAGE(OFFSET($CC$3,0,0,'Données projet'!$E$12+1,1))-AVERAGE(OFFSET($H$3,0,0,'Données projet'!$E$12+1,1))</f>
        <v>298.56812743477741</v>
      </c>
      <c r="CE136" s="62">
        <f t="shared" si="148"/>
        <v>276.01618888357268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>
        <f>EXP(-LN(2)/35)*CK135+(1-EXP(-LN(2)/35))/(LN(2)/35)*CG136*CH136*VLOOKUP('Données projet'!$B$12,Paramètres!$A$1:$I$89,3,0)*0.475*44/12</f>
        <v>0</v>
      </c>
      <c r="CL136" s="23">
        <f>EXP(-LN(2)/25)*CL135+(1-EXP(-LN(2)/25))/(LN(2)/25)*Calculateur!CG136*Calculateur!CI136*VLOOKUP('Données projet'!$B$12,Paramètres!$A$1:$I$89,3,0)*0.475*44/12</f>
        <v>0</v>
      </c>
      <c r="CM136" s="23">
        <f>EXP(-LN(2)/2)*CM135+(1-EXP(-LN(2)/2))/(LN(2)/2)*CG136*CJ136*VLOOKUP('Données projet'!$B$12,Paramètres!$A$1:$I$89,3,0)*0.475*44/12</f>
        <v>0</v>
      </c>
      <c r="CN136" s="24">
        <f t="shared" si="120"/>
        <v>0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2.2737367544323206E-13</v>
      </c>
      <c r="CU136" s="18">
        <f>CT136*VLOOKUP('Données projet'!$B$13,Paramètres!$A$1:$I$89,3,0)*VLOOKUP('Données projet'!$B$13,Paramètres!$A$1:$I$89,5,0)</f>
        <v>1.5252226148732008E-13</v>
      </c>
      <c r="CV136" s="14">
        <f t="shared" si="149"/>
        <v>2.1814502464536512E-12</v>
      </c>
      <c r="CW136" s="22">
        <f t="shared" si="121"/>
        <v>4.0650021179971913E-12</v>
      </c>
      <c r="CX136" s="62">
        <f t="shared" si="122"/>
        <v>284.39223168033749</v>
      </c>
      <c r="CY136" s="62">
        <f ca="1">AVERAGE(OFFSET($CX$3,0,0,'Données projet'!$E$13+1,1))-AVERAGE(OFFSET($H$3,0,0,'Données projet'!$E$13+1,1))</f>
        <v>346.82725381974132</v>
      </c>
      <c r="CZ136" s="62">
        <f t="shared" si="150"/>
        <v>254.09787950201044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>
        <f>EXP(-LN(2)/35)*DF135+(1-EXP(-LN(2)/35))/(LN(2)/35)*DB136*DC136*VLOOKUP('Données projet'!$B$13,Paramètres!$A$1:$I$89,3,0)*0.475*44/12</f>
        <v>0</v>
      </c>
      <c r="DG136" s="23">
        <f>EXP(-LN(2)/25)*DG135+(1-EXP(-LN(2)/25))/(LN(2)/25)*Calculateur!DB136*Calculateur!DD136*VLOOKUP('Données projet'!$B$13,Paramètres!$A$1:$I$89,3,0)*0.475*44/12</f>
        <v>0</v>
      </c>
      <c r="DH136" s="23">
        <f>EXP(-LN(2)/2)*DH135+(1-EXP(-LN(2)/2))/(LN(2)/2)*DB136*DE136*VLOOKUP('Données projet'!$B$13,Paramètres!$A$1:$I$89,3,0)*0.475*44/12</f>
        <v>0</v>
      </c>
      <c r="DI136" s="24">
        <f t="shared" si="123"/>
        <v>0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5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2">
        <f t="shared" si="140"/>
        <v>0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18.333333333333332</v>
      </c>
      <c r="H137" s="70">
        <f t="shared" si="110"/>
        <v>183.33333333333334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2.7</v>
      </c>
      <c r="N137" s="14">
        <f>IF('Données projet'!$A$36&gt;35,N136+M137-V136,IF(A137&lt;'Données projet'!$A$36,$K$205^A137,IF(A137='Données projet'!$A$36,'Données projet'!$B$36,N136+M137-V136)))</f>
        <v>279.79999999999933</v>
      </c>
      <c r="O137" s="14">
        <f>N137*VLOOKUP('Données projet'!$B$9,Paramètres!$A$1:$I$89,3,0)*VLOOKUP('Données projet'!$B$9,Paramètres!$A$1:$I$89,5,0)</f>
        <v>253.16303999999937</v>
      </c>
      <c r="P137" s="14">
        <f t="shared" si="141"/>
        <v>61.262761848634923</v>
      </c>
      <c r="Q137" s="22">
        <f t="shared" si="108"/>
        <v>547.62493821970475</v>
      </c>
      <c r="R137" s="62">
        <f t="shared" si="109"/>
        <v>832.17227802440902</v>
      </c>
      <c r="S137" s="62">
        <f ca="1">AVERAGE(OFFSET($R$3,0,0,'Données projet'!$E$9+1,1))-AVERAGE(OFFSET($H$3,0,0,'Données projet'!$E$9+1,1))</f>
        <v>469.67944008675863</v>
      </c>
      <c r="T137" s="62">
        <f t="shared" si="142"/>
        <v>266.11908070867173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0</v>
      </c>
      <c r="AA137" s="23">
        <f>EXP(-LN(2)/25)*AA136+(1-EXP(-LN(2)/25))/(LN(2)/25)*Calculateur!V137*Calculateur!X137*VLOOKUP('Données projet'!$B$9,Paramètres!$A$1:$I$89,3,0)*0.475*44/12</f>
        <v>0</v>
      </c>
      <c r="AB137" s="23">
        <f>EXP(-LN(2)/2)*AB136+(1-EXP(-LN(2)/2))/(LN(2)/2)*V137*Y137*VLOOKUP('Données projet'!$B$9,Paramètres!$A$1:$I$89,3,0)*0.475*44/12</f>
        <v>0</v>
      </c>
      <c r="AC137" s="24">
        <f t="shared" si="111"/>
        <v>0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0</v>
      </c>
      <c r="AJ137" s="14">
        <f>AI137*VLOOKUP('Données projet'!$B$10,Paramètres!$A$1:$I$89,3,0)*VLOOKUP('Données projet'!$B$10,Paramètres!$A$1:$I$89,5,0)</f>
        <v>0</v>
      </c>
      <c r="AK137" s="14" t="e">
        <f t="shared" si="143"/>
        <v>#NUM!</v>
      </c>
      <c r="AL137" s="22" t="e">
        <f t="shared" si="112"/>
        <v>#NUM!</v>
      </c>
      <c r="AM137" s="62" t="e">
        <f t="shared" si="113"/>
        <v>#NUM!</v>
      </c>
      <c r="AN137" s="62">
        <f ca="1">AVERAGE(OFFSET($AM$3,0,0,'Données projet'!$E$10+1,1))-AVERAGE(OFFSET($H$3,0,0,'Données projet'!$E$10+1,1))</f>
        <v>400.48230125343474</v>
      </c>
      <c r="AO137" s="62">
        <f t="shared" si="144"/>
        <v>275.67023303885048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0</v>
      </c>
      <c r="AV137" s="23">
        <f>EXP(-LN(2)/25)*AV136+(1-EXP(-LN(2)/25))/(LN(2)/25)*Calculateur!AQ137*Calculateur!AS137*VLOOKUP('Données projet'!$B$10,Paramètres!$A$1:$I$89,3,0)*0.475*44/12</f>
        <v>0</v>
      </c>
      <c r="AW137" s="23">
        <f>EXP(-LN(2)/2)*AW136+(1-EXP(-LN(2)/2))/(LN(2)/2)*AQ137*AT137*VLOOKUP('Données projet'!$B$10,Paramètres!$A$1:$I$89,3,0)*0.475*44/12</f>
        <v>0</v>
      </c>
      <c r="AX137" s="23">
        <f t="shared" si="114"/>
        <v>0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2.7</v>
      </c>
      <c r="BD137" s="13">
        <f>IF('Données projet'!$A$88&gt;35,BD136+BC137-BL136,IF(A137&lt;'Données projet'!$A$88,$BA$205^A137,IF(A137='Données projet'!$A$88,'Données projet'!$B$88,BD136+BC137-BL136)))</f>
        <v>279.79999999999933</v>
      </c>
      <c r="BE137" s="14">
        <f>BD137*VLOOKUP('Données projet'!$B$11,Paramètres!$A$1:$I$89,3,0)*VLOOKUP('Données projet'!$B$11,Paramètres!$A$1:$I$89,5,0)</f>
        <v>270.62255999999934</v>
      </c>
      <c r="BF137" s="14">
        <f t="shared" si="145"/>
        <v>64.981374516987898</v>
      </c>
      <c r="BG137" s="22">
        <f t="shared" si="115"/>
        <v>584.51018595041944</v>
      </c>
      <c r="BH137" s="62">
        <f t="shared" si="116"/>
        <v>869.05752575512372</v>
      </c>
      <c r="BI137" s="62">
        <f ca="1">AVERAGE(OFFSET($BH$3,0,0,'Données projet'!$E$11+1,1))-AVERAGE(OFFSET($H$3,0,0,'Données projet'!$E$11+1,1))</f>
        <v>496.33873798282525</v>
      </c>
      <c r="BJ137" s="62">
        <f t="shared" si="146"/>
        <v>280.25465074992246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>
        <f>EXP(-LN(2)/35)*BP136+(1-EXP(-LN(2)/35))/(LN(2)/35)*BL137*BM137*VLOOKUP('Données projet'!$B$11,Paramètres!$A$1:$I$89,3,0)*0.475*44/12</f>
        <v>0</v>
      </c>
      <c r="BQ137" s="23">
        <f>EXP(-LN(2)/25)*BQ136+(1-EXP(-LN(2)/25))/(LN(2)/25)*Calculateur!BL137*Calculateur!BN137*VLOOKUP('Données projet'!$B$11,Paramètres!$A$1:$I$89,3,0)*0.475*44/12</f>
        <v>0</v>
      </c>
      <c r="BR137" s="23">
        <f>EXP(-LN(2)/2)*BR136+(1-EXP(-LN(2)/2))/(LN(2)/2)*BL137*BO137*VLOOKUP('Données projet'!$B$11,Paramètres!$A$1:$I$89,3,0)*0.475*44/12</f>
        <v>0</v>
      </c>
      <c r="BS137" s="24">
        <f t="shared" si="117"/>
        <v>0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-1.1368683772161603E-13</v>
      </c>
      <c r="BZ137" s="14">
        <f>BY137*VLOOKUP('Données projet'!$B$12,Paramètres!$A$1:$I$89,3,0)*VLOOKUP('Données projet'!$B$12,Paramètres!$A$1:$I$89,5,0)</f>
        <v>-9.9316821433603781E-14</v>
      </c>
      <c r="CA137" s="14" t="e">
        <f t="shared" si="147"/>
        <v>#NUM!</v>
      </c>
      <c r="CB137" s="22" t="e">
        <f t="shared" si="118"/>
        <v>#NUM!</v>
      </c>
      <c r="CC137" s="62" t="e">
        <f t="shared" si="119"/>
        <v>#NUM!</v>
      </c>
      <c r="CD137" s="62">
        <f ca="1">AVERAGE(OFFSET($CC$3,0,0,'Données projet'!$E$12+1,1))-AVERAGE(OFFSET($H$3,0,0,'Données projet'!$E$12+1,1))</f>
        <v>298.56812743477741</v>
      </c>
      <c r="CE137" s="62">
        <f t="shared" si="148"/>
        <v>276.01618888357268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>
        <f>EXP(-LN(2)/35)*CK136+(1-EXP(-LN(2)/35))/(LN(2)/35)*CG137*CH137*VLOOKUP('Données projet'!$B$12,Paramètres!$A$1:$I$89,3,0)*0.475*44/12</f>
        <v>0</v>
      </c>
      <c r="CL137" s="23">
        <f>EXP(-LN(2)/25)*CL136+(1-EXP(-LN(2)/25))/(LN(2)/25)*Calculateur!CG137*Calculateur!CI137*VLOOKUP('Données projet'!$B$12,Paramètres!$A$1:$I$89,3,0)*0.475*44/12</f>
        <v>0</v>
      </c>
      <c r="CM137" s="23">
        <f>EXP(-LN(2)/2)*CM136+(1-EXP(-LN(2)/2))/(LN(2)/2)*CG137*CJ137*VLOOKUP('Données projet'!$B$12,Paramètres!$A$1:$I$89,3,0)*0.475*44/12</f>
        <v>0</v>
      </c>
      <c r="CN137" s="24">
        <f t="shared" si="120"/>
        <v>0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2.2737367544323206E-13</v>
      </c>
      <c r="CU137" s="18">
        <f>CT137*VLOOKUP('Données projet'!$B$13,Paramètres!$A$1:$I$89,3,0)*VLOOKUP('Données projet'!$B$13,Paramètres!$A$1:$I$89,5,0)</f>
        <v>1.5252226148732008E-13</v>
      </c>
      <c r="CV137" s="14">
        <f t="shared" si="149"/>
        <v>2.1814502464536512E-12</v>
      </c>
      <c r="CW137" s="22">
        <f t="shared" si="121"/>
        <v>4.0650021179971913E-12</v>
      </c>
      <c r="CX137" s="62">
        <f t="shared" si="122"/>
        <v>284.54733980470837</v>
      </c>
      <c r="CY137" s="62">
        <f ca="1">AVERAGE(OFFSET($CX$3,0,0,'Données projet'!$E$13+1,1))-AVERAGE(OFFSET($H$3,0,0,'Données projet'!$E$13+1,1))</f>
        <v>346.82725381974132</v>
      </c>
      <c r="CZ137" s="62">
        <f t="shared" si="150"/>
        <v>254.09787950201044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>
        <f>EXP(-LN(2)/35)*DF136+(1-EXP(-LN(2)/35))/(LN(2)/35)*DB137*DC137*VLOOKUP('Données projet'!$B$13,Paramètres!$A$1:$I$89,3,0)*0.475*44/12</f>
        <v>0</v>
      </c>
      <c r="DG137" s="23">
        <f>EXP(-LN(2)/25)*DG136+(1-EXP(-LN(2)/25))/(LN(2)/25)*Calculateur!DB137*Calculateur!DD137*VLOOKUP('Données projet'!$B$13,Paramètres!$A$1:$I$89,3,0)*0.475*44/12</f>
        <v>0</v>
      </c>
      <c r="DH137" s="23">
        <f>EXP(-LN(2)/2)*DH136+(1-EXP(-LN(2)/2))/(LN(2)/2)*DB137*DE137*VLOOKUP('Données projet'!$B$13,Paramètres!$A$1:$I$89,3,0)*0.475*44/12</f>
        <v>0</v>
      </c>
      <c r="DI137" s="24">
        <f t="shared" si="123"/>
        <v>0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5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2">
        <f t="shared" si="140"/>
        <v>0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18.333333333333332</v>
      </c>
      <c r="H138" s="70">
        <f t="shared" si="110"/>
        <v>183.33333333333334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2.7</v>
      </c>
      <c r="N138" s="14">
        <f>IF('Données projet'!$A$36&gt;35,N137+M138-V137,IF(A138&lt;'Données projet'!$A$36,$K$205^A138,IF(A138='Données projet'!$A$36,'Données projet'!$B$36,N137+M138-V137)))</f>
        <v>282.49999999999932</v>
      </c>
      <c r="O138" s="14">
        <f>N138*VLOOKUP('Données projet'!$B$9,Paramètres!$A$1:$I$89,3,0)*VLOOKUP('Données projet'!$B$9,Paramètres!$A$1:$I$89,5,0)</f>
        <v>255.60599999999937</v>
      </c>
      <c r="P138" s="14">
        <f t="shared" si="141"/>
        <v>61.784827631732192</v>
      </c>
      <c r="Q138" s="22">
        <f t="shared" si="108"/>
        <v>552.78902479193243</v>
      </c>
      <c r="R138" s="62">
        <f t="shared" si="109"/>
        <v>837.48878194181952</v>
      </c>
      <c r="S138" s="62">
        <f ca="1">AVERAGE(OFFSET($R$3,0,0,'Données projet'!$E$9+1,1))-AVERAGE(OFFSET($H$3,0,0,'Données projet'!$E$9+1,1))</f>
        <v>469.67944008675863</v>
      </c>
      <c r="T138" s="62">
        <f t="shared" si="142"/>
        <v>266.11908070867173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0</v>
      </c>
      <c r="AA138" s="23">
        <f>EXP(-LN(2)/25)*AA137+(1-EXP(-LN(2)/25))/(LN(2)/25)*Calculateur!V138*Calculateur!X138*VLOOKUP('Données projet'!$B$9,Paramètres!$A$1:$I$89,3,0)*0.475*44/12</f>
        <v>0</v>
      </c>
      <c r="AB138" s="23">
        <f>EXP(-LN(2)/2)*AB137+(1-EXP(-LN(2)/2))/(LN(2)/2)*V138*Y138*VLOOKUP('Données projet'!$B$9,Paramètres!$A$1:$I$89,3,0)*0.475*44/12</f>
        <v>0</v>
      </c>
      <c r="AC138" s="24">
        <f t="shared" si="111"/>
        <v>0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0</v>
      </c>
      <c r="AJ138" s="14">
        <f>AI138*VLOOKUP('Données projet'!$B$10,Paramètres!$A$1:$I$89,3,0)*VLOOKUP('Données projet'!$B$10,Paramètres!$A$1:$I$89,5,0)</f>
        <v>0</v>
      </c>
      <c r="AK138" s="14" t="e">
        <f t="shared" si="143"/>
        <v>#NUM!</v>
      </c>
      <c r="AL138" s="22" t="e">
        <f t="shared" si="112"/>
        <v>#NUM!</v>
      </c>
      <c r="AM138" s="62" t="e">
        <f t="shared" si="113"/>
        <v>#NUM!</v>
      </c>
      <c r="AN138" s="62">
        <f ca="1">AVERAGE(OFFSET($AM$3,0,0,'Données projet'!$E$10+1,1))-AVERAGE(OFFSET($H$3,0,0,'Données projet'!$E$10+1,1))</f>
        <v>400.48230125343474</v>
      </c>
      <c r="AO138" s="62">
        <f t="shared" si="144"/>
        <v>275.67023303885048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0</v>
      </c>
      <c r="AV138" s="23">
        <f>EXP(-LN(2)/25)*AV137+(1-EXP(-LN(2)/25))/(LN(2)/25)*Calculateur!AQ138*Calculateur!AS138*VLOOKUP('Données projet'!$B$10,Paramètres!$A$1:$I$89,3,0)*0.475*44/12</f>
        <v>0</v>
      </c>
      <c r="AW138" s="23">
        <f>EXP(-LN(2)/2)*AW137+(1-EXP(-LN(2)/2))/(LN(2)/2)*AQ138*AT138*VLOOKUP('Données projet'!$B$10,Paramètres!$A$1:$I$89,3,0)*0.475*44/12</f>
        <v>0</v>
      </c>
      <c r="AX138" s="23">
        <f t="shared" si="114"/>
        <v>0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2.7</v>
      </c>
      <c r="BD138" s="13">
        <f>IF('Données projet'!$A$88&gt;35,BD137+BC138-BL137,IF(A138&lt;'Données projet'!$A$88,$BA$205^A138,IF(A138='Données projet'!$A$88,'Données projet'!$B$88,BD137+BC138-BL137)))</f>
        <v>282.49999999999932</v>
      </c>
      <c r="BE138" s="14">
        <f>BD138*VLOOKUP('Données projet'!$B$11,Paramètres!$A$1:$I$89,3,0)*VLOOKUP('Données projet'!$B$11,Paramètres!$A$1:$I$89,5,0)</f>
        <v>273.23399999999936</v>
      </c>
      <c r="BF138" s="14">
        <f t="shared" si="145"/>
        <v>65.535129378020301</v>
      </c>
      <c r="BG138" s="22">
        <f t="shared" si="115"/>
        <v>590.0229003333842</v>
      </c>
      <c r="BH138" s="62">
        <f t="shared" si="116"/>
        <v>874.7226574832714</v>
      </c>
      <c r="BI138" s="62">
        <f ca="1">AVERAGE(OFFSET($BH$3,0,0,'Données projet'!$E$11+1,1))-AVERAGE(OFFSET($H$3,0,0,'Données projet'!$E$11+1,1))</f>
        <v>496.33873798282525</v>
      </c>
      <c r="BJ138" s="62">
        <f t="shared" si="146"/>
        <v>280.25465074992246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>
        <f>EXP(-LN(2)/35)*BP137+(1-EXP(-LN(2)/35))/(LN(2)/35)*BL138*BM138*VLOOKUP('Données projet'!$B$11,Paramètres!$A$1:$I$89,3,0)*0.475*44/12</f>
        <v>0</v>
      </c>
      <c r="BQ138" s="23">
        <f>EXP(-LN(2)/25)*BQ137+(1-EXP(-LN(2)/25))/(LN(2)/25)*Calculateur!BL138*Calculateur!BN138*VLOOKUP('Données projet'!$B$11,Paramètres!$A$1:$I$89,3,0)*0.475*44/12</f>
        <v>0</v>
      </c>
      <c r="BR138" s="23">
        <f>EXP(-LN(2)/2)*BR137+(1-EXP(-LN(2)/2))/(LN(2)/2)*BL138*BO138*VLOOKUP('Données projet'!$B$11,Paramètres!$A$1:$I$89,3,0)*0.475*44/12</f>
        <v>0</v>
      </c>
      <c r="BS138" s="24">
        <f t="shared" si="117"/>
        <v>0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-1.1368683772161603E-13</v>
      </c>
      <c r="BZ138" s="14">
        <f>BY138*VLOOKUP('Données projet'!$B$12,Paramètres!$A$1:$I$89,3,0)*VLOOKUP('Données projet'!$B$12,Paramètres!$A$1:$I$89,5,0)</f>
        <v>-9.9316821433603781E-14</v>
      </c>
      <c r="CA138" s="14" t="e">
        <f t="shared" si="147"/>
        <v>#NUM!</v>
      </c>
      <c r="CB138" s="22" t="e">
        <f t="shared" si="118"/>
        <v>#NUM!</v>
      </c>
      <c r="CC138" s="62" t="e">
        <f t="shared" si="119"/>
        <v>#NUM!</v>
      </c>
      <c r="CD138" s="62">
        <f ca="1">AVERAGE(OFFSET($CC$3,0,0,'Données projet'!$E$12+1,1))-AVERAGE(OFFSET($H$3,0,0,'Données projet'!$E$12+1,1))</f>
        <v>298.56812743477741</v>
      </c>
      <c r="CE138" s="62">
        <f t="shared" si="148"/>
        <v>276.01618888357268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>
        <f>EXP(-LN(2)/35)*CK137+(1-EXP(-LN(2)/35))/(LN(2)/35)*CG138*CH138*VLOOKUP('Données projet'!$B$12,Paramètres!$A$1:$I$89,3,0)*0.475*44/12</f>
        <v>0</v>
      </c>
      <c r="CL138" s="23">
        <f>EXP(-LN(2)/25)*CL137+(1-EXP(-LN(2)/25))/(LN(2)/25)*Calculateur!CG138*Calculateur!CI138*VLOOKUP('Données projet'!$B$12,Paramètres!$A$1:$I$89,3,0)*0.475*44/12</f>
        <v>0</v>
      </c>
      <c r="CM138" s="23">
        <f>EXP(-LN(2)/2)*CM137+(1-EXP(-LN(2)/2))/(LN(2)/2)*CG138*CJ138*VLOOKUP('Données projet'!$B$12,Paramètres!$A$1:$I$89,3,0)*0.475*44/12</f>
        <v>0</v>
      </c>
      <c r="CN138" s="24">
        <f t="shared" si="120"/>
        <v>0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2.2737367544323206E-13</v>
      </c>
      <c r="CU138" s="18">
        <f>CT138*VLOOKUP('Données projet'!$B$13,Paramètres!$A$1:$I$89,3,0)*VLOOKUP('Données projet'!$B$13,Paramètres!$A$1:$I$89,5,0)</f>
        <v>1.5252226148732008E-13</v>
      </c>
      <c r="CV138" s="14">
        <f t="shared" si="149"/>
        <v>2.1814502464536512E-12</v>
      </c>
      <c r="CW138" s="22">
        <f t="shared" si="121"/>
        <v>4.0650021179971913E-12</v>
      </c>
      <c r="CX138" s="62">
        <f t="shared" si="122"/>
        <v>284.69975714989124</v>
      </c>
      <c r="CY138" s="62">
        <f ca="1">AVERAGE(OFFSET($CX$3,0,0,'Données projet'!$E$13+1,1))-AVERAGE(OFFSET($H$3,0,0,'Données projet'!$E$13+1,1))</f>
        <v>346.82725381974132</v>
      </c>
      <c r="CZ138" s="62">
        <f t="shared" si="150"/>
        <v>254.09787950201044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>
        <f>EXP(-LN(2)/35)*DF137+(1-EXP(-LN(2)/35))/(LN(2)/35)*DB138*DC138*VLOOKUP('Données projet'!$B$13,Paramètres!$A$1:$I$89,3,0)*0.475*44/12</f>
        <v>0</v>
      </c>
      <c r="DG138" s="23">
        <f>EXP(-LN(2)/25)*DG137+(1-EXP(-LN(2)/25))/(LN(2)/25)*Calculateur!DB138*Calculateur!DD138*VLOOKUP('Données projet'!$B$13,Paramètres!$A$1:$I$89,3,0)*0.475*44/12</f>
        <v>0</v>
      </c>
      <c r="DH138" s="23">
        <f>EXP(-LN(2)/2)*DH137+(1-EXP(-LN(2)/2))/(LN(2)/2)*DB138*DE138*VLOOKUP('Données projet'!$B$13,Paramètres!$A$1:$I$89,3,0)*0.475*44/12</f>
        <v>0</v>
      </c>
      <c r="DI138" s="24">
        <f t="shared" si="123"/>
        <v>0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5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2">
        <f t="shared" si="140"/>
        <v>0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18.333333333333332</v>
      </c>
      <c r="H139" s="70">
        <f t="shared" si="110"/>
        <v>183.33333333333334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2.7</v>
      </c>
      <c r="N139" s="14">
        <f>IF('Données projet'!$A$36&gt;35,N138+M139-V138,IF(A139&lt;'Données projet'!$A$36,$K$205^A139,IF(A139='Données projet'!$A$36,'Données projet'!$B$36,N138+M139-V138)))</f>
        <v>285.19999999999931</v>
      </c>
      <c r="O139" s="14">
        <f>N139*VLOOKUP('Données projet'!$B$9,Paramètres!$A$1:$I$89,3,0)*VLOOKUP('Données projet'!$B$9,Paramètres!$A$1:$I$89,5,0)</f>
        <v>258.0489599999994</v>
      </c>
      <c r="P139" s="14">
        <f t="shared" si="141"/>
        <v>62.306312932555649</v>
      </c>
      <c r="Q139" s="22">
        <f t="shared" si="108"/>
        <v>557.95210035753337</v>
      </c>
      <c r="R139" s="62">
        <f t="shared" si="109"/>
        <v>842.80163075241853</v>
      </c>
      <c r="S139" s="62">
        <f ca="1">AVERAGE(OFFSET($R$3,0,0,'Données projet'!$E$9+1,1))-AVERAGE(OFFSET($H$3,0,0,'Données projet'!$E$9+1,1))</f>
        <v>469.67944008675863</v>
      </c>
      <c r="T139" s="62">
        <f t="shared" si="142"/>
        <v>266.11908070867173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0</v>
      </c>
      <c r="AA139" s="23">
        <f>EXP(-LN(2)/25)*AA138+(1-EXP(-LN(2)/25))/(LN(2)/25)*Calculateur!V139*Calculateur!X139*VLOOKUP('Données projet'!$B$9,Paramètres!$A$1:$I$89,3,0)*0.475*44/12</f>
        <v>0</v>
      </c>
      <c r="AB139" s="23">
        <f>EXP(-LN(2)/2)*AB138+(1-EXP(-LN(2)/2))/(LN(2)/2)*V139*Y139*VLOOKUP('Données projet'!$B$9,Paramètres!$A$1:$I$89,3,0)*0.475*44/12</f>
        <v>0</v>
      </c>
      <c r="AC139" s="24">
        <f t="shared" si="111"/>
        <v>0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0</v>
      </c>
      <c r="AJ139" s="14">
        <f>AI139*VLOOKUP('Données projet'!$B$10,Paramètres!$A$1:$I$89,3,0)*VLOOKUP('Données projet'!$B$10,Paramètres!$A$1:$I$89,5,0)</f>
        <v>0</v>
      </c>
      <c r="AK139" s="14" t="e">
        <f t="shared" si="143"/>
        <v>#NUM!</v>
      </c>
      <c r="AL139" s="22" t="e">
        <f t="shared" si="112"/>
        <v>#NUM!</v>
      </c>
      <c r="AM139" s="62" t="e">
        <f t="shared" si="113"/>
        <v>#NUM!</v>
      </c>
      <c r="AN139" s="62">
        <f ca="1">AVERAGE(OFFSET($AM$3,0,0,'Données projet'!$E$10+1,1))-AVERAGE(OFFSET($H$3,0,0,'Données projet'!$E$10+1,1))</f>
        <v>400.48230125343474</v>
      </c>
      <c r="AO139" s="62">
        <f t="shared" si="144"/>
        <v>275.67023303885048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0</v>
      </c>
      <c r="AV139" s="23">
        <f>EXP(-LN(2)/25)*AV138+(1-EXP(-LN(2)/25))/(LN(2)/25)*Calculateur!AQ139*Calculateur!AS139*VLOOKUP('Données projet'!$B$10,Paramètres!$A$1:$I$89,3,0)*0.475*44/12</f>
        <v>0</v>
      </c>
      <c r="AW139" s="23">
        <f>EXP(-LN(2)/2)*AW138+(1-EXP(-LN(2)/2))/(LN(2)/2)*AQ139*AT139*VLOOKUP('Données projet'!$B$10,Paramètres!$A$1:$I$89,3,0)*0.475*44/12</f>
        <v>0</v>
      </c>
      <c r="AX139" s="23">
        <f t="shared" si="114"/>
        <v>0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2.7</v>
      </c>
      <c r="BD139" s="13">
        <f>IF('Données projet'!$A$88&gt;35,BD138+BC139-BL138,IF(A139&lt;'Données projet'!$A$88,$BA$205^A139,IF(A139='Données projet'!$A$88,'Données projet'!$B$88,BD138+BC139-BL138)))</f>
        <v>285.19999999999931</v>
      </c>
      <c r="BE139" s="14">
        <f>BD139*VLOOKUP('Données projet'!$B$11,Paramètres!$A$1:$I$89,3,0)*VLOOKUP('Données projet'!$B$11,Paramètres!$A$1:$I$89,5,0)</f>
        <v>275.84543999999931</v>
      </c>
      <c r="BF139" s="14">
        <f t="shared" si="145"/>
        <v>66.088268521855113</v>
      </c>
      <c r="BG139" s="22">
        <f t="shared" si="115"/>
        <v>595.53454234222977</v>
      </c>
      <c r="BH139" s="62">
        <f t="shared" si="116"/>
        <v>880.38407273711505</v>
      </c>
      <c r="BI139" s="62">
        <f ca="1">AVERAGE(OFFSET($BH$3,0,0,'Données projet'!$E$11+1,1))-AVERAGE(OFFSET($H$3,0,0,'Données projet'!$E$11+1,1))</f>
        <v>496.33873798282525</v>
      </c>
      <c r="BJ139" s="62">
        <f t="shared" si="146"/>
        <v>280.25465074992246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>
        <f>EXP(-LN(2)/35)*BP138+(1-EXP(-LN(2)/35))/(LN(2)/35)*BL139*BM139*VLOOKUP('Données projet'!$B$11,Paramètres!$A$1:$I$89,3,0)*0.475*44/12</f>
        <v>0</v>
      </c>
      <c r="BQ139" s="23">
        <f>EXP(-LN(2)/25)*BQ138+(1-EXP(-LN(2)/25))/(LN(2)/25)*Calculateur!BL139*Calculateur!BN139*VLOOKUP('Données projet'!$B$11,Paramètres!$A$1:$I$89,3,0)*0.475*44/12</f>
        <v>0</v>
      </c>
      <c r="BR139" s="23">
        <f>EXP(-LN(2)/2)*BR138+(1-EXP(-LN(2)/2))/(LN(2)/2)*BL139*BO139*VLOOKUP('Données projet'!$B$11,Paramètres!$A$1:$I$89,3,0)*0.475*44/12</f>
        <v>0</v>
      </c>
      <c r="BS139" s="24">
        <f t="shared" si="117"/>
        <v>0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-1.1368683772161603E-13</v>
      </c>
      <c r="BZ139" s="14">
        <f>BY139*VLOOKUP('Données projet'!$B$12,Paramètres!$A$1:$I$89,3,0)*VLOOKUP('Données projet'!$B$12,Paramètres!$A$1:$I$89,5,0)</f>
        <v>-9.9316821433603781E-14</v>
      </c>
      <c r="CA139" s="14" t="e">
        <f t="shared" si="147"/>
        <v>#NUM!</v>
      </c>
      <c r="CB139" s="22" t="e">
        <f t="shared" si="118"/>
        <v>#NUM!</v>
      </c>
      <c r="CC139" s="62" t="e">
        <f t="shared" si="119"/>
        <v>#NUM!</v>
      </c>
      <c r="CD139" s="62">
        <f ca="1">AVERAGE(OFFSET($CC$3,0,0,'Données projet'!$E$12+1,1))-AVERAGE(OFFSET($H$3,0,0,'Données projet'!$E$12+1,1))</f>
        <v>298.56812743477741</v>
      </c>
      <c r="CE139" s="62">
        <f t="shared" si="148"/>
        <v>276.01618888357268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>
        <f>EXP(-LN(2)/35)*CK138+(1-EXP(-LN(2)/35))/(LN(2)/35)*CG139*CH139*VLOOKUP('Données projet'!$B$12,Paramètres!$A$1:$I$89,3,0)*0.475*44/12</f>
        <v>0</v>
      </c>
      <c r="CL139" s="23">
        <f>EXP(-LN(2)/25)*CL138+(1-EXP(-LN(2)/25))/(LN(2)/25)*Calculateur!CG139*Calculateur!CI139*VLOOKUP('Données projet'!$B$12,Paramètres!$A$1:$I$89,3,0)*0.475*44/12</f>
        <v>0</v>
      </c>
      <c r="CM139" s="23">
        <f>EXP(-LN(2)/2)*CM138+(1-EXP(-LN(2)/2))/(LN(2)/2)*CG139*CJ139*VLOOKUP('Données projet'!$B$12,Paramètres!$A$1:$I$89,3,0)*0.475*44/12</f>
        <v>0</v>
      </c>
      <c r="CN139" s="24">
        <f t="shared" si="120"/>
        <v>0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2.2737367544323206E-13</v>
      </c>
      <c r="CU139" s="18">
        <f>CT139*VLOOKUP('Données projet'!$B$13,Paramètres!$A$1:$I$89,3,0)*VLOOKUP('Données projet'!$B$13,Paramètres!$A$1:$I$89,5,0)</f>
        <v>1.5252226148732008E-13</v>
      </c>
      <c r="CV139" s="14">
        <f t="shared" si="149"/>
        <v>2.1814502464536512E-12</v>
      </c>
      <c r="CW139" s="22">
        <f t="shared" si="121"/>
        <v>4.0650021179971913E-12</v>
      </c>
      <c r="CX139" s="62">
        <f t="shared" si="122"/>
        <v>284.84953039488931</v>
      </c>
      <c r="CY139" s="62">
        <f ca="1">AVERAGE(OFFSET($CX$3,0,0,'Données projet'!$E$13+1,1))-AVERAGE(OFFSET($H$3,0,0,'Données projet'!$E$13+1,1))</f>
        <v>346.82725381974132</v>
      </c>
      <c r="CZ139" s="62">
        <f t="shared" si="150"/>
        <v>254.09787950201044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>
        <f>EXP(-LN(2)/35)*DF138+(1-EXP(-LN(2)/35))/(LN(2)/35)*DB139*DC139*VLOOKUP('Données projet'!$B$13,Paramètres!$A$1:$I$89,3,0)*0.475*44/12</f>
        <v>0</v>
      </c>
      <c r="DG139" s="23">
        <f>EXP(-LN(2)/25)*DG138+(1-EXP(-LN(2)/25))/(LN(2)/25)*Calculateur!DB139*Calculateur!DD139*VLOOKUP('Données projet'!$B$13,Paramètres!$A$1:$I$89,3,0)*0.475*44/12</f>
        <v>0</v>
      </c>
      <c r="DH139" s="23">
        <f>EXP(-LN(2)/2)*DH138+(1-EXP(-LN(2)/2))/(LN(2)/2)*DB139*DE139*VLOOKUP('Données projet'!$B$13,Paramètres!$A$1:$I$89,3,0)*0.475*44/12</f>
        <v>0</v>
      </c>
      <c r="DI139" s="24">
        <f t="shared" si="123"/>
        <v>0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5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2">
        <f t="shared" si="140"/>
        <v>0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18.333333333333332</v>
      </c>
      <c r="H140" s="70">
        <f t="shared" si="110"/>
        <v>183.33333333333334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2.7</v>
      </c>
      <c r="N140" s="14">
        <f>IF('Données projet'!$A$36&gt;35,N139+M140-V139,IF(A140&lt;'Données projet'!$A$36,$K$205^A140,IF(A140='Données projet'!$A$36,'Données projet'!$B$36,N139+M140-V139)))</f>
        <v>287.8999999999993</v>
      </c>
      <c r="O140" s="14">
        <f>N140*VLOOKUP('Données projet'!$B$9,Paramètres!$A$1:$I$89,3,0)*VLOOKUP('Données projet'!$B$9,Paramètres!$A$1:$I$89,5,0)</f>
        <v>260.49191999999937</v>
      </c>
      <c r="P140" s="14">
        <f t="shared" si="141"/>
        <v>62.827223883029681</v>
      </c>
      <c r="Q140" s="22">
        <f t="shared" si="108"/>
        <v>563.11417559627546</v>
      </c>
      <c r="R140" s="62">
        <f t="shared" si="109"/>
        <v>848.11088100520078</v>
      </c>
      <c r="S140" s="62">
        <f ca="1">AVERAGE(OFFSET($R$3,0,0,'Données projet'!$E$9+1,1))-AVERAGE(OFFSET($H$3,0,0,'Données projet'!$E$9+1,1))</f>
        <v>469.67944008675863</v>
      </c>
      <c r="T140" s="62">
        <f t="shared" si="142"/>
        <v>266.11908070867173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0</v>
      </c>
      <c r="AA140" s="23">
        <f>EXP(-LN(2)/25)*AA139+(1-EXP(-LN(2)/25))/(LN(2)/25)*Calculateur!V140*Calculateur!X140*VLOOKUP('Données projet'!$B$9,Paramètres!$A$1:$I$89,3,0)*0.475*44/12</f>
        <v>0</v>
      </c>
      <c r="AB140" s="23">
        <f>EXP(-LN(2)/2)*AB139+(1-EXP(-LN(2)/2))/(LN(2)/2)*V140*Y140*VLOOKUP('Données projet'!$B$9,Paramètres!$A$1:$I$89,3,0)*0.475*44/12</f>
        <v>0</v>
      </c>
      <c r="AC140" s="24">
        <f t="shared" si="111"/>
        <v>0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0</v>
      </c>
      <c r="AJ140" s="14">
        <f>AI140*VLOOKUP('Données projet'!$B$10,Paramètres!$A$1:$I$89,3,0)*VLOOKUP('Données projet'!$B$10,Paramètres!$A$1:$I$89,5,0)</f>
        <v>0</v>
      </c>
      <c r="AK140" s="14" t="e">
        <f t="shared" si="143"/>
        <v>#NUM!</v>
      </c>
      <c r="AL140" s="22" t="e">
        <f t="shared" si="112"/>
        <v>#NUM!</v>
      </c>
      <c r="AM140" s="62" t="e">
        <f t="shared" si="113"/>
        <v>#NUM!</v>
      </c>
      <c r="AN140" s="62">
        <f ca="1">AVERAGE(OFFSET($AM$3,0,0,'Données projet'!$E$10+1,1))-AVERAGE(OFFSET($H$3,0,0,'Données projet'!$E$10+1,1))</f>
        <v>400.48230125343474</v>
      </c>
      <c r="AO140" s="62">
        <f t="shared" si="144"/>
        <v>275.67023303885048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0</v>
      </c>
      <c r="AV140" s="23">
        <f>EXP(-LN(2)/25)*AV139+(1-EXP(-LN(2)/25))/(LN(2)/25)*Calculateur!AQ140*Calculateur!AS140*VLOOKUP('Données projet'!$B$10,Paramètres!$A$1:$I$89,3,0)*0.475*44/12</f>
        <v>0</v>
      </c>
      <c r="AW140" s="23">
        <f>EXP(-LN(2)/2)*AW139+(1-EXP(-LN(2)/2))/(LN(2)/2)*AQ140*AT140*VLOOKUP('Données projet'!$B$10,Paramètres!$A$1:$I$89,3,0)*0.475*44/12</f>
        <v>0</v>
      </c>
      <c r="AX140" s="23">
        <f t="shared" si="114"/>
        <v>0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2.7</v>
      </c>
      <c r="BD140" s="13">
        <f>IF('Données projet'!$A$88&gt;35,BD139+BC140-BL139,IF(A140&lt;'Données projet'!$A$88,$BA$205^A140,IF(A140='Données projet'!$A$88,'Données projet'!$B$88,BD139+BC140-BL139)))</f>
        <v>287.8999999999993</v>
      </c>
      <c r="BE140" s="14">
        <f>BD140*VLOOKUP('Données projet'!$B$11,Paramètres!$A$1:$I$89,3,0)*VLOOKUP('Données projet'!$B$11,Paramètres!$A$1:$I$89,5,0)</f>
        <v>278.45687999999933</v>
      </c>
      <c r="BF140" s="14">
        <f t="shared" si="145"/>
        <v>66.640798452620999</v>
      </c>
      <c r="BG140" s="22">
        <f t="shared" si="115"/>
        <v>601.04512330498039</v>
      </c>
      <c r="BH140" s="62">
        <f t="shared" si="116"/>
        <v>886.04182871390572</v>
      </c>
      <c r="BI140" s="62">
        <f ca="1">AVERAGE(OFFSET($BH$3,0,0,'Données projet'!$E$11+1,1))-AVERAGE(OFFSET($H$3,0,0,'Données projet'!$E$11+1,1))</f>
        <v>496.33873798282525</v>
      </c>
      <c r="BJ140" s="62">
        <f t="shared" si="146"/>
        <v>280.25465074992246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>
        <f>EXP(-LN(2)/35)*BP139+(1-EXP(-LN(2)/35))/(LN(2)/35)*BL140*BM140*VLOOKUP('Données projet'!$B$11,Paramètres!$A$1:$I$89,3,0)*0.475*44/12</f>
        <v>0</v>
      </c>
      <c r="BQ140" s="23">
        <f>EXP(-LN(2)/25)*BQ139+(1-EXP(-LN(2)/25))/(LN(2)/25)*Calculateur!BL140*Calculateur!BN140*VLOOKUP('Données projet'!$B$11,Paramètres!$A$1:$I$89,3,0)*0.475*44/12</f>
        <v>0</v>
      </c>
      <c r="BR140" s="23">
        <f>EXP(-LN(2)/2)*BR139+(1-EXP(-LN(2)/2))/(LN(2)/2)*BL140*BO140*VLOOKUP('Données projet'!$B$11,Paramètres!$A$1:$I$89,3,0)*0.475*44/12</f>
        <v>0</v>
      </c>
      <c r="BS140" s="24">
        <f t="shared" si="117"/>
        <v>0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-1.1368683772161603E-13</v>
      </c>
      <c r="BZ140" s="14">
        <f>BY140*VLOOKUP('Données projet'!$B$12,Paramètres!$A$1:$I$89,3,0)*VLOOKUP('Données projet'!$B$12,Paramètres!$A$1:$I$89,5,0)</f>
        <v>-9.9316821433603781E-14</v>
      </c>
      <c r="CA140" s="14" t="e">
        <f t="shared" si="147"/>
        <v>#NUM!</v>
      </c>
      <c r="CB140" s="22" t="e">
        <f t="shared" si="118"/>
        <v>#NUM!</v>
      </c>
      <c r="CC140" s="62" t="e">
        <f t="shared" si="119"/>
        <v>#NUM!</v>
      </c>
      <c r="CD140" s="62">
        <f ca="1">AVERAGE(OFFSET($CC$3,0,0,'Données projet'!$E$12+1,1))-AVERAGE(OFFSET($H$3,0,0,'Données projet'!$E$12+1,1))</f>
        <v>298.56812743477741</v>
      </c>
      <c r="CE140" s="62">
        <f t="shared" si="148"/>
        <v>276.01618888357268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>
        <f>EXP(-LN(2)/35)*CK139+(1-EXP(-LN(2)/35))/(LN(2)/35)*CG140*CH140*VLOOKUP('Données projet'!$B$12,Paramètres!$A$1:$I$89,3,0)*0.475*44/12</f>
        <v>0</v>
      </c>
      <c r="CL140" s="23">
        <f>EXP(-LN(2)/25)*CL139+(1-EXP(-LN(2)/25))/(LN(2)/25)*Calculateur!CG140*Calculateur!CI140*VLOOKUP('Données projet'!$B$12,Paramètres!$A$1:$I$89,3,0)*0.475*44/12</f>
        <v>0</v>
      </c>
      <c r="CM140" s="23">
        <f>EXP(-LN(2)/2)*CM139+(1-EXP(-LN(2)/2))/(LN(2)/2)*CG140*CJ140*VLOOKUP('Données projet'!$B$12,Paramètres!$A$1:$I$89,3,0)*0.475*44/12</f>
        <v>0</v>
      </c>
      <c r="CN140" s="24">
        <f t="shared" si="120"/>
        <v>0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2.2737367544323206E-13</v>
      </c>
      <c r="CU140" s="18">
        <f>CT140*VLOOKUP('Données projet'!$B$13,Paramètres!$A$1:$I$89,3,0)*VLOOKUP('Données projet'!$B$13,Paramètres!$A$1:$I$89,5,0)</f>
        <v>1.5252226148732008E-13</v>
      </c>
      <c r="CV140" s="14">
        <f t="shared" si="149"/>
        <v>2.1814502464536512E-12</v>
      </c>
      <c r="CW140" s="22">
        <f t="shared" si="121"/>
        <v>4.0650021179971913E-12</v>
      </c>
      <c r="CX140" s="62">
        <f t="shared" si="122"/>
        <v>284.99670540892947</v>
      </c>
      <c r="CY140" s="62">
        <f ca="1">AVERAGE(OFFSET($CX$3,0,0,'Données projet'!$E$13+1,1))-AVERAGE(OFFSET($H$3,0,0,'Données projet'!$E$13+1,1))</f>
        <v>346.82725381974132</v>
      </c>
      <c r="CZ140" s="62">
        <f t="shared" si="150"/>
        <v>254.09787950201044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>
        <f>EXP(-LN(2)/35)*DF139+(1-EXP(-LN(2)/35))/(LN(2)/35)*DB140*DC140*VLOOKUP('Données projet'!$B$13,Paramètres!$A$1:$I$89,3,0)*0.475*44/12</f>
        <v>0</v>
      </c>
      <c r="DG140" s="23">
        <f>EXP(-LN(2)/25)*DG139+(1-EXP(-LN(2)/25))/(LN(2)/25)*Calculateur!DB140*Calculateur!DD140*VLOOKUP('Données projet'!$B$13,Paramètres!$A$1:$I$89,3,0)*0.475*44/12</f>
        <v>0</v>
      </c>
      <c r="DH140" s="23">
        <f>EXP(-LN(2)/2)*DH139+(1-EXP(-LN(2)/2))/(LN(2)/2)*DB140*DE140*VLOOKUP('Données projet'!$B$13,Paramètres!$A$1:$I$89,3,0)*0.475*44/12</f>
        <v>0</v>
      </c>
      <c r="DI140" s="24">
        <f t="shared" si="123"/>
        <v>0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5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2">
        <f t="shared" si="140"/>
        <v>0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18.333333333333332</v>
      </c>
      <c r="H141" s="70">
        <f t="shared" si="110"/>
        <v>183.33333333333334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2.7</v>
      </c>
      <c r="N141" s="14">
        <f>IF('Données projet'!$A$36&gt;35,N140+M141-V140,IF(A141&lt;'Données projet'!$A$36,$K$205^A141,IF(A141='Données projet'!$A$36,'Données projet'!$B$36,N140+M141-V140)))</f>
        <v>290.59999999999928</v>
      </c>
      <c r="O141" s="14">
        <f>N141*VLOOKUP('Données projet'!$B$9,Paramètres!$A$1:$I$89,3,0)*VLOOKUP('Données projet'!$B$9,Paramètres!$A$1:$I$89,5,0)</f>
        <v>262.93487999999934</v>
      </c>
      <c r="P141" s="14">
        <f t="shared" si="141"/>
        <v>63.347566493432652</v>
      </c>
      <c r="Q141" s="22">
        <f t="shared" si="108"/>
        <v>568.27526097606062</v>
      </c>
      <c r="R141" s="62">
        <f t="shared" si="109"/>
        <v>853.41658824156661</v>
      </c>
      <c r="S141" s="62">
        <f ca="1">AVERAGE(OFFSET($R$3,0,0,'Données projet'!$E$9+1,1))-AVERAGE(OFFSET($H$3,0,0,'Données projet'!$E$9+1,1))</f>
        <v>469.67944008675863</v>
      </c>
      <c r="T141" s="62">
        <f t="shared" si="142"/>
        <v>266.11908070867173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0</v>
      </c>
      <c r="AA141" s="23">
        <f>EXP(-LN(2)/25)*AA140+(1-EXP(-LN(2)/25))/(LN(2)/25)*Calculateur!V141*Calculateur!X141*VLOOKUP('Données projet'!$B$9,Paramètres!$A$1:$I$89,3,0)*0.475*44/12</f>
        <v>0</v>
      </c>
      <c r="AB141" s="23">
        <f>EXP(-LN(2)/2)*AB140+(1-EXP(-LN(2)/2))/(LN(2)/2)*V141*Y141*VLOOKUP('Données projet'!$B$9,Paramètres!$A$1:$I$89,3,0)*0.475*44/12</f>
        <v>0</v>
      </c>
      <c r="AC141" s="24">
        <f t="shared" si="111"/>
        <v>0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0</v>
      </c>
      <c r="AJ141" s="14">
        <f>AI141*VLOOKUP('Données projet'!$B$10,Paramètres!$A$1:$I$89,3,0)*VLOOKUP('Données projet'!$B$10,Paramètres!$A$1:$I$89,5,0)</f>
        <v>0</v>
      </c>
      <c r="AK141" s="14" t="e">
        <f t="shared" si="143"/>
        <v>#NUM!</v>
      </c>
      <c r="AL141" s="22" t="e">
        <f t="shared" si="112"/>
        <v>#NUM!</v>
      </c>
      <c r="AM141" s="62" t="e">
        <f t="shared" si="113"/>
        <v>#NUM!</v>
      </c>
      <c r="AN141" s="62">
        <f ca="1">AVERAGE(OFFSET($AM$3,0,0,'Données projet'!$E$10+1,1))-AVERAGE(OFFSET($H$3,0,0,'Données projet'!$E$10+1,1))</f>
        <v>400.48230125343474</v>
      </c>
      <c r="AO141" s="62">
        <f t="shared" si="144"/>
        <v>275.67023303885048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0</v>
      </c>
      <c r="AV141" s="23">
        <f>EXP(-LN(2)/25)*AV140+(1-EXP(-LN(2)/25))/(LN(2)/25)*Calculateur!AQ141*Calculateur!AS141*VLOOKUP('Données projet'!$B$10,Paramètres!$A$1:$I$89,3,0)*0.475*44/12</f>
        <v>0</v>
      </c>
      <c r="AW141" s="23">
        <f>EXP(-LN(2)/2)*AW140+(1-EXP(-LN(2)/2))/(LN(2)/2)*AQ141*AT141*VLOOKUP('Données projet'!$B$10,Paramètres!$A$1:$I$89,3,0)*0.475*44/12</f>
        <v>0</v>
      </c>
      <c r="AX141" s="23">
        <f t="shared" si="114"/>
        <v>0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2.7</v>
      </c>
      <c r="BD141" s="13">
        <f>IF('Données projet'!$A$88&gt;35,BD140+BC141-BL140,IF(A141&lt;'Données projet'!$A$88,$BA$205^A141,IF(A141='Données projet'!$A$88,'Données projet'!$B$88,BD140+BC141-BL140)))</f>
        <v>290.59999999999928</v>
      </c>
      <c r="BE141" s="14">
        <f>BD141*VLOOKUP('Données projet'!$B$11,Paramètres!$A$1:$I$89,3,0)*VLOOKUP('Données projet'!$B$11,Paramètres!$A$1:$I$89,5,0)</f>
        <v>281.06831999999929</v>
      </c>
      <c r="BF141" s="14">
        <f t="shared" si="145"/>
        <v>67.192725545416536</v>
      </c>
      <c r="BG141" s="22">
        <f t="shared" si="115"/>
        <v>606.55465432493247</v>
      </c>
      <c r="BH141" s="62">
        <f t="shared" si="116"/>
        <v>891.69598159043835</v>
      </c>
      <c r="BI141" s="62">
        <f ca="1">AVERAGE(OFFSET($BH$3,0,0,'Données projet'!$E$11+1,1))-AVERAGE(OFFSET($H$3,0,0,'Données projet'!$E$11+1,1))</f>
        <v>496.33873798282525</v>
      </c>
      <c r="BJ141" s="62">
        <f t="shared" si="146"/>
        <v>280.25465074992246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>
        <f>EXP(-LN(2)/35)*BP140+(1-EXP(-LN(2)/35))/(LN(2)/35)*BL141*BM141*VLOOKUP('Données projet'!$B$11,Paramètres!$A$1:$I$89,3,0)*0.475*44/12</f>
        <v>0</v>
      </c>
      <c r="BQ141" s="23">
        <f>EXP(-LN(2)/25)*BQ140+(1-EXP(-LN(2)/25))/(LN(2)/25)*Calculateur!BL141*Calculateur!BN141*VLOOKUP('Données projet'!$B$11,Paramètres!$A$1:$I$89,3,0)*0.475*44/12</f>
        <v>0</v>
      </c>
      <c r="BR141" s="23">
        <f>EXP(-LN(2)/2)*BR140+(1-EXP(-LN(2)/2))/(LN(2)/2)*BL141*BO141*VLOOKUP('Données projet'!$B$11,Paramètres!$A$1:$I$89,3,0)*0.475*44/12</f>
        <v>0</v>
      </c>
      <c r="BS141" s="24">
        <f t="shared" si="117"/>
        <v>0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-1.1368683772161603E-13</v>
      </c>
      <c r="BZ141" s="14">
        <f>BY141*VLOOKUP('Données projet'!$B$12,Paramètres!$A$1:$I$89,3,0)*VLOOKUP('Données projet'!$B$12,Paramètres!$A$1:$I$89,5,0)</f>
        <v>-9.9316821433603781E-14</v>
      </c>
      <c r="CA141" s="14" t="e">
        <f t="shared" si="147"/>
        <v>#NUM!</v>
      </c>
      <c r="CB141" s="22" t="e">
        <f t="shared" si="118"/>
        <v>#NUM!</v>
      </c>
      <c r="CC141" s="62" t="e">
        <f t="shared" si="119"/>
        <v>#NUM!</v>
      </c>
      <c r="CD141" s="62">
        <f ca="1">AVERAGE(OFFSET($CC$3,0,0,'Données projet'!$E$12+1,1))-AVERAGE(OFFSET($H$3,0,0,'Données projet'!$E$12+1,1))</f>
        <v>298.56812743477741</v>
      </c>
      <c r="CE141" s="62">
        <f t="shared" si="148"/>
        <v>276.01618888357268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>
        <f>EXP(-LN(2)/35)*CK140+(1-EXP(-LN(2)/35))/(LN(2)/35)*CG141*CH141*VLOOKUP('Données projet'!$B$12,Paramètres!$A$1:$I$89,3,0)*0.475*44/12</f>
        <v>0</v>
      </c>
      <c r="CL141" s="23">
        <f>EXP(-LN(2)/25)*CL140+(1-EXP(-LN(2)/25))/(LN(2)/25)*Calculateur!CG141*Calculateur!CI141*VLOOKUP('Données projet'!$B$12,Paramètres!$A$1:$I$89,3,0)*0.475*44/12</f>
        <v>0</v>
      </c>
      <c r="CM141" s="23">
        <f>EXP(-LN(2)/2)*CM140+(1-EXP(-LN(2)/2))/(LN(2)/2)*CG141*CJ141*VLOOKUP('Données projet'!$B$12,Paramètres!$A$1:$I$89,3,0)*0.475*44/12</f>
        <v>0</v>
      </c>
      <c r="CN141" s="24">
        <f t="shared" si="120"/>
        <v>0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2.2737367544323206E-13</v>
      </c>
      <c r="CU141" s="18">
        <f>CT141*VLOOKUP('Données projet'!$B$13,Paramètres!$A$1:$I$89,3,0)*VLOOKUP('Données projet'!$B$13,Paramètres!$A$1:$I$89,5,0)</f>
        <v>1.5252226148732008E-13</v>
      </c>
      <c r="CV141" s="14">
        <f t="shared" si="149"/>
        <v>2.1814502464536512E-12</v>
      </c>
      <c r="CW141" s="22">
        <f t="shared" si="121"/>
        <v>4.0650021179971913E-12</v>
      </c>
      <c r="CX141" s="62">
        <f t="shared" si="122"/>
        <v>285.14132726551003</v>
      </c>
      <c r="CY141" s="62">
        <f ca="1">AVERAGE(OFFSET($CX$3,0,0,'Données projet'!$E$13+1,1))-AVERAGE(OFFSET($H$3,0,0,'Données projet'!$E$13+1,1))</f>
        <v>346.82725381974132</v>
      </c>
      <c r="CZ141" s="62">
        <f t="shared" si="150"/>
        <v>254.09787950201044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>
        <f>EXP(-LN(2)/35)*DF140+(1-EXP(-LN(2)/35))/(LN(2)/35)*DB141*DC141*VLOOKUP('Données projet'!$B$13,Paramètres!$A$1:$I$89,3,0)*0.475*44/12</f>
        <v>0</v>
      </c>
      <c r="DG141" s="23">
        <f>EXP(-LN(2)/25)*DG140+(1-EXP(-LN(2)/25))/(LN(2)/25)*Calculateur!DB141*Calculateur!DD141*VLOOKUP('Données projet'!$B$13,Paramètres!$A$1:$I$89,3,0)*0.475*44/12</f>
        <v>0</v>
      </c>
      <c r="DH141" s="23">
        <f>EXP(-LN(2)/2)*DH140+(1-EXP(-LN(2)/2))/(LN(2)/2)*DB141*DE141*VLOOKUP('Données projet'!$B$13,Paramètres!$A$1:$I$89,3,0)*0.475*44/12</f>
        <v>0</v>
      </c>
      <c r="DI141" s="24">
        <f t="shared" si="123"/>
        <v>0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5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2">
        <f t="shared" si="140"/>
        <v>0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18.333333333333332</v>
      </c>
      <c r="H142" s="70">
        <f t="shared" si="110"/>
        <v>183.33333333333334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2.7</v>
      </c>
      <c r="N142" s="14">
        <f>IF('Données projet'!$A$36&gt;35,N141+M142-V141,IF(A142&lt;'Données projet'!$A$36,$K$205^A142,IF(A142='Données projet'!$A$36,'Données projet'!$B$36,N141+M142-V141)))</f>
        <v>293.29999999999927</v>
      </c>
      <c r="O142" s="14">
        <f>N142*VLOOKUP('Données projet'!$B$9,Paramètres!$A$1:$I$89,3,0)*VLOOKUP('Données projet'!$B$9,Paramètres!$A$1:$I$89,5,0)</f>
        <v>265.37783999999937</v>
      </c>
      <c r="P142" s="14">
        <f t="shared" si="141"/>
        <v>63.867346655917089</v>
      </c>
      <c r="Q142" s="22">
        <f t="shared" si="108"/>
        <v>573.43536675905443</v>
      </c>
      <c r="R142" s="62">
        <f t="shared" si="109"/>
        <v>858.71880701525538</v>
      </c>
      <c r="S142" s="62">
        <f ca="1">AVERAGE(OFFSET($R$3,0,0,'Données projet'!$E$9+1,1))-AVERAGE(OFFSET($H$3,0,0,'Données projet'!$E$9+1,1))</f>
        <v>469.67944008675863</v>
      </c>
      <c r="T142" s="62">
        <f t="shared" si="142"/>
        <v>266.11908070867173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0</v>
      </c>
      <c r="AA142" s="23">
        <f>EXP(-LN(2)/25)*AA141+(1-EXP(-LN(2)/25))/(LN(2)/25)*Calculateur!V142*Calculateur!X142*VLOOKUP('Données projet'!$B$9,Paramètres!$A$1:$I$89,3,0)*0.475*44/12</f>
        <v>0</v>
      </c>
      <c r="AB142" s="23">
        <f>EXP(-LN(2)/2)*AB141+(1-EXP(-LN(2)/2))/(LN(2)/2)*V142*Y142*VLOOKUP('Données projet'!$B$9,Paramètres!$A$1:$I$89,3,0)*0.475*44/12</f>
        <v>0</v>
      </c>
      <c r="AC142" s="24">
        <f t="shared" si="111"/>
        <v>0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0</v>
      </c>
      <c r="AJ142" s="14">
        <f>AI142*VLOOKUP('Données projet'!$B$10,Paramètres!$A$1:$I$89,3,0)*VLOOKUP('Données projet'!$B$10,Paramètres!$A$1:$I$89,5,0)</f>
        <v>0</v>
      </c>
      <c r="AK142" s="14" t="e">
        <f t="shared" si="143"/>
        <v>#NUM!</v>
      </c>
      <c r="AL142" s="22" t="e">
        <f t="shared" si="112"/>
        <v>#NUM!</v>
      </c>
      <c r="AM142" s="62" t="e">
        <f t="shared" si="113"/>
        <v>#NUM!</v>
      </c>
      <c r="AN142" s="62">
        <f ca="1">AVERAGE(OFFSET($AM$3,0,0,'Données projet'!$E$10+1,1))-AVERAGE(OFFSET($H$3,0,0,'Données projet'!$E$10+1,1))</f>
        <v>400.48230125343474</v>
      </c>
      <c r="AO142" s="62">
        <f t="shared" si="144"/>
        <v>275.67023303885048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0</v>
      </c>
      <c r="AV142" s="23">
        <f>EXP(-LN(2)/25)*AV141+(1-EXP(-LN(2)/25))/(LN(2)/25)*Calculateur!AQ142*Calculateur!AS142*VLOOKUP('Données projet'!$B$10,Paramètres!$A$1:$I$89,3,0)*0.475*44/12</f>
        <v>0</v>
      </c>
      <c r="AW142" s="23">
        <f>EXP(-LN(2)/2)*AW141+(1-EXP(-LN(2)/2))/(LN(2)/2)*AQ142*AT142*VLOOKUP('Données projet'!$B$10,Paramètres!$A$1:$I$89,3,0)*0.475*44/12</f>
        <v>0</v>
      </c>
      <c r="AX142" s="23">
        <f t="shared" si="114"/>
        <v>0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2.7</v>
      </c>
      <c r="BD142" s="13">
        <f>IF('Données projet'!$A$88&gt;35,BD141+BC142-BL141,IF(A142&lt;'Données projet'!$A$88,$BA$205^A142,IF(A142='Données projet'!$A$88,'Données projet'!$B$88,BD141+BC142-BL141)))</f>
        <v>293.29999999999927</v>
      </c>
      <c r="BE142" s="14">
        <f>BD142*VLOOKUP('Données projet'!$B$11,Paramètres!$A$1:$I$89,3,0)*VLOOKUP('Données projet'!$B$11,Paramètres!$A$1:$I$89,5,0)</f>
        <v>283.67975999999931</v>
      </c>
      <c r="BF142" s="14">
        <f t="shared" si="145"/>
        <v>67.74405605004435</v>
      </c>
      <c r="BG142" s="22">
        <f t="shared" si="115"/>
        <v>612.06314628715938</v>
      </c>
      <c r="BH142" s="62">
        <f t="shared" si="116"/>
        <v>897.34658654336022</v>
      </c>
      <c r="BI142" s="62">
        <f ca="1">AVERAGE(OFFSET($BH$3,0,0,'Données projet'!$E$11+1,1))-AVERAGE(OFFSET($H$3,0,0,'Données projet'!$E$11+1,1))</f>
        <v>496.33873798282525</v>
      </c>
      <c r="BJ142" s="62">
        <f t="shared" si="146"/>
        <v>280.25465074992246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>
        <f>EXP(-LN(2)/35)*BP141+(1-EXP(-LN(2)/35))/(LN(2)/35)*BL142*BM142*VLOOKUP('Données projet'!$B$11,Paramètres!$A$1:$I$89,3,0)*0.475*44/12</f>
        <v>0</v>
      </c>
      <c r="BQ142" s="23">
        <f>EXP(-LN(2)/25)*BQ141+(1-EXP(-LN(2)/25))/(LN(2)/25)*Calculateur!BL142*Calculateur!BN142*VLOOKUP('Données projet'!$B$11,Paramètres!$A$1:$I$89,3,0)*0.475*44/12</f>
        <v>0</v>
      </c>
      <c r="BR142" s="23">
        <f>EXP(-LN(2)/2)*BR141+(1-EXP(-LN(2)/2))/(LN(2)/2)*BL142*BO142*VLOOKUP('Données projet'!$B$11,Paramètres!$A$1:$I$89,3,0)*0.475*44/12</f>
        <v>0</v>
      </c>
      <c r="BS142" s="24">
        <f t="shared" si="117"/>
        <v>0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-1.1368683772161603E-13</v>
      </c>
      <c r="BZ142" s="14">
        <f>BY142*VLOOKUP('Données projet'!$B$12,Paramètres!$A$1:$I$89,3,0)*VLOOKUP('Données projet'!$B$12,Paramètres!$A$1:$I$89,5,0)</f>
        <v>-9.9316821433603781E-14</v>
      </c>
      <c r="CA142" s="14" t="e">
        <f t="shared" si="147"/>
        <v>#NUM!</v>
      </c>
      <c r="CB142" s="22" t="e">
        <f t="shared" si="118"/>
        <v>#NUM!</v>
      </c>
      <c r="CC142" s="62" t="e">
        <f t="shared" si="119"/>
        <v>#NUM!</v>
      </c>
      <c r="CD142" s="62">
        <f ca="1">AVERAGE(OFFSET($CC$3,0,0,'Données projet'!$E$12+1,1))-AVERAGE(OFFSET($H$3,0,0,'Données projet'!$E$12+1,1))</f>
        <v>298.56812743477741</v>
      </c>
      <c r="CE142" s="62">
        <f t="shared" si="148"/>
        <v>276.01618888357268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>
        <f>EXP(-LN(2)/35)*CK141+(1-EXP(-LN(2)/35))/(LN(2)/35)*CG142*CH142*VLOOKUP('Données projet'!$B$12,Paramètres!$A$1:$I$89,3,0)*0.475*44/12</f>
        <v>0</v>
      </c>
      <c r="CL142" s="23">
        <f>EXP(-LN(2)/25)*CL141+(1-EXP(-LN(2)/25))/(LN(2)/25)*Calculateur!CG142*Calculateur!CI142*VLOOKUP('Données projet'!$B$12,Paramètres!$A$1:$I$89,3,0)*0.475*44/12</f>
        <v>0</v>
      </c>
      <c r="CM142" s="23">
        <f>EXP(-LN(2)/2)*CM141+(1-EXP(-LN(2)/2))/(LN(2)/2)*CG142*CJ142*VLOOKUP('Données projet'!$B$12,Paramètres!$A$1:$I$89,3,0)*0.475*44/12</f>
        <v>0</v>
      </c>
      <c r="CN142" s="24">
        <f t="shared" si="120"/>
        <v>0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2.2737367544323206E-13</v>
      </c>
      <c r="CU142" s="18">
        <f>CT142*VLOOKUP('Données projet'!$B$13,Paramètres!$A$1:$I$89,3,0)*VLOOKUP('Données projet'!$B$13,Paramètres!$A$1:$I$89,5,0)</f>
        <v>1.5252226148732008E-13</v>
      </c>
      <c r="CV142" s="14">
        <f t="shared" si="149"/>
        <v>2.1814502464536512E-12</v>
      </c>
      <c r="CW142" s="22">
        <f t="shared" si="121"/>
        <v>4.0650021179971913E-12</v>
      </c>
      <c r="CX142" s="62">
        <f t="shared" si="122"/>
        <v>285.28344025620498</v>
      </c>
      <c r="CY142" s="62">
        <f ca="1">AVERAGE(OFFSET($CX$3,0,0,'Données projet'!$E$13+1,1))-AVERAGE(OFFSET($H$3,0,0,'Données projet'!$E$13+1,1))</f>
        <v>346.82725381974132</v>
      </c>
      <c r="CZ142" s="62">
        <f t="shared" si="150"/>
        <v>254.09787950201044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>
        <f>EXP(-LN(2)/35)*DF141+(1-EXP(-LN(2)/35))/(LN(2)/35)*DB142*DC142*VLOOKUP('Données projet'!$B$13,Paramètres!$A$1:$I$89,3,0)*0.475*44/12</f>
        <v>0</v>
      </c>
      <c r="DG142" s="23">
        <f>EXP(-LN(2)/25)*DG141+(1-EXP(-LN(2)/25))/(LN(2)/25)*Calculateur!DB142*Calculateur!DD142*VLOOKUP('Données projet'!$B$13,Paramètres!$A$1:$I$89,3,0)*0.475*44/12</f>
        <v>0</v>
      </c>
      <c r="DH142" s="23">
        <f>EXP(-LN(2)/2)*DH141+(1-EXP(-LN(2)/2))/(LN(2)/2)*DB142*DE142*VLOOKUP('Données projet'!$B$13,Paramètres!$A$1:$I$89,3,0)*0.475*44/12</f>
        <v>0</v>
      </c>
      <c r="DI142" s="24">
        <f t="shared" si="123"/>
        <v>0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5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2">
        <f t="shared" si="140"/>
        <v>0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18.333333333333332</v>
      </c>
      <c r="H143" s="70">
        <f t="shared" si="110"/>
        <v>183.33333333333334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>
        <f>VLOOKUP(A143,'Données projet'!$A$35:$I$55,2,0)</f>
        <v>296</v>
      </c>
      <c r="L143" s="13">
        <f>VLOOKUP(A143,'Données projet'!$A$35:$I$55,9,0)</f>
        <v>2.7</v>
      </c>
      <c r="M143" s="13">
        <f t="array" ref="M143">INDEX(L:L,MIN(IF(ISNUMBER(L143:L339),ROW(L143:L339),"")))</f>
        <v>2.7</v>
      </c>
      <c r="N143" s="14">
        <f>IF('Données projet'!$A$36&gt;35,N142+M143-V142,IF(A143&lt;'Données projet'!$A$36,$K$205^A143,IF(A143='Données projet'!$A$36,'Données projet'!$B$36,N142+M143-V142)))</f>
        <v>295.99999999999926</v>
      </c>
      <c r="O143" s="14">
        <f>N143*VLOOKUP('Données projet'!$B$9,Paramètres!$A$1:$I$89,3,0)*VLOOKUP('Données projet'!$B$9,Paramètres!$A$1:$I$89,5,0)</f>
        <v>267.82079999999934</v>
      </c>
      <c r="P143" s="14">
        <f t="shared" si="141"/>
        <v>64.386570147897245</v>
      </c>
      <c r="Q143" s="22">
        <f t="shared" si="108"/>
        <v>578.59450300758647</v>
      </c>
      <c r="R143" s="62">
        <f t="shared" si="109"/>
        <v>864.01759091181088</v>
      </c>
      <c r="S143" s="62">
        <f ca="1">AVERAGE(OFFSET($R$3,0,0,'Données projet'!$E$9+1,1))-AVERAGE(OFFSET($H$3,0,0,'Données projet'!$E$9+1,1))</f>
        <v>469.67944008675863</v>
      </c>
      <c r="T143" s="62">
        <f t="shared" si="142"/>
        <v>266.11908070867173</v>
      </c>
      <c r="U143" s="16">
        <f>IF(ISNA(VLOOKUP(A143,'Données projet'!$A$35:$I$55,3,0)),0,VLOOKUP(A143,'Données projet'!$A$35:$I$55,3,0))</f>
        <v>12</v>
      </c>
      <c r="V143" s="16">
        <f>IF(ISNA(VLOOKUP(A143,'Données projet'!$A$35:$I$55,4,0)),0,VLOOKUP(A143,'Données projet'!$A$35:$I$55,4,0))</f>
        <v>27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0</v>
      </c>
      <c r="AA143" s="23">
        <f>EXP(-LN(2)/25)*AA142+(1-EXP(-LN(2)/25))/(LN(2)/25)*Calculateur!V143*Calculateur!X143*VLOOKUP('Données projet'!$B$9,Paramètres!$A$1:$I$89,3,0)*0.475*44/12</f>
        <v>0</v>
      </c>
      <c r="AB143" s="23">
        <f>EXP(-LN(2)/2)*AB142+(1-EXP(-LN(2)/2))/(LN(2)/2)*V143*Y143*VLOOKUP('Données projet'!$B$9,Paramètres!$A$1:$I$89,3,0)*0.475*44/12</f>
        <v>0</v>
      </c>
      <c r="AC143" s="24">
        <f t="shared" si="111"/>
        <v>0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0</v>
      </c>
      <c r="AJ143" s="14">
        <f>AI143*VLOOKUP('Données projet'!$B$10,Paramètres!$A$1:$I$89,3,0)*VLOOKUP('Données projet'!$B$10,Paramètres!$A$1:$I$89,5,0)</f>
        <v>0</v>
      </c>
      <c r="AK143" s="14" t="e">
        <f t="shared" si="143"/>
        <v>#NUM!</v>
      </c>
      <c r="AL143" s="22" t="e">
        <f t="shared" si="112"/>
        <v>#NUM!</v>
      </c>
      <c r="AM143" s="62" t="e">
        <f t="shared" si="113"/>
        <v>#NUM!</v>
      </c>
      <c r="AN143" s="62">
        <f ca="1">AVERAGE(OFFSET($AM$3,0,0,'Données projet'!$E$10+1,1))-AVERAGE(OFFSET($H$3,0,0,'Données projet'!$E$10+1,1))</f>
        <v>400.48230125343474</v>
      </c>
      <c r="AO143" s="62">
        <f t="shared" si="144"/>
        <v>275.67023303885048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0</v>
      </c>
      <c r="AV143" s="23">
        <f>EXP(-LN(2)/25)*AV142+(1-EXP(-LN(2)/25))/(LN(2)/25)*Calculateur!AQ143*Calculateur!AS143*VLOOKUP('Données projet'!$B$10,Paramètres!$A$1:$I$89,3,0)*0.475*44/12</f>
        <v>0</v>
      </c>
      <c r="AW143" s="23">
        <f>EXP(-LN(2)/2)*AW142+(1-EXP(-LN(2)/2))/(LN(2)/2)*AQ143*AT143*VLOOKUP('Données projet'!$B$10,Paramètres!$A$1:$I$89,3,0)*0.475*44/12</f>
        <v>0</v>
      </c>
      <c r="AX143" s="23">
        <f t="shared" si="114"/>
        <v>0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>
        <f>VLOOKUP(A143,'Données projet'!$A$87:$I$107,2,0)</f>
        <v>296</v>
      </c>
      <c r="BB143" s="13">
        <f>VLOOKUP(A143,'Données projet'!$A$87:$I$107,9,0)</f>
        <v>2.7</v>
      </c>
      <c r="BC143" s="13">
        <f t="array" ref="BC143">INDEX(BB:BB,MIN(IF(ISNUMBER(BB143:BB339),ROW(BB143:BB339),"")))</f>
        <v>2.7</v>
      </c>
      <c r="BD143" s="13">
        <f>IF('Données projet'!$A$88&gt;35,BD142+BC143-BL142,IF(A143&lt;'Données projet'!$A$88,$BA$205^A143,IF(A143='Données projet'!$A$88,'Données projet'!$B$88,BD142+BC143-BL142)))</f>
        <v>295.99999999999926</v>
      </c>
      <c r="BE143" s="14">
        <f>BD143*VLOOKUP('Données projet'!$B$11,Paramètres!$A$1:$I$89,3,0)*VLOOKUP('Données projet'!$B$11,Paramètres!$A$1:$I$89,5,0)</f>
        <v>286.29119999999926</v>
      </c>
      <c r="BF143" s="14">
        <f t="shared" si="145"/>
        <v>68.294796094604223</v>
      </c>
      <c r="BG143" s="22">
        <f t="shared" si="115"/>
        <v>617.57060986476779</v>
      </c>
      <c r="BH143" s="62">
        <f t="shared" si="116"/>
        <v>902.99369776899221</v>
      </c>
      <c r="BI143" s="62">
        <f ca="1">AVERAGE(OFFSET($BH$3,0,0,'Données projet'!$E$11+1,1))-AVERAGE(OFFSET($H$3,0,0,'Données projet'!$E$11+1,1))</f>
        <v>496.33873798282525</v>
      </c>
      <c r="BJ143" s="62">
        <f t="shared" si="146"/>
        <v>280.25465074992246</v>
      </c>
      <c r="BK143" s="16">
        <f>IF(ISNA(VLOOKUP(A143,'Données projet'!$A$87:$I$107,3,0)),0,VLOOKUP(A143,'Données projet'!$A$87:$I$107,3,0))</f>
        <v>12</v>
      </c>
      <c r="BL143" s="16">
        <f>IF(ISNA(VLOOKUP(A143,'Données projet'!$A$87:$I$107,4,0)),0,VLOOKUP(A143,'Données projet'!$A$87:$I$107,4,0))</f>
        <v>27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>
        <f>EXP(-LN(2)/35)*BP142+(1-EXP(-LN(2)/35))/(LN(2)/35)*BL143*BM143*VLOOKUP('Données projet'!$B$11,Paramètres!$A$1:$I$89,3,0)*0.475*44/12</f>
        <v>0</v>
      </c>
      <c r="BQ143" s="23">
        <f>EXP(-LN(2)/25)*BQ142+(1-EXP(-LN(2)/25))/(LN(2)/25)*Calculateur!BL143*Calculateur!BN143*VLOOKUP('Données projet'!$B$11,Paramètres!$A$1:$I$89,3,0)*0.475*44/12</f>
        <v>0</v>
      </c>
      <c r="BR143" s="23">
        <f>EXP(-LN(2)/2)*BR142+(1-EXP(-LN(2)/2))/(LN(2)/2)*BL143*BO143*VLOOKUP('Données projet'!$B$11,Paramètres!$A$1:$I$89,3,0)*0.475*44/12</f>
        <v>0</v>
      </c>
      <c r="BS143" s="24">
        <f t="shared" si="117"/>
        <v>0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-1.1368683772161603E-13</v>
      </c>
      <c r="BZ143" s="14">
        <f>BY143*VLOOKUP('Données projet'!$B$12,Paramètres!$A$1:$I$89,3,0)*VLOOKUP('Données projet'!$B$12,Paramètres!$A$1:$I$89,5,0)</f>
        <v>-9.9316821433603781E-14</v>
      </c>
      <c r="CA143" s="14" t="e">
        <f t="shared" si="147"/>
        <v>#NUM!</v>
      </c>
      <c r="CB143" s="22" t="e">
        <f t="shared" si="118"/>
        <v>#NUM!</v>
      </c>
      <c r="CC143" s="62" t="e">
        <f t="shared" si="119"/>
        <v>#NUM!</v>
      </c>
      <c r="CD143" s="62">
        <f ca="1">AVERAGE(OFFSET($CC$3,0,0,'Données projet'!$E$12+1,1))-AVERAGE(OFFSET($H$3,0,0,'Données projet'!$E$12+1,1))</f>
        <v>298.56812743477741</v>
      </c>
      <c r="CE143" s="62">
        <f t="shared" si="148"/>
        <v>276.01618888357268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>
        <f>EXP(-LN(2)/35)*CK142+(1-EXP(-LN(2)/35))/(LN(2)/35)*CG143*CH143*VLOOKUP('Données projet'!$B$12,Paramètres!$A$1:$I$89,3,0)*0.475*44/12</f>
        <v>0</v>
      </c>
      <c r="CL143" s="23">
        <f>EXP(-LN(2)/25)*CL142+(1-EXP(-LN(2)/25))/(LN(2)/25)*Calculateur!CG143*Calculateur!CI143*VLOOKUP('Données projet'!$B$12,Paramètres!$A$1:$I$89,3,0)*0.475*44/12</f>
        <v>0</v>
      </c>
      <c r="CM143" s="23">
        <f>EXP(-LN(2)/2)*CM142+(1-EXP(-LN(2)/2))/(LN(2)/2)*CG143*CJ143*VLOOKUP('Données projet'!$B$12,Paramètres!$A$1:$I$89,3,0)*0.475*44/12</f>
        <v>0</v>
      </c>
      <c r="CN143" s="24">
        <f t="shared" si="120"/>
        <v>0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2.2737367544323206E-13</v>
      </c>
      <c r="CU143" s="18">
        <f>CT143*VLOOKUP('Données projet'!$B$13,Paramètres!$A$1:$I$89,3,0)*VLOOKUP('Données projet'!$B$13,Paramètres!$A$1:$I$89,5,0)</f>
        <v>1.5252226148732008E-13</v>
      </c>
      <c r="CV143" s="14">
        <f t="shared" si="149"/>
        <v>2.1814502464536512E-12</v>
      </c>
      <c r="CW143" s="22">
        <f t="shared" si="121"/>
        <v>4.0650021179971913E-12</v>
      </c>
      <c r="CX143" s="62">
        <f t="shared" si="122"/>
        <v>285.42308790422845</v>
      </c>
      <c r="CY143" s="62">
        <f ca="1">AVERAGE(OFFSET($CX$3,0,0,'Données projet'!$E$13+1,1))-AVERAGE(OFFSET($H$3,0,0,'Données projet'!$E$13+1,1))</f>
        <v>346.82725381974132</v>
      </c>
      <c r="CZ143" s="62">
        <f t="shared" si="150"/>
        <v>254.09787950201044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>
        <f>EXP(-LN(2)/35)*DF142+(1-EXP(-LN(2)/35))/(LN(2)/35)*DB143*DC143*VLOOKUP('Données projet'!$B$13,Paramètres!$A$1:$I$89,3,0)*0.475*44/12</f>
        <v>0</v>
      </c>
      <c r="DG143" s="23">
        <f>EXP(-LN(2)/25)*DG142+(1-EXP(-LN(2)/25))/(LN(2)/25)*Calculateur!DB143*Calculateur!DD143*VLOOKUP('Données projet'!$B$13,Paramètres!$A$1:$I$89,3,0)*0.475*44/12</f>
        <v>0</v>
      </c>
      <c r="DH143" s="23">
        <f>EXP(-LN(2)/2)*DH142+(1-EXP(-LN(2)/2))/(LN(2)/2)*DB143*DE143*VLOOKUP('Données projet'!$B$13,Paramètres!$A$1:$I$89,3,0)*0.475*44/12</f>
        <v>0</v>
      </c>
      <c r="DI143" s="24">
        <f t="shared" si="123"/>
        <v>0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5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2">
        <f t="shared" si="140"/>
        <v>0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18.333333333333332</v>
      </c>
      <c r="H144" s="70">
        <f t="shared" si="110"/>
        <v>183.33333333333334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2.4</v>
      </c>
      <c r="N144" s="14">
        <f>IF('Données projet'!$A$36&gt;35,N143+M144-V143,IF(A144&lt;'Données projet'!$A$36,$K$205^A144,IF(A144='Données projet'!$A$36,'Données projet'!$B$36,N143+M144-V143)))</f>
        <v>271.39999999999924</v>
      </c>
      <c r="O144" s="14">
        <f>N144*VLOOKUP('Données projet'!$B$9,Paramètres!$A$1:$I$89,3,0)*VLOOKUP('Données projet'!$B$9,Paramètres!$A$1:$I$89,5,0)</f>
        <v>245.5627199999993</v>
      </c>
      <c r="P144" s="14">
        <f t="shared" si="141"/>
        <v>59.634776048276741</v>
      </c>
      <c r="Q144" s="22">
        <f t="shared" si="108"/>
        <v>531.55230561741405</v>
      </c>
      <c r="R144" s="62">
        <f t="shared" si="109"/>
        <v>817.11261859517413</v>
      </c>
      <c r="S144" s="62">
        <f ca="1">AVERAGE(OFFSET($R$3,0,0,'Données projet'!$E$9+1,1))-AVERAGE(OFFSET($H$3,0,0,'Données projet'!$E$9+1,1))</f>
        <v>469.67944008675863</v>
      </c>
      <c r="T144" s="62">
        <f t="shared" si="142"/>
        <v>266.11908070867173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0</v>
      </c>
      <c r="AA144" s="23">
        <f>EXP(-LN(2)/25)*AA143+(1-EXP(-LN(2)/25))/(LN(2)/25)*Calculateur!V144*Calculateur!X144*VLOOKUP('Données projet'!$B$9,Paramètres!$A$1:$I$89,3,0)*0.475*44/12</f>
        <v>0</v>
      </c>
      <c r="AB144" s="23">
        <f>EXP(-LN(2)/2)*AB143+(1-EXP(-LN(2)/2))/(LN(2)/2)*V144*Y144*VLOOKUP('Données projet'!$B$9,Paramètres!$A$1:$I$89,3,0)*0.475*44/12</f>
        <v>0</v>
      </c>
      <c r="AC144" s="24">
        <f t="shared" si="111"/>
        <v>0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0</v>
      </c>
      <c r="AJ144" s="14">
        <f>AI144*VLOOKUP('Données projet'!$B$10,Paramètres!$A$1:$I$89,3,0)*VLOOKUP('Données projet'!$B$10,Paramètres!$A$1:$I$89,5,0)</f>
        <v>0</v>
      </c>
      <c r="AK144" s="14" t="e">
        <f t="shared" si="143"/>
        <v>#NUM!</v>
      </c>
      <c r="AL144" s="22" t="e">
        <f t="shared" si="112"/>
        <v>#NUM!</v>
      </c>
      <c r="AM144" s="62" t="e">
        <f t="shared" si="113"/>
        <v>#NUM!</v>
      </c>
      <c r="AN144" s="62">
        <f ca="1">AVERAGE(OFFSET($AM$3,0,0,'Données projet'!$E$10+1,1))-AVERAGE(OFFSET($H$3,0,0,'Données projet'!$E$10+1,1))</f>
        <v>400.48230125343474</v>
      </c>
      <c r="AO144" s="62">
        <f t="shared" si="144"/>
        <v>275.67023303885048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0</v>
      </c>
      <c r="AV144" s="23">
        <f>EXP(-LN(2)/25)*AV143+(1-EXP(-LN(2)/25))/(LN(2)/25)*Calculateur!AQ144*Calculateur!AS144*VLOOKUP('Données projet'!$B$10,Paramètres!$A$1:$I$89,3,0)*0.475*44/12</f>
        <v>0</v>
      </c>
      <c r="AW144" s="23">
        <f>EXP(-LN(2)/2)*AW143+(1-EXP(-LN(2)/2))/(LN(2)/2)*AQ144*AT144*VLOOKUP('Données projet'!$B$10,Paramètres!$A$1:$I$89,3,0)*0.475*44/12</f>
        <v>0</v>
      </c>
      <c r="AX144" s="23">
        <f t="shared" si="114"/>
        <v>0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2.4</v>
      </c>
      <c r="BD144" s="13">
        <f>IF('Données projet'!$A$88&gt;35,BD143+BC144-BL143,IF(A144&lt;'Données projet'!$A$88,$BA$205^A144,IF(A144='Données projet'!$A$88,'Données projet'!$B$88,BD143+BC144-BL143)))</f>
        <v>271.39999999999924</v>
      </c>
      <c r="BE144" s="14">
        <f>BD144*VLOOKUP('Données projet'!$B$11,Paramètres!$A$1:$I$89,3,0)*VLOOKUP('Données projet'!$B$11,Paramètres!$A$1:$I$89,5,0)</f>
        <v>262.49807999999928</v>
      </c>
      <c r="BF144" s="14">
        <f t="shared" si="145"/>
        <v>63.254570961137979</v>
      </c>
      <c r="BG144" s="22">
        <f t="shared" si="115"/>
        <v>567.35253375731406</v>
      </c>
      <c r="BH144" s="62">
        <f t="shared" si="116"/>
        <v>852.91284673507403</v>
      </c>
      <c r="BI144" s="62">
        <f ca="1">AVERAGE(OFFSET($BH$3,0,0,'Données projet'!$E$11+1,1))-AVERAGE(OFFSET($H$3,0,0,'Données projet'!$E$11+1,1))</f>
        <v>496.33873798282525</v>
      </c>
      <c r="BJ144" s="62">
        <f t="shared" si="146"/>
        <v>280.25465074992246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>
        <f>EXP(-LN(2)/35)*BP143+(1-EXP(-LN(2)/35))/(LN(2)/35)*BL144*BM144*VLOOKUP('Données projet'!$B$11,Paramètres!$A$1:$I$89,3,0)*0.475*44/12</f>
        <v>0</v>
      </c>
      <c r="BQ144" s="23">
        <f>EXP(-LN(2)/25)*BQ143+(1-EXP(-LN(2)/25))/(LN(2)/25)*Calculateur!BL144*Calculateur!BN144*VLOOKUP('Données projet'!$B$11,Paramètres!$A$1:$I$89,3,0)*0.475*44/12</f>
        <v>0</v>
      </c>
      <c r="BR144" s="23">
        <f>EXP(-LN(2)/2)*BR143+(1-EXP(-LN(2)/2))/(LN(2)/2)*BL144*BO144*VLOOKUP('Données projet'!$B$11,Paramètres!$A$1:$I$89,3,0)*0.475*44/12</f>
        <v>0</v>
      </c>
      <c r="BS144" s="24">
        <f t="shared" si="117"/>
        <v>0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-1.1368683772161603E-13</v>
      </c>
      <c r="BZ144" s="14">
        <f>BY144*VLOOKUP('Données projet'!$B$12,Paramètres!$A$1:$I$89,3,0)*VLOOKUP('Données projet'!$B$12,Paramètres!$A$1:$I$89,5,0)</f>
        <v>-9.9316821433603781E-14</v>
      </c>
      <c r="CA144" s="14" t="e">
        <f t="shared" si="147"/>
        <v>#NUM!</v>
      </c>
      <c r="CB144" s="22" t="e">
        <f t="shared" si="118"/>
        <v>#NUM!</v>
      </c>
      <c r="CC144" s="62" t="e">
        <f t="shared" si="119"/>
        <v>#NUM!</v>
      </c>
      <c r="CD144" s="62">
        <f ca="1">AVERAGE(OFFSET($CC$3,0,0,'Données projet'!$E$12+1,1))-AVERAGE(OFFSET($H$3,0,0,'Données projet'!$E$12+1,1))</f>
        <v>298.56812743477741</v>
      </c>
      <c r="CE144" s="62">
        <f t="shared" si="148"/>
        <v>276.01618888357268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>
        <f>EXP(-LN(2)/35)*CK143+(1-EXP(-LN(2)/35))/(LN(2)/35)*CG144*CH144*VLOOKUP('Données projet'!$B$12,Paramètres!$A$1:$I$89,3,0)*0.475*44/12</f>
        <v>0</v>
      </c>
      <c r="CL144" s="23">
        <f>EXP(-LN(2)/25)*CL143+(1-EXP(-LN(2)/25))/(LN(2)/25)*Calculateur!CG144*Calculateur!CI144*VLOOKUP('Données projet'!$B$12,Paramètres!$A$1:$I$89,3,0)*0.475*44/12</f>
        <v>0</v>
      </c>
      <c r="CM144" s="23">
        <f>EXP(-LN(2)/2)*CM143+(1-EXP(-LN(2)/2))/(LN(2)/2)*CG144*CJ144*VLOOKUP('Données projet'!$B$12,Paramètres!$A$1:$I$89,3,0)*0.475*44/12</f>
        <v>0</v>
      </c>
      <c r="CN144" s="24">
        <f t="shared" si="120"/>
        <v>0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2.2737367544323206E-13</v>
      </c>
      <c r="CU144" s="18">
        <f>CT144*VLOOKUP('Données projet'!$B$13,Paramètres!$A$1:$I$89,3,0)*VLOOKUP('Données projet'!$B$13,Paramètres!$A$1:$I$89,5,0)</f>
        <v>1.5252226148732008E-13</v>
      </c>
      <c r="CV144" s="14">
        <f t="shared" si="149"/>
        <v>2.1814502464536512E-12</v>
      </c>
      <c r="CW144" s="22">
        <f t="shared" si="121"/>
        <v>4.0650021179971913E-12</v>
      </c>
      <c r="CX144" s="62">
        <f t="shared" si="122"/>
        <v>285.56031297776411</v>
      </c>
      <c r="CY144" s="62">
        <f ca="1">AVERAGE(OFFSET($CX$3,0,0,'Données projet'!$E$13+1,1))-AVERAGE(OFFSET($H$3,0,0,'Données projet'!$E$13+1,1))</f>
        <v>346.82725381974132</v>
      </c>
      <c r="CZ144" s="62">
        <f t="shared" si="150"/>
        <v>254.09787950201044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>
        <f>EXP(-LN(2)/35)*DF143+(1-EXP(-LN(2)/35))/(LN(2)/35)*DB144*DC144*VLOOKUP('Données projet'!$B$13,Paramètres!$A$1:$I$89,3,0)*0.475*44/12</f>
        <v>0</v>
      </c>
      <c r="DG144" s="23">
        <f>EXP(-LN(2)/25)*DG143+(1-EXP(-LN(2)/25))/(LN(2)/25)*Calculateur!DB144*Calculateur!DD144*VLOOKUP('Données projet'!$B$13,Paramètres!$A$1:$I$89,3,0)*0.475*44/12</f>
        <v>0</v>
      </c>
      <c r="DH144" s="23">
        <f>EXP(-LN(2)/2)*DH143+(1-EXP(-LN(2)/2))/(LN(2)/2)*DB144*DE144*VLOOKUP('Données projet'!$B$13,Paramètres!$A$1:$I$89,3,0)*0.475*44/12</f>
        <v>0</v>
      </c>
      <c r="DI144" s="24">
        <f t="shared" si="123"/>
        <v>0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5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2">
        <f t="shared" si="140"/>
        <v>0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18.333333333333332</v>
      </c>
      <c r="H145" s="70">
        <f t="shared" si="110"/>
        <v>183.33333333333334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2.4</v>
      </c>
      <c r="N145" s="14">
        <f>IF('Données projet'!$A$36&gt;35,N144+M145-V144,IF(A145&lt;'Données projet'!$A$36,$K$205^A145,IF(A145='Données projet'!$A$36,'Données projet'!$B$36,N144+M145-V144)))</f>
        <v>273.79999999999922</v>
      </c>
      <c r="O145" s="14">
        <f>N145*VLOOKUP('Données projet'!$B$9,Paramètres!$A$1:$I$89,3,0)*VLOOKUP('Données projet'!$B$9,Paramètres!$A$1:$I$89,5,0)</f>
        <v>247.73423999999929</v>
      </c>
      <c r="P145" s="14">
        <f t="shared" si="141"/>
        <v>60.100505665694953</v>
      </c>
      <c r="Q145" s="22">
        <f t="shared" si="108"/>
        <v>536.14551536775082</v>
      </c>
      <c r="R145" s="62">
        <f t="shared" si="109"/>
        <v>821.84067287080984</v>
      </c>
      <c r="S145" s="62">
        <f ca="1">AVERAGE(OFFSET($R$3,0,0,'Données projet'!$E$9+1,1))-AVERAGE(OFFSET($H$3,0,0,'Données projet'!$E$9+1,1))</f>
        <v>469.67944008675863</v>
      </c>
      <c r="T145" s="62">
        <f t="shared" si="142"/>
        <v>266.11908070867173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0</v>
      </c>
      <c r="AA145" s="23">
        <f>EXP(-LN(2)/25)*AA144+(1-EXP(-LN(2)/25))/(LN(2)/25)*Calculateur!V145*Calculateur!X145*VLOOKUP('Données projet'!$B$9,Paramètres!$A$1:$I$89,3,0)*0.475*44/12</f>
        <v>0</v>
      </c>
      <c r="AB145" s="23">
        <f>EXP(-LN(2)/2)*AB144+(1-EXP(-LN(2)/2))/(LN(2)/2)*V145*Y145*VLOOKUP('Données projet'!$B$9,Paramètres!$A$1:$I$89,3,0)*0.475*44/12</f>
        <v>0</v>
      </c>
      <c r="AC145" s="24">
        <f t="shared" si="111"/>
        <v>0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0</v>
      </c>
      <c r="AJ145" s="14">
        <f>AI145*VLOOKUP('Données projet'!$B$10,Paramètres!$A$1:$I$89,3,0)*VLOOKUP('Données projet'!$B$10,Paramètres!$A$1:$I$89,5,0)</f>
        <v>0</v>
      </c>
      <c r="AK145" s="14" t="e">
        <f t="shared" si="143"/>
        <v>#NUM!</v>
      </c>
      <c r="AL145" s="22" t="e">
        <f t="shared" si="112"/>
        <v>#NUM!</v>
      </c>
      <c r="AM145" s="62" t="e">
        <f t="shared" si="113"/>
        <v>#NUM!</v>
      </c>
      <c r="AN145" s="62">
        <f ca="1">AVERAGE(OFFSET($AM$3,0,0,'Données projet'!$E$10+1,1))-AVERAGE(OFFSET($H$3,0,0,'Données projet'!$E$10+1,1))</f>
        <v>400.48230125343474</v>
      </c>
      <c r="AO145" s="62">
        <f t="shared" si="144"/>
        <v>275.67023303885048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0</v>
      </c>
      <c r="AV145" s="23">
        <f>EXP(-LN(2)/25)*AV144+(1-EXP(-LN(2)/25))/(LN(2)/25)*Calculateur!AQ145*Calculateur!AS145*VLOOKUP('Données projet'!$B$10,Paramètres!$A$1:$I$89,3,0)*0.475*44/12</f>
        <v>0</v>
      </c>
      <c r="AW145" s="23">
        <f>EXP(-LN(2)/2)*AW144+(1-EXP(-LN(2)/2))/(LN(2)/2)*AQ145*AT145*VLOOKUP('Données projet'!$B$10,Paramètres!$A$1:$I$89,3,0)*0.475*44/12</f>
        <v>0</v>
      </c>
      <c r="AX145" s="23">
        <f t="shared" si="114"/>
        <v>0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2.4</v>
      </c>
      <c r="BD145" s="13">
        <f>IF('Données projet'!$A$88&gt;35,BD144+BC145-BL144,IF(A145&lt;'Données projet'!$A$88,$BA$205^A145,IF(A145='Données projet'!$A$88,'Données projet'!$B$88,BD144+BC145-BL144)))</f>
        <v>273.79999999999922</v>
      </c>
      <c r="BE145" s="14">
        <f>BD145*VLOOKUP('Données projet'!$B$11,Paramètres!$A$1:$I$89,3,0)*VLOOKUP('Données projet'!$B$11,Paramètres!$A$1:$I$89,5,0)</f>
        <v>264.81935999999928</v>
      </c>
      <c r="BF145" s="14">
        <f t="shared" si="145"/>
        <v>63.748570085236892</v>
      </c>
      <c r="BG145" s="22">
        <f t="shared" si="115"/>
        <v>572.25581156511964</v>
      </c>
      <c r="BH145" s="62">
        <f t="shared" si="116"/>
        <v>857.95096906817867</v>
      </c>
      <c r="BI145" s="62">
        <f ca="1">AVERAGE(OFFSET($BH$3,0,0,'Données projet'!$E$11+1,1))-AVERAGE(OFFSET($H$3,0,0,'Données projet'!$E$11+1,1))</f>
        <v>496.33873798282525</v>
      </c>
      <c r="BJ145" s="62">
        <f t="shared" si="146"/>
        <v>280.25465074992246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>
        <f>EXP(-LN(2)/35)*BP144+(1-EXP(-LN(2)/35))/(LN(2)/35)*BL145*BM145*VLOOKUP('Données projet'!$B$11,Paramètres!$A$1:$I$89,3,0)*0.475*44/12</f>
        <v>0</v>
      </c>
      <c r="BQ145" s="23">
        <f>EXP(-LN(2)/25)*BQ144+(1-EXP(-LN(2)/25))/(LN(2)/25)*Calculateur!BL145*Calculateur!BN145*VLOOKUP('Données projet'!$B$11,Paramètres!$A$1:$I$89,3,0)*0.475*44/12</f>
        <v>0</v>
      </c>
      <c r="BR145" s="23">
        <f>EXP(-LN(2)/2)*BR144+(1-EXP(-LN(2)/2))/(LN(2)/2)*BL145*BO145*VLOOKUP('Données projet'!$B$11,Paramètres!$A$1:$I$89,3,0)*0.475*44/12</f>
        <v>0</v>
      </c>
      <c r="BS145" s="24">
        <f t="shared" si="117"/>
        <v>0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-1.1368683772161603E-13</v>
      </c>
      <c r="BZ145" s="14">
        <f>BY145*VLOOKUP('Données projet'!$B$12,Paramètres!$A$1:$I$89,3,0)*VLOOKUP('Données projet'!$B$12,Paramètres!$A$1:$I$89,5,0)</f>
        <v>-9.9316821433603781E-14</v>
      </c>
      <c r="CA145" s="14" t="e">
        <f t="shared" si="147"/>
        <v>#NUM!</v>
      </c>
      <c r="CB145" s="22" t="e">
        <f t="shared" si="118"/>
        <v>#NUM!</v>
      </c>
      <c r="CC145" s="62" t="e">
        <f t="shared" si="119"/>
        <v>#NUM!</v>
      </c>
      <c r="CD145" s="62">
        <f ca="1">AVERAGE(OFFSET($CC$3,0,0,'Données projet'!$E$12+1,1))-AVERAGE(OFFSET($H$3,0,0,'Données projet'!$E$12+1,1))</f>
        <v>298.56812743477741</v>
      </c>
      <c r="CE145" s="62">
        <f t="shared" si="148"/>
        <v>276.01618888357268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>
        <f>EXP(-LN(2)/35)*CK144+(1-EXP(-LN(2)/35))/(LN(2)/35)*CG145*CH145*VLOOKUP('Données projet'!$B$12,Paramètres!$A$1:$I$89,3,0)*0.475*44/12</f>
        <v>0</v>
      </c>
      <c r="CL145" s="23">
        <f>EXP(-LN(2)/25)*CL144+(1-EXP(-LN(2)/25))/(LN(2)/25)*Calculateur!CG145*Calculateur!CI145*VLOOKUP('Données projet'!$B$12,Paramètres!$A$1:$I$89,3,0)*0.475*44/12</f>
        <v>0</v>
      </c>
      <c r="CM145" s="23">
        <f>EXP(-LN(2)/2)*CM144+(1-EXP(-LN(2)/2))/(LN(2)/2)*CG145*CJ145*VLOOKUP('Données projet'!$B$12,Paramètres!$A$1:$I$89,3,0)*0.475*44/12</f>
        <v>0</v>
      </c>
      <c r="CN145" s="24">
        <f t="shared" si="120"/>
        <v>0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2.2737367544323206E-13</v>
      </c>
      <c r="CU145" s="18">
        <f>CT145*VLOOKUP('Données projet'!$B$13,Paramètres!$A$1:$I$89,3,0)*VLOOKUP('Données projet'!$B$13,Paramètres!$A$1:$I$89,5,0)</f>
        <v>1.5252226148732008E-13</v>
      </c>
      <c r="CV145" s="14">
        <f t="shared" si="149"/>
        <v>2.1814502464536512E-12</v>
      </c>
      <c r="CW145" s="22">
        <f t="shared" si="121"/>
        <v>4.0650021179971913E-12</v>
      </c>
      <c r="CX145" s="62">
        <f t="shared" si="122"/>
        <v>285.69515750306317</v>
      </c>
      <c r="CY145" s="62">
        <f ca="1">AVERAGE(OFFSET($CX$3,0,0,'Données projet'!$E$13+1,1))-AVERAGE(OFFSET($H$3,0,0,'Données projet'!$E$13+1,1))</f>
        <v>346.82725381974132</v>
      </c>
      <c r="CZ145" s="62">
        <f t="shared" si="150"/>
        <v>254.09787950201044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>
        <f>EXP(-LN(2)/35)*DF144+(1-EXP(-LN(2)/35))/(LN(2)/35)*DB145*DC145*VLOOKUP('Données projet'!$B$13,Paramètres!$A$1:$I$89,3,0)*0.475*44/12</f>
        <v>0</v>
      </c>
      <c r="DG145" s="23">
        <f>EXP(-LN(2)/25)*DG144+(1-EXP(-LN(2)/25))/(LN(2)/25)*Calculateur!DB145*Calculateur!DD145*VLOOKUP('Données projet'!$B$13,Paramètres!$A$1:$I$89,3,0)*0.475*44/12</f>
        <v>0</v>
      </c>
      <c r="DH145" s="23">
        <f>EXP(-LN(2)/2)*DH144+(1-EXP(-LN(2)/2))/(LN(2)/2)*DB145*DE145*VLOOKUP('Données projet'!$B$13,Paramètres!$A$1:$I$89,3,0)*0.475*44/12</f>
        <v>0</v>
      </c>
      <c r="DI145" s="24">
        <f t="shared" si="123"/>
        <v>0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5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2">
        <f t="shared" si="140"/>
        <v>0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18.333333333333332</v>
      </c>
      <c r="H146" s="70">
        <f t="shared" si="110"/>
        <v>183.33333333333334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2.4</v>
      </c>
      <c r="N146" s="14">
        <f>IF('Données projet'!$A$36&gt;35,N145+M146-V145,IF(A146&lt;'Données projet'!$A$36,$K$205^A146,IF(A146='Données projet'!$A$36,'Données projet'!$B$36,N145+M146-V145)))</f>
        <v>276.19999999999919</v>
      </c>
      <c r="O146" s="14">
        <f>N146*VLOOKUP('Données projet'!$B$9,Paramètres!$A$1:$I$89,3,0)*VLOOKUP('Données projet'!$B$9,Paramètres!$A$1:$I$89,5,0)</f>
        <v>249.90575999999925</v>
      </c>
      <c r="P146" s="14">
        <f t="shared" si="141"/>
        <v>60.565760331923727</v>
      </c>
      <c r="Q146" s="22">
        <f t="shared" si="108"/>
        <v>540.73789791143247</v>
      </c>
      <c r="R146" s="62">
        <f t="shared" si="109"/>
        <v>826.56556068874397</v>
      </c>
      <c r="S146" s="62">
        <f ca="1">AVERAGE(OFFSET($R$3,0,0,'Données projet'!$E$9+1,1))-AVERAGE(OFFSET($H$3,0,0,'Données projet'!$E$9+1,1))</f>
        <v>469.67944008675863</v>
      </c>
      <c r="T146" s="62">
        <f t="shared" si="142"/>
        <v>266.11908070867173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0</v>
      </c>
      <c r="AA146" s="23">
        <f>EXP(-LN(2)/25)*AA145+(1-EXP(-LN(2)/25))/(LN(2)/25)*Calculateur!V146*Calculateur!X146*VLOOKUP('Données projet'!$B$9,Paramètres!$A$1:$I$89,3,0)*0.475*44/12</f>
        <v>0</v>
      </c>
      <c r="AB146" s="23">
        <f>EXP(-LN(2)/2)*AB145+(1-EXP(-LN(2)/2))/(LN(2)/2)*V146*Y146*VLOOKUP('Données projet'!$B$9,Paramètres!$A$1:$I$89,3,0)*0.475*44/12</f>
        <v>0</v>
      </c>
      <c r="AC146" s="24">
        <f t="shared" si="111"/>
        <v>0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0</v>
      </c>
      <c r="AJ146" s="14">
        <f>AI146*VLOOKUP('Données projet'!$B$10,Paramètres!$A$1:$I$89,3,0)*VLOOKUP('Données projet'!$B$10,Paramètres!$A$1:$I$89,5,0)</f>
        <v>0</v>
      </c>
      <c r="AK146" s="14" t="e">
        <f t="shared" si="143"/>
        <v>#NUM!</v>
      </c>
      <c r="AL146" s="22" t="e">
        <f t="shared" si="112"/>
        <v>#NUM!</v>
      </c>
      <c r="AM146" s="62" t="e">
        <f t="shared" si="113"/>
        <v>#NUM!</v>
      </c>
      <c r="AN146" s="62">
        <f ca="1">AVERAGE(OFFSET($AM$3,0,0,'Données projet'!$E$10+1,1))-AVERAGE(OFFSET($H$3,0,0,'Données projet'!$E$10+1,1))</f>
        <v>400.48230125343474</v>
      </c>
      <c r="AO146" s="62">
        <f t="shared" si="144"/>
        <v>275.67023303885048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0</v>
      </c>
      <c r="AV146" s="23">
        <f>EXP(-LN(2)/25)*AV145+(1-EXP(-LN(2)/25))/(LN(2)/25)*Calculateur!AQ146*Calculateur!AS146*VLOOKUP('Données projet'!$B$10,Paramètres!$A$1:$I$89,3,0)*0.475*44/12</f>
        <v>0</v>
      </c>
      <c r="AW146" s="23">
        <f>EXP(-LN(2)/2)*AW145+(1-EXP(-LN(2)/2))/(LN(2)/2)*AQ146*AT146*VLOOKUP('Données projet'!$B$10,Paramètres!$A$1:$I$89,3,0)*0.475*44/12</f>
        <v>0</v>
      </c>
      <c r="AX146" s="23">
        <f t="shared" si="114"/>
        <v>0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2.4</v>
      </c>
      <c r="BD146" s="13">
        <f>IF('Données projet'!$A$88&gt;35,BD145+BC146-BL145,IF(A146&lt;'Données projet'!$A$88,$BA$205^A146,IF(A146='Données projet'!$A$88,'Données projet'!$B$88,BD145+BC146-BL145)))</f>
        <v>276.19999999999919</v>
      </c>
      <c r="BE146" s="14">
        <f>BD146*VLOOKUP('Données projet'!$B$11,Paramètres!$A$1:$I$89,3,0)*VLOOKUP('Données projet'!$B$11,Paramètres!$A$1:$I$89,5,0)</f>
        <v>267.14063999999922</v>
      </c>
      <c r="BF146" s="14">
        <f t="shared" si="145"/>
        <v>64.242065428895785</v>
      </c>
      <c r="BG146" s="22">
        <f t="shared" si="115"/>
        <v>577.15821195532533</v>
      </c>
      <c r="BH146" s="62">
        <f t="shared" si="116"/>
        <v>862.98587473263683</v>
      </c>
      <c r="BI146" s="62">
        <f ca="1">AVERAGE(OFFSET($BH$3,0,0,'Données projet'!$E$11+1,1))-AVERAGE(OFFSET($H$3,0,0,'Données projet'!$E$11+1,1))</f>
        <v>496.33873798282525</v>
      </c>
      <c r="BJ146" s="62">
        <f t="shared" si="146"/>
        <v>280.25465074992246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>
        <f>EXP(-LN(2)/35)*BP145+(1-EXP(-LN(2)/35))/(LN(2)/35)*BL146*BM146*VLOOKUP('Données projet'!$B$11,Paramètres!$A$1:$I$89,3,0)*0.475*44/12</f>
        <v>0</v>
      </c>
      <c r="BQ146" s="23">
        <f>EXP(-LN(2)/25)*BQ145+(1-EXP(-LN(2)/25))/(LN(2)/25)*Calculateur!BL146*Calculateur!BN146*VLOOKUP('Données projet'!$B$11,Paramètres!$A$1:$I$89,3,0)*0.475*44/12</f>
        <v>0</v>
      </c>
      <c r="BR146" s="23">
        <f>EXP(-LN(2)/2)*BR145+(1-EXP(-LN(2)/2))/(LN(2)/2)*BL146*BO146*VLOOKUP('Données projet'!$B$11,Paramètres!$A$1:$I$89,3,0)*0.475*44/12</f>
        <v>0</v>
      </c>
      <c r="BS146" s="24">
        <f t="shared" si="117"/>
        <v>0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-1.1368683772161603E-13</v>
      </c>
      <c r="BZ146" s="14">
        <f>BY146*VLOOKUP('Données projet'!$B$12,Paramètres!$A$1:$I$89,3,0)*VLOOKUP('Données projet'!$B$12,Paramètres!$A$1:$I$89,5,0)</f>
        <v>-9.9316821433603781E-14</v>
      </c>
      <c r="CA146" s="14" t="e">
        <f t="shared" si="147"/>
        <v>#NUM!</v>
      </c>
      <c r="CB146" s="22" t="e">
        <f t="shared" si="118"/>
        <v>#NUM!</v>
      </c>
      <c r="CC146" s="62" t="e">
        <f t="shared" si="119"/>
        <v>#NUM!</v>
      </c>
      <c r="CD146" s="62">
        <f ca="1">AVERAGE(OFFSET($CC$3,0,0,'Données projet'!$E$12+1,1))-AVERAGE(OFFSET($H$3,0,0,'Données projet'!$E$12+1,1))</f>
        <v>298.56812743477741</v>
      </c>
      <c r="CE146" s="62">
        <f t="shared" si="148"/>
        <v>276.01618888357268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>
        <f>EXP(-LN(2)/35)*CK145+(1-EXP(-LN(2)/35))/(LN(2)/35)*CG146*CH146*VLOOKUP('Données projet'!$B$12,Paramètres!$A$1:$I$89,3,0)*0.475*44/12</f>
        <v>0</v>
      </c>
      <c r="CL146" s="23">
        <f>EXP(-LN(2)/25)*CL145+(1-EXP(-LN(2)/25))/(LN(2)/25)*Calculateur!CG146*Calculateur!CI146*VLOOKUP('Données projet'!$B$12,Paramètres!$A$1:$I$89,3,0)*0.475*44/12</f>
        <v>0</v>
      </c>
      <c r="CM146" s="23">
        <f>EXP(-LN(2)/2)*CM145+(1-EXP(-LN(2)/2))/(LN(2)/2)*CG146*CJ146*VLOOKUP('Données projet'!$B$12,Paramètres!$A$1:$I$89,3,0)*0.475*44/12</f>
        <v>0</v>
      </c>
      <c r="CN146" s="24">
        <f t="shared" si="120"/>
        <v>0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2.2737367544323206E-13</v>
      </c>
      <c r="CU146" s="18">
        <f>CT146*VLOOKUP('Données projet'!$B$13,Paramètres!$A$1:$I$89,3,0)*VLOOKUP('Données projet'!$B$13,Paramètres!$A$1:$I$89,5,0)</f>
        <v>1.5252226148732008E-13</v>
      </c>
      <c r="CV146" s="14">
        <f t="shared" si="149"/>
        <v>2.1814502464536512E-12</v>
      </c>
      <c r="CW146" s="22">
        <f t="shared" si="121"/>
        <v>4.0650021179971913E-12</v>
      </c>
      <c r="CX146" s="62">
        <f t="shared" si="122"/>
        <v>285.82766277731554</v>
      </c>
      <c r="CY146" s="62">
        <f ca="1">AVERAGE(OFFSET($CX$3,0,0,'Données projet'!$E$13+1,1))-AVERAGE(OFFSET($H$3,0,0,'Données projet'!$E$13+1,1))</f>
        <v>346.82725381974132</v>
      </c>
      <c r="CZ146" s="62">
        <f t="shared" si="150"/>
        <v>254.09787950201044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>
        <f>EXP(-LN(2)/35)*DF145+(1-EXP(-LN(2)/35))/(LN(2)/35)*DB146*DC146*VLOOKUP('Données projet'!$B$13,Paramètres!$A$1:$I$89,3,0)*0.475*44/12</f>
        <v>0</v>
      </c>
      <c r="DG146" s="23">
        <f>EXP(-LN(2)/25)*DG145+(1-EXP(-LN(2)/25))/(LN(2)/25)*Calculateur!DB146*Calculateur!DD146*VLOOKUP('Données projet'!$B$13,Paramètres!$A$1:$I$89,3,0)*0.475*44/12</f>
        <v>0</v>
      </c>
      <c r="DH146" s="23">
        <f>EXP(-LN(2)/2)*DH145+(1-EXP(-LN(2)/2))/(LN(2)/2)*DB146*DE146*VLOOKUP('Données projet'!$B$13,Paramètres!$A$1:$I$89,3,0)*0.475*44/12</f>
        <v>0</v>
      </c>
      <c r="DI146" s="24">
        <f t="shared" si="123"/>
        <v>0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5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2">
        <f t="shared" si="140"/>
        <v>0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18.333333333333332</v>
      </c>
      <c r="H147" s="70">
        <f t="shared" si="110"/>
        <v>183.33333333333334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2.4</v>
      </c>
      <c r="N147" s="14">
        <f>IF('Données projet'!$A$36&gt;35,N146+M147-V146,IF(A147&lt;'Données projet'!$A$36,$K$205^A147,IF(A147='Données projet'!$A$36,'Données projet'!$B$36,N146+M147-V146)))</f>
        <v>278.59999999999917</v>
      </c>
      <c r="O147" s="14">
        <f>N147*VLOOKUP('Données projet'!$B$9,Paramètres!$A$1:$I$89,3,0)*VLOOKUP('Données projet'!$B$9,Paramètres!$A$1:$I$89,5,0)</f>
        <v>252.07727999999923</v>
      </c>
      <c r="P147" s="14">
        <f t="shared" si="141"/>
        <v>61.030544652154823</v>
      </c>
      <c r="Q147" s="22">
        <f t="shared" si="108"/>
        <v>545.32946126916829</v>
      </c>
      <c r="R147" s="62">
        <f t="shared" si="109"/>
        <v>831.28733065046117</v>
      </c>
      <c r="S147" s="62">
        <f ca="1">AVERAGE(OFFSET($R$3,0,0,'Données projet'!$E$9+1,1))-AVERAGE(OFFSET($H$3,0,0,'Données projet'!$E$9+1,1))</f>
        <v>469.67944008675863</v>
      </c>
      <c r="T147" s="62">
        <f t="shared" si="142"/>
        <v>266.11908070867173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0</v>
      </c>
      <c r="AA147" s="23">
        <f>EXP(-LN(2)/25)*AA146+(1-EXP(-LN(2)/25))/(LN(2)/25)*Calculateur!V147*Calculateur!X147*VLOOKUP('Données projet'!$B$9,Paramètres!$A$1:$I$89,3,0)*0.475*44/12</f>
        <v>0</v>
      </c>
      <c r="AB147" s="23">
        <f>EXP(-LN(2)/2)*AB146+(1-EXP(-LN(2)/2))/(LN(2)/2)*V147*Y147*VLOOKUP('Données projet'!$B$9,Paramètres!$A$1:$I$89,3,0)*0.475*44/12</f>
        <v>0</v>
      </c>
      <c r="AC147" s="24">
        <f t="shared" si="111"/>
        <v>0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0</v>
      </c>
      <c r="AJ147" s="14">
        <f>AI147*VLOOKUP('Données projet'!$B$10,Paramètres!$A$1:$I$89,3,0)*VLOOKUP('Données projet'!$B$10,Paramètres!$A$1:$I$89,5,0)</f>
        <v>0</v>
      </c>
      <c r="AK147" s="14" t="e">
        <f t="shared" si="143"/>
        <v>#NUM!</v>
      </c>
      <c r="AL147" s="22" t="e">
        <f t="shared" si="112"/>
        <v>#NUM!</v>
      </c>
      <c r="AM147" s="62" t="e">
        <f t="shared" si="113"/>
        <v>#NUM!</v>
      </c>
      <c r="AN147" s="62">
        <f ca="1">AVERAGE(OFFSET($AM$3,0,0,'Données projet'!$E$10+1,1))-AVERAGE(OFFSET($H$3,0,0,'Données projet'!$E$10+1,1))</f>
        <v>400.48230125343474</v>
      </c>
      <c r="AO147" s="62">
        <f t="shared" si="144"/>
        <v>275.67023303885048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0</v>
      </c>
      <c r="AV147" s="23">
        <f>EXP(-LN(2)/25)*AV146+(1-EXP(-LN(2)/25))/(LN(2)/25)*Calculateur!AQ147*Calculateur!AS147*VLOOKUP('Données projet'!$B$10,Paramètres!$A$1:$I$89,3,0)*0.475*44/12</f>
        <v>0</v>
      </c>
      <c r="AW147" s="23">
        <f>EXP(-LN(2)/2)*AW146+(1-EXP(-LN(2)/2))/(LN(2)/2)*AQ147*AT147*VLOOKUP('Données projet'!$B$10,Paramètres!$A$1:$I$89,3,0)*0.475*44/12</f>
        <v>0</v>
      </c>
      <c r="AX147" s="23">
        <f t="shared" si="114"/>
        <v>0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2.4</v>
      </c>
      <c r="BD147" s="13">
        <f>IF('Données projet'!$A$88&gt;35,BD146+BC147-BL146,IF(A147&lt;'Données projet'!$A$88,$BA$205^A147,IF(A147='Données projet'!$A$88,'Données projet'!$B$88,BD146+BC147-BL146)))</f>
        <v>278.59999999999917</v>
      </c>
      <c r="BE147" s="14">
        <f>BD147*VLOOKUP('Données projet'!$B$11,Paramètres!$A$1:$I$89,3,0)*VLOOKUP('Données projet'!$B$11,Paramètres!$A$1:$I$89,5,0)</f>
        <v>269.46191999999922</v>
      </c>
      <c r="BF147" s="14">
        <f t="shared" si="145"/>
        <v>64.735061876838927</v>
      </c>
      <c r="BG147" s="22">
        <f t="shared" si="115"/>
        <v>582.05974343549315</v>
      </c>
      <c r="BH147" s="62">
        <f t="shared" si="116"/>
        <v>868.01761281678603</v>
      </c>
      <c r="BI147" s="62">
        <f ca="1">AVERAGE(OFFSET($BH$3,0,0,'Données projet'!$E$11+1,1))-AVERAGE(OFFSET($H$3,0,0,'Données projet'!$E$11+1,1))</f>
        <v>496.33873798282525</v>
      </c>
      <c r="BJ147" s="62">
        <f t="shared" si="146"/>
        <v>280.25465074992246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>
        <f>EXP(-LN(2)/35)*BP146+(1-EXP(-LN(2)/35))/(LN(2)/35)*BL147*BM147*VLOOKUP('Données projet'!$B$11,Paramètres!$A$1:$I$89,3,0)*0.475*44/12</f>
        <v>0</v>
      </c>
      <c r="BQ147" s="23">
        <f>EXP(-LN(2)/25)*BQ146+(1-EXP(-LN(2)/25))/(LN(2)/25)*Calculateur!BL147*Calculateur!BN147*VLOOKUP('Données projet'!$B$11,Paramètres!$A$1:$I$89,3,0)*0.475*44/12</f>
        <v>0</v>
      </c>
      <c r="BR147" s="23">
        <f>EXP(-LN(2)/2)*BR146+(1-EXP(-LN(2)/2))/(LN(2)/2)*BL147*BO147*VLOOKUP('Données projet'!$B$11,Paramètres!$A$1:$I$89,3,0)*0.475*44/12</f>
        <v>0</v>
      </c>
      <c r="BS147" s="24">
        <f t="shared" si="117"/>
        <v>0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-1.1368683772161603E-13</v>
      </c>
      <c r="BZ147" s="14">
        <f>BY147*VLOOKUP('Données projet'!$B$12,Paramètres!$A$1:$I$89,3,0)*VLOOKUP('Données projet'!$B$12,Paramètres!$A$1:$I$89,5,0)</f>
        <v>-9.9316821433603781E-14</v>
      </c>
      <c r="CA147" s="14" t="e">
        <f t="shared" si="147"/>
        <v>#NUM!</v>
      </c>
      <c r="CB147" s="22" t="e">
        <f t="shared" si="118"/>
        <v>#NUM!</v>
      </c>
      <c r="CC147" s="62" t="e">
        <f t="shared" si="119"/>
        <v>#NUM!</v>
      </c>
      <c r="CD147" s="62">
        <f ca="1">AVERAGE(OFFSET($CC$3,0,0,'Données projet'!$E$12+1,1))-AVERAGE(OFFSET($H$3,0,0,'Données projet'!$E$12+1,1))</f>
        <v>298.56812743477741</v>
      </c>
      <c r="CE147" s="62">
        <f t="shared" si="148"/>
        <v>276.01618888357268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>
        <f>EXP(-LN(2)/35)*CK146+(1-EXP(-LN(2)/35))/(LN(2)/35)*CG147*CH147*VLOOKUP('Données projet'!$B$12,Paramètres!$A$1:$I$89,3,0)*0.475*44/12</f>
        <v>0</v>
      </c>
      <c r="CL147" s="23">
        <f>EXP(-LN(2)/25)*CL146+(1-EXP(-LN(2)/25))/(LN(2)/25)*Calculateur!CG147*Calculateur!CI147*VLOOKUP('Données projet'!$B$12,Paramètres!$A$1:$I$89,3,0)*0.475*44/12</f>
        <v>0</v>
      </c>
      <c r="CM147" s="23">
        <f>EXP(-LN(2)/2)*CM146+(1-EXP(-LN(2)/2))/(LN(2)/2)*CG147*CJ147*VLOOKUP('Données projet'!$B$12,Paramètres!$A$1:$I$89,3,0)*0.475*44/12</f>
        <v>0</v>
      </c>
      <c r="CN147" s="24">
        <f t="shared" si="120"/>
        <v>0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2.2737367544323206E-13</v>
      </c>
      <c r="CU147" s="18">
        <f>CT147*VLOOKUP('Données projet'!$B$13,Paramètres!$A$1:$I$89,3,0)*VLOOKUP('Données projet'!$B$13,Paramètres!$A$1:$I$89,5,0)</f>
        <v>1.5252226148732008E-13</v>
      </c>
      <c r="CV147" s="14">
        <f t="shared" si="149"/>
        <v>2.1814502464536512E-12</v>
      </c>
      <c r="CW147" s="22">
        <f t="shared" si="121"/>
        <v>4.0650021179971913E-12</v>
      </c>
      <c r="CX147" s="62">
        <f t="shared" si="122"/>
        <v>285.95786938129697</v>
      </c>
      <c r="CY147" s="62">
        <f ca="1">AVERAGE(OFFSET($CX$3,0,0,'Données projet'!$E$13+1,1))-AVERAGE(OFFSET($H$3,0,0,'Données projet'!$E$13+1,1))</f>
        <v>346.82725381974132</v>
      </c>
      <c r="CZ147" s="62">
        <f t="shared" si="150"/>
        <v>254.09787950201044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>
        <f>EXP(-LN(2)/35)*DF146+(1-EXP(-LN(2)/35))/(LN(2)/35)*DB147*DC147*VLOOKUP('Données projet'!$B$13,Paramètres!$A$1:$I$89,3,0)*0.475*44/12</f>
        <v>0</v>
      </c>
      <c r="DG147" s="23">
        <f>EXP(-LN(2)/25)*DG146+(1-EXP(-LN(2)/25))/(LN(2)/25)*Calculateur!DB147*Calculateur!DD147*VLOOKUP('Données projet'!$B$13,Paramètres!$A$1:$I$89,3,0)*0.475*44/12</f>
        <v>0</v>
      </c>
      <c r="DH147" s="23">
        <f>EXP(-LN(2)/2)*DH146+(1-EXP(-LN(2)/2))/(LN(2)/2)*DB147*DE147*VLOOKUP('Données projet'!$B$13,Paramètres!$A$1:$I$89,3,0)*0.475*44/12</f>
        <v>0</v>
      </c>
      <c r="DI147" s="24">
        <f t="shared" si="123"/>
        <v>0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5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2">
        <f t="shared" si="140"/>
        <v>0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18.333333333333332</v>
      </c>
      <c r="H148" s="70">
        <f t="shared" si="110"/>
        <v>183.33333333333334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2.4</v>
      </c>
      <c r="N148" s="14">
        <f>IF('Données projet'!$A$36&gt;35,N147+M148-V147,IF(A148&lt;'Données projet'!$A$36,$K$205^A148,IF(A148='Données projet'!$A$36,'Données projet'!$B$36,N147+M148-V147)))</f>
        <v>280.99999999999915</v>
      </c>
      <c r="O148" s="14">
        <f>N148*VLOOKUP('Données projet'!$B$9,Paramètres!$A$1:$I$89,3,0)*VLOOKUP('Données projet'!$B$9,Paramètres!$A$1:$I$89,5,0)</f>
        <v>254.24879999999925</v>
      </c>
      <c r="P148" s="14">
        <f t="shared" si="141"/>
        <v>61.494863147658698</v>
      </c>
      <c r="Q148" s="22">
        <f t="shared" si="108"/>
        <v>549.92021331550427</v>
      </c>
      <c r="R148" s="62">
        <f t="shared" si="109"/>
        <v>836.00603050729785</v>
      </c>
      <c r="S148" s="62">
        <f ca="1">AVERAGE(OFFSET($R$3,0,0,'Données projet'!$E$9+1,1))-AVERAGE(OFFSET($H$3,0,0,'Données projet'!$E$9+1,1))</f>
        <v>469.67944008675863</v>
      </c>
      <c r="T148" s="62">
        <f t="shared" si="142"/>
        <v>266.11908070867173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0</v>
      </c>
      <c r="AA148" s="23">
        <f>EXP(-LN(2)/25)*AA147+(1-EXP(-LN(2)/25))/(LN(2)/25)*Calculateur!V148*Calculateur!X148*VLOOKUP('Données projet'!$B$9,Paramètres!$A$1:$I$89,3,0)*0.475*44/12</f>
        <v>0</v>
      </c>
      <c r="AB148" s="23">
        <f>EXP(-LN(2)/2)*AB147+(1-EXP(-LN(2)/2))/(LN(2)/2)*V148*Y148*VLOOKUP('Données projet'!$B$9,Paramètres!$A$1:$I$89,3,0)*0.475*44/12</f>
        <v>0</v>
      </c>
      <c r="AC148" s="24">
        <f t="shared" si="111"/>
        <v>0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0</v>
      </c>
      <c r="AJ148" s="14">
        <f>AI148*VLOOKUP('Données projet'!$B$10,Paramètres!$A$1:$I$89,3,0)*VLOOKUP('Données projet'!$B$10,Paramètres!$A$1:$I$89,5,0)</f>
        <v>0</v>
      </c>
      <c r="AK148" s="14" t="e">
        <f t="shared" si="143"/>
        <v>#NUM!</v>
      </c>
      <c r="AL148" s="22" t="e">
        <f t="shared" si="112"/>
        <v>#NUM!</v>
      </c>
      <c r="AM148" s="62" t="e">
        <f t="shared" si="113"/>
        <v>#NUM!</v>
      </c>
      <c r="AN148" s="62">
        <f ca="1">AVERAGE(OFFSET($AM$3,0,0,'Données projet'!$E$10+1,1))-AVERAGE(OFFSET($H$3,0,0,'Données projet'!$E$10+1,1))</f>
        <v>400.48230125343474</v>
      </c>
      <c r="AO148" s="62">
        <f t="shared" si="144"/>
        <v>275.67023303885048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0</v>
      </c>
      <c r="AV148" s="23">
        <f>EXP(-LN(2)/25)*AV147+(1-EXP(-LN(2)/25))/(LN(2)/25)*Calculateur!AQ148*Calculateur!AS148*VLOOKUP('Données projet'!$B$10,Paramètres!$A$1:$I$89,3,0)*0.475*44/12</f>
        <v>0</v>
      </c>
      <c r="AW148" s="23">
        <f>EXP(-LN(2)/2)*AW147+(1-EXP(-LN(2)/2))/(LN(2)/2)*AQ148*AT148*VLOOKUP('Données projet'!$B$10,Paramètres!$A$1:$I$89,3,0)*0.475*44/12</f>
        <v>0</v>
      </c>
      <c r="AX148" s="23">
        <f t="shared" si="114"/>
        <v>0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2.4</v>
      </c>
      <c r="BD148" s="13">
        <f>IF('Données projet'!$A$88&gt;35,BD147+BC148-BL147,IF(A148&lt;'Données projet'!$A$88,$BA$205^A148,IF(A148='Données projet'!$A$88,'Données projet'!$B$88,BD147+BC148-BL147)))</f>
        <v>280.99999999999915</v>
      </c>
      <c r="BE148" s="14">
        <f>BD148*VLOOKUP('Données projet'!$B$11,Paramètres!$A$1:$I$89,3,0)*VLOOKUP('Données projet'!$B$11,Paramètres!$A$1:$I$89,5,0)</f>
        <v>271.78319999999917</v>
      </c>
      <c r="BF148" s="14">
        <f t="shared" si="145"/>
        <v>65.227564224775008</v>
      </c>
      <c r="BG148" s="22">
        <f t="shared" si="115"/>
        <v>586.96041435814834</v>
      </c>
      <c r="BH148" s="62">
        <f t="shared" si="116"/>
        <v>873.04623154994192</v>
      </c>
      <c r="BI148" s="62">
        <f ca="1">AVERAGE(OFFSET($BH$3,0,0,'Données projet'!$E$11+1,1))-AVERAGE(OFFSET($H$3,0,0,'Données projet'!$E$11+1,1))</f>
        <v>496.33873798282525</v>
      </c>
      <c r="BJ148" s="62">
        <f t="shared" si="146"/>
        <v>280.25465074992246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>
        <f>EXP(-LN(2)/35)*BP147+(1-EXP(-LN(2)/35))/(LN(2)/35)*BL148*BM148*VLOOKUP('Données projet'!$B$11,Paramètres!$A$1:$I$89,3,0)*0.475*44/12</f>
        <v>0</v>
      </c>
      <c r="BQ148" s="23">
        <f>EXP(-LN(2)/25)*BQ147+(1-EXP(-LN(2)/25))/(LN(2)/25)*Calculateur!BL148*Calculateur!BN148*VLOOKUP('Données projet'!$B$11,Paramètres!$A$1:$I$89,3,0)*0.475*44/12</f>
        <v>0</v>
      </c>
      <c r="BR148" s="23">
        <f>EXP(-LN(2)/2)*BR147+(1-EXP(-LN(2)/2))/(LN(2)/2)*BL148*BO148*VLOOKUP('Données projet'!$B$11,Paramètres!$A$1:$I$89,3,0)*0.475*44/12</f>
        <v>0</v>
      </c>
      <c r="BS148" s="24">
        <f t="shared" si="117"/>
        <v>0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-1.1368683772161603E-13</v>
      </c>
      <c r="BZ148" s="14">
        <f>BY148*VLOOKUP('Données projet'!$B$12,Paramètres!$A$1:$I$89,3,0)*VLOOKUP('Données projet'!$B$12,Paramètres!$A$1:$I$89,5,0)</f>
        <v>-9.9316821433603781E-14</v>
      </c>
      <c r="CA148" s="14" t="e">
        <f t="shared" si="147"/>
        <v>#NUM!</v>
      </c>
      <c r="CB148" s="22" t="e">
        <f t="shared" si="118"/>
        <v>#NUM!</v>
      </c>
      <c r="CC148" s="62" t="e">
        <f t="shared" si="119"/>
        <v>#NUM!</v>
      </c>
      <c r="CD148" s="62">
        <f ca="1">AVERAGE(OFFSET($CC$3,0,0,'Données projet'!$E$12+1,1))-AVERAGE(OFFSET($H$3,0,0,'Données projet'!$E$12+1,1))</f>
        <v>298.56812743477741</v>
      </c>
      <c r="CE148" s="62">
        <f t="shared" si="148"/>
        <v>276.01618888357268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>
        <f>EXP(-LN(2)/35)*CK147+(1-EXP(-LN(2)/35))/(LN(2)/35)*CG148*CH148*VLOOKUP('Données projet'!$B$12,Paramètres!$A$1:$I$89,3,0)*0.475*44/12</f>
        <v>0</v>
      </c>
      <c r="CL148" s="23">
        <f>EXP(-LN(2)/25)*CL147+(1-EXP(-LN(2)/25))/(LN(2)/25)*Calculateur!CG148*Calculateur!CI148*VLOOKUP('Données projet'!$B$12,Paramètres!$A$1:$I$89,3,0)*0.475*44/12</f>
        <v>0</v>
      </c>
      <c r="CM148" s="23">
        <f>EXP(-LN(2)/2)*CM147+(1-EXP(-LN(2)/2))/(LN(2)/2)*CG148*CJ148*VLOOKUP('Données projet'!$B$12,Paramètres!$A$1:$I$89,3,0)*0.475*44/12</f>
        <v>0</v>
      </c>
      <c r="CN148" s="24">
        <f t="shared" si="120"/>
        <v>0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2.2737367544323206E-13</v>
      </c>
      <c r="CU148" s="18">
        <f>CT148*VLOOKUP('Données projet'!$B$13,Paramètres!$A$1:$I$89,3,0)*VLOOKUP('Données projet'!$B$13,Paramètres!$A$1:$I$89,5,0)</f>
        <v>1.5252226148732008E-13</v>
      </c>
      <c r="CV148" s="14">
        <f t="shared" si="149"/>
        <v>2.1814502464536512E-12</v>
      </c>
      <c r="CW148" s="22">
        <f t="shared" si="121"/>
        <v>4.0650021179971913E-12</v>
      </c>
      <c r="CX148" s="62">
        <f t="shared" si="122"/>
        <v>286.08581719179767</v>
      </c>
      <c r="CY148" s="62">
        <f ca="1">AVERAGE(OFFSET($CX$3,0,0,'Données projet'!$E$13+1,1))-AVERAGE(OFFSET($H$3,0,0,'Données projet'!$E$13+1,1))</f>
        <v>346.82725381974132</v>
      </c>
      <c r="CZ148" s="62">
        <f t="shared" si="150"/>
        <v>254.09787950201044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>
        <f>EXP(-LN(2)/35)*DF147+(1-EXP(-LN(2)/35))/(LN(2)/35)*DB148*DC148*VLOOKUP('Données projet'!$B$13,Paramètres!$A$1:$I$89,3,0)*0.475*44/12</f>
        <v>0</v>
      </c>
      <c r="DG148" s="23">
        <f>EXP(-LN(2)/25)*DG147+(1-EXP(-LN(2)/25))/(LN(2)/25)*Calculateur!DB148*Calculateur!DD148*VLOOKUP('Données projet'!$B$13,Paramètres!$A$1:$I$89,3,0)*0.475*44/12</f>
        <v>0</v>
      </c>
      <c r="DH148" s="23">
        <f>EXP(-LN(2)/2)*DH147+(1-EXP(-LN(2)/2))/(LN(2)/2)*DB148*DE148*VLOOKUP('Données projet'!$B$13,Paramètres!$A$1:$I$89,3,0)*0.475*44/12</f>
        <v>0</v>
      </c>
      <c r="DI148" s="24">
        <f t="shared" si="123"/>
        <v>0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5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2">
        <f t="shared" si="140"/>
        <v>0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18.333333333333332</v>
      </c>
      <c r="H149" s="70">
        <f t="shared" si="110"/>
        <v>183.33333333333334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2.4</v>
      </c>
      <c r="N149" s="14">
        <f>IF('Données projet'!$A$36&gt;35,N148+M149-V148,IF(A149&lt;'Données projet'!$A$36,$K$205^A149,IF(A149='Données projet'!$A$36,'Données projet'!$B$36,N148+M149-V148)))</f>
        <v>283.39999999999912</v>
      </c>
      <c r="O149" s="14">
        <f>N149*VLOOKUP('Données projet'!$B$9,Paramètres!$A$1:$I$89,3,0)*VLOOKUP('Données projet'!$B$9,Paramètres!$A$1:$I$89,5,0)</f>
        <v>256.42031999999921</v>
      </c>
      <c r="P149" s="14">
        <f t="shared" si="141"/>
        <v>61.958720258016747</v>
      </c>
      <c r="Q149" s="22">
        <f t="shared" si="108"/>
        <v>554.51016178271107</v>
      </c>
      <c r="R149" s="62">
        <f t="shared" si="109"/>
        <v>840.72170717654171</v>
      </c>
      <c r="S149" s="62">
        <f ca="1">AVERAGE(OFFSET($R$3,0,0,'Données projet'!$E$9+1,1))-AVERAGE(OFFSET($H$3,0,0,'Données projet'!$E$9+1,1))</f>
        <v>469.67944008675863</v>
      </c>
      <c r="T149" s="62">
        <f t="shared" si="142"/>
        <v>266.11908070867173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0</v>
      </c>
      <c r="AA149" s="23">
        <f>EXP(-LN(2)/25)*AA148+(1-EXP(-LN(2)/25))/(LN(2)/25)*Calculateur!V149*Calculateur!X149*VLOOKUP('Données projet'!$B$9,Paramètres!$A$1:$I$89,3,0)*0.475*44/12</f>
        <v>0</v>
      </c>
      <c r="AB149" s="23">
        <f>EXP(-LN(2)/2)*AB148+(1-EXP(-LN(2)/2))/(LN(2)/2)*V149*Y149*VLOOKUP('Données projet'!$B$9,Paramètres!$A$1:$I$89,3,0)*0.475*44/12</f>
        <v>0</v>
      </c>
      <c r="AC149" s="24">
        <f t="shared" si="111"/>
        <v>0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0</v>
      </c>
      <c r="AJ149" s="14">
        <f>AI149*VLOOKUP('Données projet'!$B$10,Paramètres!$A$1:$I$89,3,0)*VLOOKUP('Données projet'!$B$10,Paramètres!$A$1:$I$89,5,0)</f>
        <v>0</v>
      </c>
      <c r="AK149" s="14" t="e">
        <f t="shared" si="143"/>
        <v>#NUM!</v>
      </c>
      <c r="AL149" s="22" t="e">
        <f t="shared" si="112"/>
        <v>#NUM!</v>
      </c>
      <c r="AM149" s="62" t="e">
        <f t="shared" si="113"/>
        <v>#NUM!</v>
      </c>
      <c r="AN149" s="62">
        <f ca="1">AVERAGE(OFFSET($AM$3,0,0,'Données projet'!$E$10+1,1))-AVERAGE(OFFSET($H$3,0,0,'Données projet'!$E$10+1,1))</f>
        <v>400.48230125343474</v>
      </c>
      <c r="AO149" s="62">
        <f t="shared" si="144"/>
        <v>275.67023303885048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0</v>
      </c>
      <c r="AV149" s="23">
        <f>EXP(-LN(2)/25)*AV148+(1-EXP(-LN(2)/25))/(LN(2)/25)*Calculateur!AQ149*Calculateur!AS149*VLOOKUP('Données projet'!$B$10,Paramètres!$A$1:$I$89,3,0)*0.475*44/12</f>
        <v>0</v>
      </c>
      <c r="AW149" s="23">
        <f>EXP(-LN(2)/2)*AW148+(1-EXP(-LN(2)/2))/(LN(2)/2)*AQ149*AT149*VLOOKUP('Données projet'!$B$10,Paramètres!$A$1:$I$89,3,0)*0.475*44/12</f>
        <v>0</v>
      </c>
      <c r="AX149" s="23">
        <f t="shared" si="114"/>
        <v>0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2.4</v>
      </c>
      <c r="BD149" s="13">
        <f>IF('Données projet'!$A$88&gt;35,BD148+BC149-BL148,IF(A149&lt;'Données projet'!$A$88,$BA$205^A149,IF(A149='Données projet'!$A$88,'Données projet'!$B$88,BD148+BC149-BL148)))</f>
        <v>283.39999999999912</v>
      </c>
      <c r="BE149" s="14">
        <f>BD149*VLOOKUP('Données projet'!$B$11,Paramètres!$A$1:$I$89,3,0)*VLOOKUP('Données projet'!$B$11,Paramètres!$A$1:$I$89,5,0)</f>
        <v>274.10447999999917</v>
      </c>
      <c r="BF149" s="14">
        <f t="shared" si="145"/>
        <v>65.719577181765331</v>
      </c>
      <c r="BG149" s="22">
        <f t="shared" si="115"/>
        <v>591.86023292490643</v>
      </c>
      <c r="BH149" s="62">
        <f t="shared" si="116"/>
        <v>878.07177831873707</v>
      </c>
      <c r="BI149" s="62">
        <f ca="1">AVERAGE(OFFSET($BH$3,0,0,'Données projet'!$E$11+1,1))-AVERAGE(OFFSET($H$3,0,0,'Données projet'!$E$11+1,1))</f>
        <v>496.33873798282525</v>
      </c>
      <c r="BJ149" s="62">
        <f t="shared" si="146"/>
        <v>280.25465074992246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>
        <f>EXP(-LN(2)/35)*BP148+(1-EXP(-LN(2)/35))/(LN(2)/35)*BL149*BM149*VLOOKUP('Données projet'!$B$11,Paramètres!$A$1:$I$89,3,0)*0.475*44/12</f>
        <v>0</v>
      </c>
      <c r="BQ149" s="23">
        <f>EXP(-LN(2)/25)*BQ148+(1-EXP(-LN(2)/25))/(LN(2)/25)*Calculateur!BL149*Calculateur!BN149*VLOOKUP('Données projet'!$B$11,Paramètres!$A$1:$I$89,3,0)*0.475*44/12</f>
        <v>0</v>
      </c>
      <c r="BR149" s="23">
        <f>EXP(-LN(2)/2)*BR148+(1-EXP(-LN(2)/2))/(LN(2)/2)*BL149*BO149*VLOOKUP('Données projet'!$B$11,Paramètres!$A$1:$I$89,3,0)*0.475*44/12</f>
        <v>0</v>
      </c>
      <c r="BS149" s="24">
        <f t="shared" si="117"/>
        <v>0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-1.1368683772161603E-13</v>
      </c>
      <c r="BZ149" s="14">
        <f>BY149*VLOOKUP('Données projet'!$B$12,Paramètres!$A$1:$I$89,3,0)*VLOOKUP('Données projet'!$B$12,Paramètres!$A$1:$I$89,5,0)</f>
        <v>-9.9316821433603781E-14</v>
      </c>
      <c r="CA149" s="14" t="e">
        <f t="shared" si="147"/>
        <v>#NUM!</v>
      </c>
      <c r="CB149" s="22" t="e">
        <f t="shared" si="118"/>
        <v>#NUM!</v>
      </c>
      <c r="CC149" s="62" t="e">
        <f t="shared" si="119"/>
        <v>#NUM!</v>
      </c>
      <c r="CD149" s="62">
        <f ca="1">AVERAGE(OFFSET($CC$3,0,0,'Données projet'!$E$12+1,1))-AVERAGE(OFFSET($H$3,0,0,'Données projet'!$E$12+1,1))</f>
        <v>298.56812743477741</v>
      </c>
      <c r="CE149" s="62">
        <f t="shared" si="148"/>
        <v>276.01618888357268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>
        <f>EXP(-LN(2)/35)*CK148+(1-EXP(-LN(2)/35))/(LN(2)/35)*CG149*CH149*VLOOKUP('Données projet'!$B$12,Paramètres!$A$1:$I$89,3,0)*0.475*44/12</f>
        <v>0</v>
      </c>
      <c r="CL149" s="23">
        <f>EXP(-LN(2)/25)*CL148+(1-EXP(-LN(2)/25))/(LN(2)/25)*Calculateur!CG149*Calculateur!CI149*VLOOKUP('Données projet'!$B$12,Paramètres!$A$1:$I$89,3,0)*0.475*44/12</f>
        <v>0</v>
      </c>
      <c r="CM149" s="23">
        <f>EXP(-LN(2)/2)*CM148+(1-EXP(-LN(2)/2))/(LN(2)/2)*CG149*CJ149*VLOOKUP('Données projet'!$B$12,Paramètres!$A$1:$I$89,3,0)*0.475*44/12</f>
        <v>0</v>
      </c>
      <c r="CN149" s="24">
        <f t="shared" si="120"/>
        <v>0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2.2737367544323206E-13</v>
      </c>
      <c r="CU149" s="18">
        <f>CT149*VLOOKUP('Données projet'!$B$13,Paramètres!$A$1:$I$89,3,0)*VLOOKUP('Données projet'!$B$13,Paramètres!$A$1:$I$89,5,0)</f>
        <v>1.5252226148732008E-13</v>
      </c>
      <c r="CV149" s="14">
        <f t="shared" si="149"/>
        <v>2.1814502464536512E-12</v>
      </c>
      <c r="CW149" s="22">
        <f t="shared" si="121"/>
        <v>4.0650021179971913E-12</v>
      </c>
      <c r="CX149" s="62">
        <f t="shared" si="122"/>
        <v>286.21154539383474</v>
      </c>
      <c r="CY149" s="62">
        <f ca="1">AVERAGE(OFFSET($CX$3,0,0,'Données projet'!$E$13+1,1))-AVERAGE(OFFSET($H$3,0,0,'Données projet'!$E$13+1,1))</f>
        <v>346.82725381974132</v>
      </c>
      <c r="CZ149" s="62">
        <f t="shared" si="150"/>
        <v>254.09787950201044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>
        <f>EXP(-LN(2)/35)*DF148+(1-EXP(-LN(2)/35))/(LN(2)/35)*DB149*DC149*VLOOKUP('Données projet'!$B$13,Paramètres!$A$1:$I$89,3,0)*0.475*44/12</f>
        <v>0</v>
      </c>
      <c r="DG149" s="23">
        <f>EXP(-LN(2)/25)*DG148+(1-EXP(-LN(2)/25))/(LN(2)/25)*Calculateur!DB149*Calculateur!DD149*VLOOKUP('Données projet'!$B$13,Paramètres!$A$1:$I$89,3,0)*0.475*44/12</f>
        <v>0</v>
      </c>
      <c r="DH149" s="23">
        <f>EXP(-LN(2)/2)*DH148+(1-EXP(-LN(2)/2))/(LN(2)/2)*DB149*DE149*VLOOKUP('Données projet'!$B$13,Paramètres!$A$1:$I$89,3,0)*0.475*44/12</f>
        <v>0</v>
      </c>
      <c r="DI149" s="24">
        <f t="shared" si="123"/>
        <v>0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5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2">
        <f t="shared" si="140"/>
        <v>0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18.333333333333332</v>
      </c>
      <c r="H150" s="70">
        <f t="shared" si="110"/>
        <v>183.33333333333334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2.4</v>
      </c>
      <c r="N150" s="14">
        <f>IF('Données projet'!$A$36&gt;35,N149+M150-V149,IF(A150&lt;'Données projet'!$A$36,$K$205^A150,IF(A150='Données projet'!$A$36,'Données projet'!$B$36,N149+M150-V149)))</f>
        <v>285.7999999999991</v>
      </c>
      <c r="O150" s="14">
        <f>N150*VLOOKUP('Données projet'!$B$9,Paramètres!$A$1:$I$89,3,0)*VLOOKUP('Données projet'!$B$9,Paramètres!$A$1:$I$89,5,0)</f>
        <v>258.59183999999919</v>
      </c>
      <c r="P150" s="14">
        <f t="shared" si="141"/>
        <v>62.422120343276475</v>
      </c>
      <c r="Q150" s="22">
        <f t="shared" si="108"/>
        <v>559.09931426453841</v>
      </c>
      <c r="R150" s="62">
        <f t="shared" si="109"/>
        <v>845.43440675718682</v>
      </c>
      <c r="S150" s="62">
        <f ca="1">AVERAGE(OFFSET($R$3,0,0,'Données projet'!$E$9+1,1))-AVERAGE(OFFSET($H$3,0,0,'Données projet'!$E$9+1,1))</f>
        <v>469.67944008675863</v>
      </c>
      <c r="T150" s="62">
        <f t="shared" si="142"/>
        <v>266.11908070867173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0</v>
      </c>
      <c r="AA150" s="23">
        <f>EXP(-LN(2)/25)*AA149+(1-EXP(-LN(2)/25))/(LN(2)/25)*Calculateur!V150*Calculateur!X150*VLOOKUP('Données projet'!$B$9,Paramètres!$A$1:$I$89,3,0)*0.475*44/12</f>
        <v>0</v>
      </c>
      <c r="AB150" s="23">
        <f>EXP(-LN(2)/2)*AB149+(1-EXP(-LN(2)/2))/(LN(2)/2)*V150*Y150*VLOOKUP('Données projet'!$B$9,Paramètres!$A$1:$I$89,3,0)*0.475*44/12</f>
        <v>0</v>
      </c>
      <c r="AC150" s="24">
        <f t="shared" si="111"/>
        <v>0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0</v>
      </c>
      <c r="AJ150" s="14">
        <f>AI150*VLOOKUP('Données projet'!$B$10,Paramètres!$A$1:$I$89,3,0)*VLOOKUP('Données projet'!$B$10,Paramètres!$A$1:$I$89,5,0)</f>
        <v>0</v>
      </c>
      <c r="AK150" s="14" t="e">
        <f t="shared" si="143"/>
        <v>#NUM!</v>
      </c>
      <c r="AL150" s="22" t="e">
        <f t="shared" si="112"/>
        <v>#NUM!</v>
      </c>
      <c r="AM150" s="62" t="e">
        <f t="shared" si="113"/>
        <v>#NUM!</v>
      </c>
      <c r="AN150" s="62">
        <f ca="1">AVERAGE(OFFSET($AM$3,0,0,'Données projet'!$E$10+1,1))-AVERAGE(OFFSET($H$3,0,0,'Données projet'!$E$10+1,1))</f>
        <v>400.48230125343474</v>
      </c>
      <c r="AO150" s="62">
        <f t="shared" si="144"/>
        <v>275.67023303885048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0</v>
      </c>
      <c r="AV150" s="23">
        <f>EXP(-LN(2)/25)*AV149+(1-EXP(-LN(2)/25))/(LN(2)/25)*Calculateur!AQ150*Calculateur!AS150*VLOOKUP('Données projet'!$B$10,Paramètres!$A$1:$I$89,3,0)*0.475*44/12</f>
        <v>0</v>
      </c>
      <c r="AW150" s="23">
        <f>EXP(-LN(2)/2)*AW149+(1-EXP(-LN(2)/2))/(LN(2)/2)*AQ150*AT150*VLOOKUP('Données projet'!$B$10,Paramètres!$A$1:$I$89,3,0)*0.475*44/12</f>
        <v>0</v>
      </c>
      <c r="AX150" s="23">
        <f t="shared" si="114"/>
        <v>0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2.4</v>
      </c>
      <c r="BD150" s="13">
        <f>IF('Données projet'!$A$88&gt;35,BD149+BC150-BL149,IF(A150&lt;'Données projet'!$A$88,$BA$205^A150,IF(A150='Données projet'!$A$88,'Données projet'!$B$88,BD149+BC150-BL149)))</f>
        <v>285.7999999999991</v>
      </c>
      <c r="BE150" s="14">
        <f>BD150*VLOOKUP('Données projet'!$B$11,Paramètres!$A$1:$I$89,3,0)*VLOOKUP('Données projet'!$B$11,Paramètres!$A$1:$I$89,5,0)</f>
        <v>276.42575999999912</v>
      </c>
      <c r="BF150" s="14">
        <f t="shared" si="145"/>
        <v>66.211105372509707</v>
      </c>
      <c r="BG150" s="22">
        <f t="shared" si="115"/>
        <v>596.75920719045291</v>
      </c>
      <c r="BH150" s="62">
        <f t="shared" si="116"/>
        <v>883.09429968310133</v>
      </c>
      <c r="BI150" s="62">
        <f ca="1">AVERAGE(OFFSET($BH$3,0,0,'Données projet'!$E$11+1,1))-AVERAGE(OFFSET($H$3,0,0,'Données projet'!$E$11+1,1))</f>
        <v>496.33873798282525</v>
      </c>
      <c r="BJ150" s="62">
        <f t="shared" si="146"/>
        <v>280.25465074992246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>
        <f>EXP(-LN(2)/35)*BP149+(1-EXP(-LN(2)/35))/(LN(2)/35)*BL150*BM150*VLOOKUP('Données projet'!$B$11,Paramètres!$A$1:$I$89,3,0)*0.475*44/12</f>
        <v>0</v>
      </c>
      <c r="BQ150" s="23">
        <f>EXP(-LN(2)/25)*BQ149+(1-EXP(-LN(2)/25))/(LN(2)/25)*Calculateur!BL150*Calculateur!BN150*VLOOKUP('Données projet'!$B$11,Paramètres!$A$1:$I$89,3,0)*0.475*44/12</f>
        <v>0</v>
      </c>
      <c r="BR150" s="23">
        <f>EXP(-LN(2)/2)*BR149+(1-EXP(-LN(2)/2))/(LN(2)/2)*BL150*BO150*VLOOKUP('Données projet'!$B$11,Paramètres!$A$1:$I$89,3,0)*0.475*44/12</f>
        <v>0</v>
      </c>
      <c r="BS150" s="24">
        <f t="shared" si="117"/>
        <v>0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-1.1368683772161603E-13</v>
      </c>
      <c r="BZ150" s="14">
        <f>BY150*VLOOKUP('Données projet'!$B$12,Paramètres!$A$1:$I$89,3,0)*VLOOKUP('Données projet'!$B$12,Paramètres!$A$1:$I$89,5,0)</f>
        <v>-9.9316821433603781E-14</v>
      </c>
      <c r="CA150" s="14" t="e">
        <f t="shared" si="147"/>
        <v>#NUM!</v>
      </c>
      <c r="CB150" s="22" t="e">
        <f t="shared" si="118"/>
        <v>#NUM!</v>
      </c>
      <c r="CC150" s="62" t="e">
        <f t="shared" si="119"/>
        <v>#NUM!</v>
      </c>
      <c r="CD150" s="62">
        <f ca="1">AVERAGE(OFFSET($CC$3,0,0,'Données projet'!$E$12+1,1))-AVERAGE(OFFSET($H$3,0,0,'Données projet'!$E$12+1,1))</f>
        <v>298.56812743477741</v>
      </c>
      <c r="CE150" s="62">
        <f t="shared" si="148"/>
        <v>276.01618888357268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>
        <f>EXP(-LN(2)/35)*CK149+(1-EXP(-LN(2)/35))/(LN(2)/35)*CG150*CH150*VLOOKUP('Données projet'!$B$12,Paramètres!$A$1:$I$89,3,0)*0.475*44/12</f>
        <v>0</v>
      </c>
      <c r="CL150" s="23">
        <f>EXP(-LN(2)/25)*CL149+(1-EXP(-LN(2)/25))/(LN(2)/25)*Calculateur!CG150*Calculateur!CI150*VLOOKUP('Données projet'!$B$12,Paramètres!$A$1:$I$89,3,0)*0.475*44/12</f>
        <v>0</v>
      </c>
      <c r="CM150" s="23">
        <f>EXP(-LN(2)/2)*CM149+(1-EXP(-LN(2)/2))/(LN(2)/2)*CG150*CJ150*VLOOKUP('Données projet'!$B$12,Paramètres!$A$1:$I$89,3,0)*0.475*44/12</f>
        <v>0</v>
      </c>
      <c r="CN150" s="24">
        <f t="shared" si="120"/>
        <v>0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2.2737367544323206E-13</v>
      </c>
      <c r="CU150" s="18">
        <f>CT150*VLOOKUP('Données projet'!$B$13,Paramètres!$A$1:$I$89,3,0)*VLOOKUP('Données projet'!$B$13,Paramètres!$A$1:$I$89,5,0)</f>
        <v>1.5252226148732008E-13</v>
      </c>
      <c r="CV150" s="14">
        <f t="shared" si="149"/>
        <v>2.1814502464536512E-12</v>
      </c>
      <c r="CW150" s="22">
        <f t="shared" si="121"/>
        <v>4.0650021179971913E-12</v>
      </c>
      <c r="CX150" s="62">
        <f t="shared" si="122"/>
        <v>286.33509249265251</v>
      </c>
      <c r="CY150" s="62">
        <f ca="1">AVERAGE(OFFSET($CX$3,0,0,'Données projet'!$E$13+1,1))-AVERAGE(OFFSET($H$3,0,0,'Données projet'!$E$13+1,1))</f>
        <v>346.82725381974132</v>
      </c>
      <c r="CZ150" s="62">
        <f t="shared" si="150"/>
        <v>254.09787950201044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>
        <f>EXP(-LN(2)/35)*DF149+(1-EXP(-LN(2)/35))/(LN(2)/35)*DB150*DC150*VLOOKUP('Données projet'!$B$13,Paramètres!$A$1:$I$89,3,0)*0.475*44/12</f>
        <v>0</v>
      </c>
      <c r="DG150" s="23">
        <f>EXP(-LN(2)/25)*DG149+(1-EXP(-LN(2)/25))/(LN(2)/25)*Calculateur!DB150*Calculateur!DD150*VLOOKUP('Données projet'!$B$13,Paramètres!$A$1:$I$89,3,0)*0.475*44/12</f>
        <v>0</v>
      </c>
      <c r="DH150" s="23">
        <f>EXP(-LN(2)/2)*DH149+(1-EXP(-LN(2)/2))/(LN(2)/2)*DB150*DE150*VLOOKUP('Données projet'!$B$13,Paramètres!$A$1:$I$89,3,0)*0.475*44/12</f>
        <v>0</v>
      </c>
      <c r="DI150" s="24">
        <f t="shared" si="123"/>
        <v>0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5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2">
        <f t="shared" si="140"/>
        <v>0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18.333333333333332</v>
      </c>
      <c r="H151" s="70">
        <f t="shared" si="110"/>
        <v>183.33333333333334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2.4</v>
      </c>
      <c r="N151" s="14">
        <f>IF('Données projet'!$A$36&gt;35,N150+M151-V150,IF(A151&lt;'Données projet'!$A$36,$K$205^A151,IF(A151='Données projet'!$A$36,'Données projet'!$B$36,N150+M151-V150)))</f>
        <v>288.19999999999908</v>
      </c>
      <c r="O151" s="14">
        <f>N151*VLOOKUP('Données projet'!$B$9,Paramètres!$A$1:$I$89,3,0)*VLOOKUP('Données projet'!$B$9,Paramètres!$A$1:$I$89,5,0)</f>
        <v>260.76335999999918</v>
      </c>
      <c r="P151" s="14">
        <f t="shared" si="141"/>
        <v>62.885067686031789</v>
      </c>
      <c r="Q151" s="22">
        <f t="shared" si="108"/>
        <v>563.68767821983727</v>
      </c>
      <c r="R151" s="62">
        <f t="shared" si="109"/>
        <v>850.14417454534896</v>
      </c>
      <c r="S151" s="62">
        <f ca="1">AVERAGE(OFFSET($R$3,0,0,'Données projet'!$E$9+1,1))-AVERAGE(OFFSET($H$3,0,0,'Données projet'!$E$9+1,1))</f>
        <v>469.67944008675863</v>
      </c>
      <c r="T151" s="62">
        <f t="shared" si="142"/>
        <v>266.11908070867173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0</v>
      </c>
      <c r="AA151" s="23">
        <f>EXP(-LN(2)/25)*AA150+(1-EXP(-LN(2)/25))/(LN(2)/25)*Calculateur!V151*Calculateur!X151*VLOOKUP('Données projet'!$B$9,Paramètres!$A$1:$I$89,3,0)*0.475*44/12</f>
        <v>0</v>
      </c>
      <c r="AB151" s="23">
        <f>EXP(-LN(2)/2)*AB150+(1-EXP(-LN(2)/2))/(LN(2)/2)*V151*Y151*VLOOKUP('Données projet'!$B$9,Paramètres!$A$1:$I$89,3,0)*0.475*44/12</f>
        <v>0</v>
      </c>
      <c r="AC151" s="24">
        <f t="shared" si="111"/>
        <v>0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0</v>
      </c>
      <c r="AJ151" s="14">
        <f>AI151*VLOOKUP('Données projet'!$B$10,Paramètres!$A$1:$I$89,3,0)*VLOOKUP('Données projet'!$B$10,Paramètres!$A$1:$I$89,5,0)</f>
        <v>0</v>
      </c>
      <c r="AK151" s="14" t="e">
        <f t="shared" si="143"/>
        <v>#NUM!</v>
      </c>
      <c r="AL151" s="22" t="e">
        <f t="shared" si="112"/>
        <v>#NUM!</v>
      </c>
      <c r="AM151" s="62" t="e">
        <f t="shared" si="113"/>
        <v>#NUM!</v>
      </c>
      <c r="AN151" s="62">
        <f ca="1">AVERAGE(OFFSET($AM$3,0,0,'Données projet'!$E$10+1,1))-AVERAGE(OFFSET($H$3,0,0,'Données projet'!$E$10+1,1))</f>
        <v>400.48230125343474</v>
      </c>
      <c r="AO151" s="62">
        <f t="shared" si="144"/>
        <v>275.67023303885048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0</v>
      </c>
      <c r="AV151" s="23">
        <f>EXP(-LN(2)/25)*AV150+(1-EXP(-LN(2)/25))/(LN(2)/25)*Calculateur!AQ151*Calculateur!AS151*VLOOKUP('Données projet'!$B$10,Paramètres!$A$1:$I$89,3,0)*0.475*44/12</f>
        <v>0</v>
      </c>
      <c r="AW151" s="23">
        <f>EXP(-LN(2)/2)*AW150+(1-EXP(-LN(2)/2))/(LN(2)/2)*AQ151*AT151*VLOOKUP('Données projet'!$B$10,Paramètres!$A$1:$I$89,3,0)*0.475*44/12</f>
        <v>0</v>
      </c>
      <c r="AX151" s="23">
        <f t="shared" si="114"/>
        <v>0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2.4</v>
      </c>
      <c r="BD151" s="13">
        <f>IF('Données projet'!$A$88&gt;35,BD150+BC151-BL150,IF(A151&lt;'Données projet'!$A$88,$BA$205^A151,IF(A151='Données projet'!$A$88,'Données projet'!$B$88,BD150+BC151-BL150)))</f>
        <v>288.19999999999908</v>
      </c>
      <c r="BE151" s="14">
        <f>BD151*VLOOKUP('Données projet'!$B$11,Paramètres!$A$1:$I$89,3,0)*VLOOKUP('Données projet'!$B$11,Paramètres!$A$1:$I$89,5,0)</f>
        <v>278.74703999999912</v>
      </c>
      <c r="BF151" s="14">
        <f t="shared" si="145"/>
        <v>66.702153339553078</v>
      </c>
      <c r="BG151" s="22">
        <f t="shared" si="115"/>
        <v>601.65734506638671</v>
      </c>
      <c r="BH151" s="62">
        <f t="shared" si="116"/>
        <v>888.1138413918984</v>
      </c>
      <c r="BI151" s="62">
        <f ca="1">AVERAGE(OFFSET($BH$3,0,0,'Données projet'!$E$11+1,1))-AVERAGE(OFFSET($H$3,0,0,'Données projet'!$E$11+1,1))</f>
        <v>496.33873798282525</v>
      </c>
      <c r="BJ151" s="62">
        <f t="shared" si="146"/>
        <v>280.25465074992246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>
        <f>EXP(-LN(2)/35)*BP150+(1-EXP(-LN(2)/35))/(LN(2)/35)*BL151*BM151*VLOOKUP('Données projet'!$B$11,Paramètres!$A$1:$I$89,3,0)*0.475*44/12</f>
        <v>0</v>
      </c>
      <c r="BQ151" s="23">
        <f>EXP(-LN(2)/25)*BQ150+(1-EXP(-LN(2)/25))/(LN(2)/25)*Calculateur!BL151*Calculateur!BN151*VLOOKUP('Données projet'!$B$11,Paramètres!$A$1:$I$89,3,0)*0.475*44/12</f>
        <v>0</v>
      </c>
      <c r="BR151" s="23">
        <f>EXP(-LN(2)/2)*BR150+(1-EXP(-LN(2)/2))/(LN(2)/2)*BL151*BO151*VLOOKUP('Données projet'!$B$11,Paramètres!$A$1:$I$89,3,0)*0.475*44/12</f>
        <v>0</v>
      </c>
      <c r="BS151" s="24">
        <f t="shared" si="117"/>
        <v>0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-1.1368683772161603E-13</v>
      </c>
      <c r="BZ151" s="14">
        <f>BY151*VLOOKUP('Données projet'!$B$12,Paramètres!$A$1:$I$89,3,0)*VLOOKUP('Données projet'!$B$12,Paramètres!$A$1:$I$89,5,0)</f>
        <v>-9.9316821433603781E-14</v>
      </c>
      <c r="CA151" s="14" t="e">
        <f t="shared" si="147"/>
        <v>#NUM!</v>
      </c>
      <c r="CB151" s="22" t="e">
        <f t="shared" si="118"/>
        <v>#NUM!</v>
      </c>
      <c r="CC151" s="62" t="e">
        <f t="shared" si="119"/>
        <v>#NUM!</v>
      </c>
      <c r="CD151" s="62">
        <f ca="1">AVERAGE(OFFSET($CC$3,0,0,'Données projet'!$E$12+1,1))-AVERAGE(OFFSET($H$3,0,0,'Données projet'!$E$12+1,1))</f>
        <v>298.56812743477741</v>
      </c>
      <c r="CE151" s="62">
        <f t="shared" si="148"/>
        <v>276.01618888357268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>
        <f>EXP(-LN(2)/35)*CK150+(1-EXP(-LN(2)/35))/(LN(2)/35)*CG151*CH151*VLOOKUP('Données projet'!$B$12,Paramètres!$A$1:$I$89,3,0)*0.475*44/12</f>
        <v>0</v>
      </c>
      <c r="CL151" s="23">
        <f>EXP(-LN(2)/25)*CL150+(1-EXP(-LN(2)/25))/(LN(2)/25)*Calculateur!CG151*Calculateur!CI151*VLOOKUP('Données projet'!$B$12,Paramètres!$A$1:$I$89,3,0)*0.475*44/12</f>
        <v>0</v>
      </c>
      <c r="CM151" s="23">
        <f>EXP(-LN(2)/2)*CM150+(1-EXP(-LN(2)/2))/(LN(2)/2)*CG151*CJ151*VLOOKUP('Données projet'!$B$12,Paramètres!$A$1:$I$89,3,0)*0.475*44/12</f>
        <v>0</v>
      </c>
      <c r="CN151" s="24">
        <f t="shared" si="120"/>
        <v>0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2.2737367544323206E-13</v>
      </c>
      <c r="CU151" s="18">
        <f>CT151*VLOOKUP('Données projet'!$B$13,Paramètres!$A$1:$I$89,3,0)*VLOOKUP('Données projet'!$B$13,Paramètres!$A$1:$I$89,5,0)</f>
        <v>1.5252226148732008E-13</v>
      </c>
      <c r="CV151" s="14">
        <f t="shared" si="149"/>
        <v>2.1814502464536512E-12</v>
      </c>
      <c r="CW151" s="22">
        <f t="shared" si="121"/>
        <v>4.0650021179971913E-12</v>
      </c>
      <c r="CX151" s="62">
        <f t="shared" si="122"/>
        <v>286.45649632551579</v>
      </c>
      <c r="CY151" s="62">
        <f ca="1">AVERAGE(OFFSET($CX$3,0,0,'Données projet'!$E$13+1,1))-AVERAGE(OFFSET($H$3,0,0,'Données projet'!$E$13+1,1))</f>
        <v>346.82725381974132</v>
      </c>
      <c r="CZ151" s="62">
        <f t="shared" si="150"/>
        <v>254.09787950201044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>
        <f>EXP(-LN(2)/35)*DF150+(1-EXP(-LN(2)/35))/(LN(2)/35)*DB151*DC151*VLOOKUP('Données projet'!$B$13,Paramètres!$A$1:$I$89,3,0)*0.475*44/12</f>
        <v>0</v>
      </c>
      <c r="DG151" s="23">
        <f>EXP(-LN(2)/25)*DG150+(1-EXP(-LN(2)/25))/(LN(2)/25)*Calculateur!DB151*Calculateur!DD151*VLOOKUP('Données projet'!$B$13,Paramètres!$A$1:$I$89,3,0)*0.475*44/12</f>
        <v>0</v>
      </c>
      <c r="DH151" s="23">
        <f>EXP(-LN(2)/2)*DH150+(1-EXP(-LN(2)/2))/(LN(2)/2)*DB151*DE151*VLOOKUP('Données projet'!$B$13,Paramètres!$A$1:$I$89,3,0)*0.475*44/12</f>
        <v>0</v>
      </c>
      <c r="DI151" s="24">
        <f t="shared" si="123"/>
        <v>0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5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2">
        <f t="shared" si="140"/>
        <v>0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18.333333333333332</v>
      </c>
      <c r="H152" s="70">
        <f t="shared" si="110"/>
        <v>183.33333333333334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2.4</v>
      </c>
      <c r="N152" s="14">
        <f>IF('Données projet'!$A$36&gt;35,N151+M152-V151,IF(A152&lt;'Données projet'!$A$36,$K$205^A152,IF(A152='Données projet'!$A$36,'Données projet'!$B$36,N151+M152-V151)))</f>
        <v>290.59999999999906</v>
      </c>
      <c r="O152" s="14">
        <f>N152*VLOOKUP('Données projet'!$B$9,Paramètres!$A$1:$I$89,3,0)*VLOOKUP('Données projet'!$B$9,Paramètres!$A$1:$I$89,5,0)</f>
        <v>262.93487999999911</v>
      </c>
      <c r="P152" s="14">
        <f t="shared" si="141"/>
        <v>63.347566493432595</v>
      </c>
      <c r="Q152" s="22">
        <f t="shared" si="108"/>
        <v>568.27526097606028</v>
      </c>
      <c r="R152" s="62">
        <f t="shared" si="109"/>
        <v>854.85105504935336</v>
      </c>
      <c r="S152" s="62">
        <f ca="1">AVERAGE(OFFSET($R$3,0,0,'Données projet'!$E$9+1,1))-AVERAGE(OFFSET($H$3,0,0,'Données projet'!$E$9+1,1))</f>
        <v>469.67944008675863</v>
      </c>
      <c r="T152" s="62">
        <f t="shared" si="142"/>
        <v>266.11908070867173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0</v>
      </c>
      <c r="AA152" s="23">
        <f>EXP(-LN(2)/25)*AA151+(1-EXP(-LN(2)/25))/(LN(2)/25)*Calculateur!V152*Calculateur!X152*VLOOKUP('Données projet'!$B$9,Paramètres!$A$1:$I$89,3,0)*0.475*44/12</f>
        <v>0</v>
      </c>
      <c r="AB152" s="23">
        <f>EXP(-LN(2)/2)*AB151+(1-EXP(-LN(2)/2))/(LN(2)/2)*V152*Y152*VLOOKUP('Données projet'!$B$9,Paramètres!$A$1:$I$89,3,0)*0.475*44/12</f>
        <v>0</v>
      </c>
      <c r="AC152" s="24">
        <f t="shared" si="111"/>
        <v>0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0</v>
      </c>
      <c r="AJ152" s="14">
        <f>AI152*VLOOKUP('Données projet'!$B$10,Paramètres!$A$1:$I$89,3,0)*VLOOKUP('Données projet'!$B$10,Paramètres!$A$1:$I$89,5,0)</f>
        <v>0</v>
      </c>
      <c r="AK152" s="14" t="e">
        <f t="shared" si="143"/>
        <v>#NUM!</v>
      </c>
      <c r="AL152" s="22" t="e">
        <f t="shared" si="112"/>
        <v>#NUM!</v>
      </c>
      <c r="AM152" s="62" t="e">
        <f t="shared" si="113"/>
        <v>#NUM!</v>
      </c>
      <c r="AN152" s="62">
        <f ca="1">AVERAGE(OFFSET($AM$3,0,0,'Données projet'!$E$10+1,1))-AVERAGE(OFFSET($H$3,0,0,'Données projet'!$E$10+1,1))</f>
        <v>400.48230125343474</v>
      </c>
      <c r="AO152" s="62">
        <f t="shared" si="144"/>
        <v>275.67023303885048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0</v>
      </c>
      <c r="AV152" s="23">
        <f>EXP(-LN(2)/25)*AV151+(1-EXP(-LN(2)/25))/(LN(2)/25)*Calculateur!AQ152*Calculateur!AS152*VLOOKUP('Données projet'!$B$10,Paramètres!$A$1:$I$89,3,0)*0.475*44/12</f>
        <v>0</v>
      </c>
      <c r="AW152" s="23">
        <f>EXP(-LN(2)/2)*AW151+(1-EXP(-LN(2)/2))/(LN(2)/2)*AQ152*AT152*VLOOKUP('Données projet'!$B$10,Paramètres!$A$1:$I$89,3,0)*0.475*44/12</f>
        <v>0</v>
      </c>
      <c r="AX152" s="23">
        <f t="shared" si="114"/>
        <v>0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2.4</v>
      </c>
      <c r="BD152" s="13">
        <f>IF('Données projet'!$A$88&gt;35,BD151+BC152-BL151,IF(A152&lt;'Données projet'!$A$88,$BA$205^A152,IF(A152='Données projet'!$A$88,'Données projet'!$B$88,BD151+BC152-BL151)))</f>
        <v>290.59999999999906</v>
      </c>
      <c r="BE152" s="14">
        <f>BD152*VLOOKUP('Données projet'!$B$11,Paramètres!$A$1:$I$89,3,0)*VLOOKUP('Données projet'!$B$11,Paramètres!$A$1:$I$89,5,0)</f>
        <v>281.06831999999906</v>
      </c>
      <c r="BF152" s="14">
        <f t="shared" si="145"/>
        <v>67.192725545416479</v>
      </c>
      <c r="BG152" s="22">
        <f t="shared" si="115"/>
        <v>606.55465432493213</v>
      </c>
      <c r="BH152" s="62">
        <f t="shared" si="116"/>
        <v>893.13044839822521</v>
      </c>
      <c r="BI152" s="62">
        <f ca="1">AVERAGE(OFFSET($BH$3,0,0,'Données projet'!$E$11+1,1))-AVERAGE(OFFSET($H$3,0,0,'Données projet'!$E$11+1,1))</f>
        <v>496.33873798282525</v>
      </c>
      <c r="BJ152" s="62">
        <f t="shared" si="146"/>
        <v>280.25465074992246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>
        <f>EXP(-LN(2)/35)*BP151+(1-EXP(-LN(2)/35))/(LN(2)/35)*BL152*BM152*VLOOKUP('Données projet'!$B$11,Paramètres!$A$1:$I$89,3,0)*0.475*44/12</f>
        <v>0</v>
      </c>
      <c r="BQ152" s="23">
        <f>EXP(-LN(2)/25)*BQ151+(1-EXP(-LN(2)/25))/(LN(2)/25)*Calculateur!BL152*Calculateur!BN152*VLOOKUP('Données projet'!$B$11,Paramètres!$A$1:$I$89,3,0)*0.475*44/12</f>
        <v>0</v>
      </c>
      <c r="BR152" s="23">
        <f>EXP(-LN(2)/2)*BR151+(1-EXP(-LN(2)/2))/(LN(2)/2)*BL152*BO152*VLOOKUP('Données projet'!$B$11,Paramètres!$A$1:$I$89,3,0)*0.475*44/12</f>
        <v>0</v>
      </c>
      <c r="BS152" s="24">
        <f t="shared" si="117"/>
        <v>0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-1.1368683772161603E-13</v>
      </c>
      <c r="BZ152" s="14">
        <f>BY152*VLOOKUP('Données projet'!$B$12,Paramètres!$A$1:$I$89,3,0)*VLOOKUP('Données projet'!$B$12,Paramètres!$A$1:$I$89,5,0)</f>
        <v>-9.9316821433603781E-14</v>
      </c>
      <c r="CA152" s="14" t="e">
        <f t="shared" si="147"/>
        <v>#NUM!</v>
      </c>
      <c r="CB152" s="22" t="e">
        <f t="shared" si="118"/>
        <v>#NUM!</v>
      </c>
      <c r="CC152" s="62" t="e">
        <f t="shared" si="119"/>
        <v>#NUM!</v>
      </c>
      <c r="CD152" s="62">
        <f ca="1">AVERAGE(OFFSET($CC$3,0,0,'Données projet'!$E$12+1,1))-AVERAGE(OFFSET($H$3,0,0,'Données projet'!$E$12+1,1))</f>
        <v>298.56812743477741</v>
      </c>
      <c r="CE152" s="62">
        <f t="shared" si="148"/>
        <v>276.01618888357268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>
        <f>EXP(-LN(2)/35)*CK151+(1-EXP(-LN(2)/35))/(LN(2)/35)*CG152*CH152*VLOOKUP('Données projet'!$B$12,Paramètres!$A$1:$I$89,3,0)*0.475*44/12</f>
        <v>0</v>
      </c>
      <c r="CL152" s="23">
        <f>EXP(-LN(2)/25)*CL151+(1-EXP(-LN(2)/25))/(LN(2)/25)*Calculateur!CG152*Calculateur!CI152*VLOOKUP('Données projet'!$B$12,Paramètres!$A$1:$I$89,3,0)*0.475*44/12</f>
        <v>0</v>
      </c>
      <c r="CM152" s="23">
        <f>EXP(-LN(2)/2)*CM151+(1-EXP(-LN(2)/2))/(LN(2)/2)*CG152*CJ152*VLOOKUP('Données projet'!$B$12,Paramètres!$A$1:$I$89,3,0)*0.475*44/12</f>
        <v>0</v>
      </c>
      <c r="CN152" s="24">
        <f t="shared" si="120"/>
        <v>0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2.2737367544323206E-13</v>
      </c>
      <c r="CU152" s="18">
        <f>CT152*VLOOKUP('Données projet'!$B$13,Paramètres!$A$1:$I$89,3,0)*VLOOKUP('Données projet'!$B$13,Paramètres!$A$1:$I$89,5,0)</f>
        <v>1.5252226148732008E-13</v>
      </c>
      <c r="CV152" s="14">
        <f t="shared" si="149"/>
        <v>2.1814502464536512E-12</v>
      </c>
      <c r="CW152" s="22">
        <f t="shared" si="121"/>
        <v>4.0650021179971913E-12</v>
      </c>
      <c r="CX152" s="62">
        <f t="shared" si="122"/>
        <v>286.57579407329717</v>
      </c>
      <c r="CY152" s="62">
        <f ca="1">AVERAGE(OFFSET($CX$3,0,0,'Données projet'!$E$13+1,1))-AVERAGE(OFFSET($H$3,0,0,'Données projet'!$E$13+1,1))</f>
        <v>346.82725381974132</v>
      </c>
      <c r="CZ152" s="62">
        <f t="shared" si="150"/>
        <v>254.09787950201044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>
        <f>EXP(-LN(2)/35)*DF151+(1-EXP(-LN(2)/35))/(LN(2)/35)*DB152*DC152*VLOOKUP('Données projet'!$B$13,Paramètres!$A$1:$I$89,3,0)*0.475*44/12</f>
        <v>0</v>
      </c>
      <c r="DG152" s="23">
        <f>EXP(-LN(2)/25)*DG151+(1-EXP(-LN(2)/25))/(LN(2)/25)*Calculateur!DB152*Calculateur!DD152*VLOOKUP('Données projet'!$B$13,Paramètres!$A$1:$I$89,3,0)*0.475*44/12</f>
        <v>0</v>
      </c>
      <c r="DH152" s="23">
        <f>EXP(-LN(2)/2)*DH151+(1-EXP(-LN(2)/2))/(LN(2)/2)*DB152*DE152*VLOOKUP('Données projet'!$B$13,Paramètres!$A$1:$I$89,3,0)*0.475*44/12</f>
        <v>0</v>
      </c>
      <c r="DI152" s="24">
        <f t="shared" si="123"/>
        <v>0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5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2">
        <f t="shared" si="140"/>
        <v>0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18.333333333333332</v>
      </c>
      <c r="H153" s="70">
        <f t="shared" si="110"/>
        <v>183.33333333333334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>
        <f>VLOOKUP(A153,'Données projet'!$A$35:$I$55,2,0)</f>
        <v>293</v>
      </c>
      <c r="L153" s="13">
        <f>VLOOKUP(A153,'Données projet'!$A$35:$I$55,9,0)</f>
        <v>2.4</v>
      </c>
      <c r="M153" s="13">
        <f t="array" ref="M153">INDEX(L:L,MIN(IF(ISNUMBER(L153:L349),ROW(L153:L349),"")))</f>
        <v>2.4</v>
      </c>
      <c r="N153" s="14">
        <f>IF('Données projet'!$A$36&gt;35,N152+M153-V152,IF(A153&lt;'Données projet'!$A$36,$K$205^A153,IF(A153='Données projet'!$A$36,'Données projet'!$B$36,N152+M153-V152)))</f>
        <v>292.99999999999903</v>
      </c>
      <c r="O153" s="14">
        <f>N153*VLOOKUP('Données projet'!$B$9,Paramètres!$A$1:$I$89,3,0)*VLOOKUP('Données projet'!$B$9,Paramètres!$A$1:$I$89,5,0)</f>
        <v>265.1063999999991</v>
      </c>
      <c r="P153" s="14">
        <f t="shared" si="141"/>
        <v>63.809620899125136</v>
      </c>
      <c r="Q153" s="22">
        <f t="shared" si="108"/>
        <v>572.86206973264132</v>
      </c>
      <c r="R153" s="62">
        <f t="shared" si="109"/>
        <v>859.5550920045016</v>
      </c>
      <c r="S153" s="62">
        <f ca="1">AVERAGE(OFFSET($R$3,0,0,'Données projet'!$E$9+1,1))-AVERAGE(OFFSET($H$3,0,0,'Données projet'!$E$9+1,1))</f>
        <v>469.67944008675863</v>
      </c>
      <c r="T153" s="62">
        <f t="shared" si="142"/>
        <v>266.11908070867173</v>
      </c>
      <c r="U153" s="16">
        <f>IF(ISNA(VLOOKUP(A153,'Données projet'!$A$35:$I$55,3,0)),0,VLOOKUP(A153,'Données projet'!$A$35:$I$55,3,0))</f>
        <v>13</v>
      </c>
      <c r="V153" s="16">
        <f>IF(ISNA(VLOOKUP(A153,'Données projet'!$A$35:$I$55,4,0)),0,VLOOKUP(A153,'Données projet'!$A$35:$I$55,4,0))</f>
        <v>293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0</v>
      </c>
      <c r="AA153" s="23">
        <f>EXP(-LN(2)/25)*AA152+(1-EXP(-LN(2)/25))/(LN(2)/25)*Calculateur!V153*Calculateur!X153*VLOOKUP('Données projet'!$B$9,Paramètres!$A$1:$I$89,3,0)*0.475*44/12</f>
        <v>0</v>
      </c>
      <c r="AB153" s="23">
        <f>EXP(-LN(2)/2)*AB152+(1-EXP(-LN(2)/2))/(LN(2)/2)*V153*Y153*VLOOKUP('Données projet'!$B$9,Paramètres!$A$1:$I$89,3,0)*0.475*44/12</f>
        <v>0</v>
      </c>
      <c r="AC153" s="24">
        <f t="shared" si="111"/>
        <v>0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0</v>
      </c>
      <c r="AJ153" s="14">
        <f>AI153*VLOOKUP('Données projet'!$B$10,Paramètres!$A$1:$I$89,3,0)*VLOOKUP('Données projet'!$B$10,Paramètres!$A$1:$I$89,5,0)</f>
        <v>0</v>
      </c>
      <c r="AK153" s="14" t="e">
        <f t="shared" si="143"/>
        <v>#NUM!</v>
      </c>
      <c r="AL153" s="22" t="e">
        <f t="shared" si="112"/>
        <v>#NUM!</v>
      </c>
      <c r="AM153" s="62" t="e">
        <f t="shared" si="113"/>
        <v>#NUM!</v>
      </c>
      <c r="AN153" s="62">
        <f ca="1">AVERAGE(OFFSET($AM$3,0,0,'Données projet'!$E$10+1,1))-AVERAGE(OFFSET($H$3,0,0,'Données projet'!$E$10+1,1))</f>
        <v>400.48230125343474</v>
      </c>
      <c r="AO153" s="62">
        <f t="shared" si="144"/>
        <v>275.67023303885048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0</v>
      </c>
      <c r="AV153" s="23">
        <f>EXP(-LN(2)/25)*AV152+(1-EXP(-LN(2)/25))/(LN(2)/25)*Calculateur!AQ153*Calculateur!AS153*VLOOKUP('Données projet'!$B$10,Paramètres!$A$1:$I$89,3,0)*0.475*44/12</f>
        <v>0</v>
      </c>
      <c r="AW153" s="23">
        <f>EXP(-LN(2)/2)*AW152+(1-EXP(-LN(2)/2))/(LN(2)/2)*AQ153*AT153*VLOOKUP('Données projet'!$B$10,Paramètres!$A$1:$I$89,3,0)*0.475*44/12</f>
        <v>0</v>
      </c>
      <c r="AX153" s="23">
        <f t="shared" si="114"/>
        <v>0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>
        <f>VLOOKUP(A153,'Données projet'!$A$87:$I$107,2,0)</f>
        <v>293</v>
      </c>
      <c r="BB153" s="13">
        <f>VLOOKUP(A153,'Données projet'!$A$87:$I$107,9,0)</f>
        <v>2.4</v>
      </c>
      <c r="BC153" s="13">
        <f t="array" ref="BC153">INDEX(BB:BB,MIN(IF(ISNUMBER(BB153:BB349),ROW(BB153:BB349),"")))</f>
        <v>2.4</v>
      </c>
      <c r="BD153" s="13">
        <f>IF('Données projet'!$A$88&gt;35,BD152+BC153-BL152,IF(A153&lt;'Données projet'!$A$88,$BA$205^A153,IF(A153='Données projet'!$A$88,'Données projet'!$B$88,BD152+BC153-BL152)))</f>
        <v>292.99999999999903</v>
      </c>
      <c r="BE153" s="14">
        <f>BD153*VLOOKUP('Données projet'!$B$11,Paramètres!$A$1:$I$89,3,0)*VLOOKUP('Données projet'!$B$11,Paramètres!$A$1:$I$89,5,0)</f>
        <v>283.38959999999906</v>
      </c>
      <c r="BF153" s="14">
        <f t="shared" si="145"/>
        <v>67.682826374656187</v>
      </c>
      <c r="BG153" s="22">
        <f t="shared" si="115"/>
        <v>611.45114260252456</v>
      </c>
      <c r="BH153" s="62">
        <f t="shared" si="116"/>
        <v>898.14416487438484</v>
      </c>
      <c r="BI153" s="62">
        <f ca="1">AVERAGE(OFFSET($BH$3,0,0,'Données projet'!$E$11+1,1))-AVERAGE(OFFSET($H$3,0,0,'Données projet'!$E$11+1,1))</f>
        <v>496.33873798282525</v>
      </c>
      <c r="BJ153" s="62">
        <f t="shared" si="146"/>
        <v>280.25465074992246</v>
      </c>
      <c r="BK153" s="16">
        <f>IF(ISNA(VLOOKUP(A153,'Données projet'!$A$87:$I$107,3,0)),0,VLOOKUP(A153,'Données projet'!$A$87:$I$107,3,0))</f>
        <v>13</v>
      </c>
      <c r="BL153" s="16">
        <f>IF(ISNA(VLOOKUP(A153,'Données projet'!$A$87:$I$107,4,0)),0,VLOOKUP(A153,'Données projet'!$A$87:$I$107,4,0))</f>
        <v>293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>
        <f>EXP(-LN(2)/35)*BP152+(1-EXP(-LN(2)/35))/(LN(2)/35)*BL153*BM153*VLOOKUP('Données projet'!$B$11,Paramètres!$A$1:$I$89,3,0)*0.475*44/12</f>
        <v>0</v>
      </c>
      <c r="BQ153" s="23">
        <f>EXP(-LN(2)/25)*BQ152+(1-EXP(-LN(2)/25))/(LN(2)/25)*Calculateur!BL153*Calculateur!BN153*VLOOKUP('Données projet'!$B$11,Paramètres!$A$1:$I$89,3,0)*0.475*44/12</f>
        <v>0</v>
      </c>
      <c r="BR153" s="23">
        <f>EXP(-LN(2)/2)*BR152+(1-EXP(-LN(2)/2))/(LN(2)/2)*BL153*BO153*VLOOKUP('Données projet'!$B$11,Paramètres!$A$1:$I$89,3,0)*0.475*44/12</f>
        <v>0</v>
      </c>
      <c r="BS153" s="24">
        <f t="shared" si="117"/>
        <v>0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-1.1368683772161603E-13</v>
      </c>
      <c r="BZ153" s="14">
        <f>BY153*VLOOKUP('Données projet'!$B$12,Paramètres!$A$1:$I$89,3,0)*VLOOKUP('Données projet'!$B$12,Paramètres!$A$1:$I$89,5,0)</f>
        <v>-9.9316821433603781E-14</v>
      </c>
      <c r="CA153" s="14" t="e">
        <f t="shared" si="147"/>
        <v>#NUM!</v>
      </c>
      <c r="CB153" s="22" t="e">
        <f t="shared" si="118"/>
        <v>#NUM!</v>
      </c>
      <c r="CC153" s="62" t="e">
        <f t="shared" si="119"/>
        <v>#NUM!</v>
      </c>
      <c r="CD153" s="62">
        <f ca="1">AVERAGE(OFFSET($CC$3,0,0,'Données projet'!$E$12+1,1))-AVERAGE(OFFSET($H$3,0,0,'Données projet'!$E$12+1,1))</f>
        <v>298.56812743477741</v>
      </c>
      <c r="CE153" s="62">
        <f t="shared" si="148"/>
        <v>276.01618888357268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>
        <f>EXP(-LN(2)/35)*CK152+(1-EXP(-LN(2)/35))/(LN(2)/35)*CG153*CH153*VLOOKUP('Données projet'!$B$12,Paramètres!$A$1:$I$89,3,0)*0.475*44/12</f>
        <v>0</v>
      </c>
      <c r="CL153" s="23">
        <f>EXP(-LN(2)/25)*CL152+(1-EXP(-LN(2)/25))/(LN(2)/25)*Calculateur!CG153*Calculateur!CI153*VLOOKUP('Données projet'!$B$12,Paramètres!$A$1:$I$89,3,0)*0.475*44/12</f>
        <v>0</v>
      </c>
      <c r="CM153" s="23">
        <f>EXP(-LN(2)/2)*CM152+(1-EXP(-LN(2)/2))/(LN(2)/2)*CG153*CJ153*VLOOKUP('Données projet'!$B$12,Paramètres!$A$1:$I$89,3,0)*0.475*44/12</f>
        <v>0</v>
      </c>
      <c r="CN153" s="24">
        <f t="shared" si="120"/>
        <v>0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2.2737367544323206E-13</v>
      </c>
      <c r="CU153" s="18">
        <f>CT153*VLOOKUP('Données projet'!$B$13,Paramètres!$A$1:$I$89,3,0)*VLOOKUP('Données projet'!$B$13,Paramètres!$A$1:$I$89,5,0)</f>
        <v>1.5252226148732008E-13</v>
      </c>
      <c r="CV153" s="14">
        <f t="shared" si="149"/>
        <v>2.1814502464536512E-12</v>
      </c>
      <c r="CW153" s="22">
        <f t="shared" si="121"/>
        <v>4.0650021179971913E-12</v>
      </c>
      <c r="CX153" s="62">
        <f t="shared" si="122"/>
        <v>286.69302227186444</v>
      </c>
      <c r="CY153" s="62">
        <f ca="1">AVERAGE(OFFSET($CX$3,0,0,'Données projet'!$E$13+1,1))-AVERAGE(OFFSET($H$3,0,0,'Données projet'!$E$13+1,1))</f>
        <v>346.82725381974132</v>
      </c>
      <c r="CZ153" s="62">
        <f t="shared" si="150"/>
        <v>254.09787950201044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>
        <f>EXP(-LN(2)/35)*DF152+(1-EXP(-LN(2)/35))/(LN(2)/35)*DB153*DC153*VLOOKUP('Données projet'!$B$13,Paramètres!$A$1:$I$89,3,0)*0.475*44/12</f>
        <v>0</v>
      </c>
      <c r="DG153" s="23">
        <f>EXP(-LN(2)/25)*DG152+(1-EXP(-LN(2)/25))/(LN(2)/25)*Calculateur!DB153*Calculateur!DD153*VLOOKUP('Données projet'!$B$13,Paramètres!$A$1:$I$89,3,0)*0.475*44/12</f>
        <v>0</v>
      </c>
      <c r="DH153" s="23">
        <f>EXP(-LN(2)/2)*DH152+(1-EXP(-LN(2)/2))/(LN(2)/2)*DB153*DE153*VLOOKUP('Données projet'!$B$13,Paramètres!$A$1:$I$89,3,0)*0.475*44/12</f>
        <v>0</v>
      </c>
      <c r="DI153" s="24">
        <f t="shared" si="123"/>
        <v>0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5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2">
        <f t="shared" si="140"/>
        <v>0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18.333333333333332</v>
      </c>
      <c r="H154" s="70">
        <f t="shared" si="110"/>
        <v>183.33333333333334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-9.6633812063373625E-13</v>
      </c>
      <c r="O154" s="14">
        <f>N154*VLOOKUP('Données projet'!$B$9,Paramètres!$A$1:$I$89,3,0)*VLOOKUP('Données projet'!$B$9,Paramètres!$A$1:$I$89,5,0)</f>
        <v>-8.7434273154940449E-13</v>
      </c>
      <c r="P154" s="14" t="e">
        <f t="shared" si="141"/>
        <v>#NUM!</v>
      </c>
      <c r="Q154" s="22" t="e">
        <f t="shared" ref="Q154:Q203" si="162">(O154+P154)*0.475*44/12</f>
        <v>#NUM!</v>
      </c>
      <c r="R154" s="62" t="e">
        <f t="shared" si="109"/>
        <v>#NUM!</v>
      </c>
      <c r="S154" s="62">
        <f ca="1">AVERAGE(OFFSET($R$3,0,0,'Données projet'!$E$9+1,1))-AVERAGE(OFFSET($H$3,0,0,'Données projet'!$E$9+1,1))</f>
        <v>469.67944008675863</v>
      </c>
      <c r="T154" s="62">
        <f t="shared" si="142"/>
        <v>266.11908070867173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0</v>
      </c>
      <c r="AA154" s="23">
        <f>EXP(-LN(2)/25)*AA153+(1-EXP(-LN(2)/25))/(LN(2)/25)*Calculateur!V154*Calculateur!X154*VLOOKUP('Données projet'!$B$9,Paramètres!$A$1:$I$89,3,0)*0.475*44/12</f>
        <v>0</v>
      </c>
      <c r="AB154" s="23">
        <f>EXP(-LN(2)/2)*AB153+(1-EXP(-LN(2)/2))/(LN(2)/2)*V154*Y154*VLOOKUP('Données projet'!$B$9,Paramètres!$A$1:$I$89,3,0)*0.475*44/12</f>
        <v>0</v>
      </c>
      <c r="AC154" s="24">
        <f t="shared" ref="AC154:AC203" si="163">SUM(Z154:AB154)</f>
        <v>0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0</v>
      </c>
      <c r="AJ154" s="14">
        <f>AI154*VLOOKUP('Données projet'!$B$10,Paramètres!$A$1:$I$89,3,0)*VLOOKUP('Données projet'!$B$10,Paramètres!$A$1:$I$89,5,0)</f>
        <v>0</v>
      </c>
      <c r="AK154" s="14" t="e">
        <f t="shared" ref="AK154:AK203" si="164">EXP(-1.0587+0.8836*LN(AJ154)+0.284)</f>
        <v>#NUM!</v>
      </c>
      <c r="AL154" s="22" t="e">
        <f t="shared" ref="AL154:AL203" si="165">(AJ154+AK154)*0.475*44/12</f>
        <v>#NUM!</v>
      </c>
      <c r="AM154" s="62" t="e">
        <f t="shared" si="113"/>
        <v>#NUM!</v>
      </c>
      <c r="AN154" s="62">
        <f ca="1">AVERAGE(OFFSET($AM$3,0,0,'Données projet'!$E$10+1,1))-AVERAGE(OFFSET($H$3,0,0,'Données projet'!$E$10+1,1))</f>
        <v>400.48230125343474</v>
      </c>
      <c r="AO154" s="62">
        <f t="shared" si="144"/>
        <v>275.67023303885048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0</v>
      </c>
      <c r="AV154" s="23">
        <f>EXP(-LN(2)/25)*AV153+(1-EXP(-LN(2)/25))/(LN(2)/25)*Calculateur!AQ154*Calculateur!AS154*VLOOKUP('Données projet'!$B$10,Paramètres!$A$1:$I$89,3,0)*0.475*44/12</f>
        <v>0</v>
      </c>
      <c r="AW154" s="23">
        <f>EXP(-LN(2)/2)*AW153+(1-EXP(-LN(2)/2))/(LN(2)/2)*AQ154*AT154*VLOOKUP('Données projet'!$B$10,Paramètres!$A$1:$I$89,3,0)*0.475*44/12</f>
        <v>0</v>
      </c>
      <c r="AX154" s="23">
        <f t="shared" ref="AX154:AX203" si="166">SUM(AU154:AW154)</f>
        <v>0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-9.6633812063373625E-13</v>
      </c>
      <c r="BE154" s="14">
        <f>BD154*VLOOKUP('Données projet'!$B$11,Paramètres!$A$1:$I$89,3,0)*VLOOKUP('Données projet'!$B$11,Paramètres!$A$1:$I$89,5,0)</f>
        <v>-9.3464223027694966E-13</v>
      </c>
      <c r="BF154" s="14" t="e">
        <f t="shared" ref="BF154:BF203" si="167">EXP(-1.0587+0.8836*LN(BE154)+0.284)</f>
        <v>#NUM!</v>
      </c>
      <c r="BG154" s="22" t="e">
        <f t="shared" ref="BG154:BG203" si="168">(BE154+BF154)*0.475*44/12</f>
        <v>#NUM!</v>
      </c>
      <c r="BH154" s="62" t="e">
        <f t="shared" si="116"/>
        <v>#NUM!</v>
      </c>
      <c r="BI154" s="62">
        <f ca="1">AVERAGE(OFFSET($BH$3,0,0,'Données projet'!$E$11+1,1))-AVERAGE(OFFSET($H$3,0,0,'Données projet'!$E$11+1,1))</f>
        <v>496.33873798282525</v>
      </c>
      <c r="BJ154" s="62">
        <f t="shared" si="146"/>
        <v>280.25465074992246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>
        <f>EXP(-LN(2)/35)*BP153+(1-EXP(-LN(2)/35))/(LN(2)/35)*BL154*BM154*VLOOKUP('Données projet'!$B$11,Paramètres!$A$1:$I$89,3,0)*0.475*44/12</f>
        <v>0</v>
      </c>
      <c r="BQ154" s="23">
        <f>EXP(-LN(2)/25)*BQ153+(1-EXP(-LN(2)/25))/(LN(2)/25)*Calculateur!BL154*Calculateur!BN154*VLOOKUP('Données projet'!$B$11,Paramètres!$A$1:$I$89,3,0)*0.475*44/12</f>
        <v>0</v>
      </c>
      <c r="BR154" s="23">
        <f>EXP(-LN(2)/2)*BR153+(1-EXP(-LN(2)/2))/(LN(2)/2)*BL154*BO154*VLOOKUP('Données projet'!$B$11,Paramètres!$A$1:$I$89,3,0)*0.475*44/12</f>
        <v>0</v>
      </c>
      <c r="BS154" s="24">
        <f t="shared" ref="BS154:BS203" si="169">SUM(BP154:BR154)</f>
        <v>0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-1.1368683772161603E-13</v>
      </c>
      <c r="BZ154" s="14">
        <f>BY154*VLOOKUP('Données projet'!$B$12,Paramètres!$A$1:$I$89,3,0)*VLOOKUP('Données projet'!$B$12,Paramètres!$A$1:$I$89,5,0)</f>
        <v>-9.9316821433603781E-14</v>
      </c>
      <c r="CA154" s="14" t="e">
        <f t="shared" ref="CA154:CA203" si="170">EXP(-1.0587+0.8836*LN(BZ154)+0.284)</f>
        <v>#NUM!</v>
      </c>
      <c r="CB154" s="22" t="e">
        <f t="shared" ref="CB154:CB203" si="171">(BZ154+CA154)*0.475*44/12</f>
        <v>#NUM!</v>
      </c>
      <c r="CC154" s="62" t="e">
        <f t="shared" si="119"/>
        <v>#NUM!</v>
      </c>
      <c r="CD154" s="62">
        <f ca="1">AVERAGE(OFFSET($CC$3,0,0,'Données projet'!$E$12+1,1))-AVERAGE(OFFSET($H$3,0,0,'Données projet'!$E$12+1,1))</f>
        <v>298.56812743477741</v>
      </c>
      <c r="CE154" s="62">
        <f t="shared" si="148"/>
        <v>276.01618888357268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>
        <f>EXP(-LN(2)/35)*CK153+(1-EXP(-LN(2)/35))/(LN(2)/35)*CG154*CH154*VLOOKUP('Données projet'!$B$12,Paramètres!$A$1:$I$89,3,0)*0.475*44/12</f>
        <v>0</v>
      </c>
      <c r="CL154" s="23">
        <f>EXP(-LN(2)/25)*CL153+(1-EXP(-LN(2)/25))/(LN(2)/25)*Calculateur!CG154*Calculateur!CI154*VLOOKUP('Données projet'!$B$12,Paramètres!$A$1:$I$89,3,0)*0.475*44/12</f>
        <v>0</v>
      </c>
      <c r="CM154" s="23">
        <f>EXP(-LN(2)/2)*CM153+(1-EXP(-LN(2)/2))/(LN(2)/2)*CG154*CJ154*VLOOKUP('Données projet'!$B$12,Paramètres!$A$1:$I$89,3,0)*0.475*44/12</f>
        <v>0</v>
      </c>
      <c r="CN154" s="24">
        <f t="shared" ref="CN154:CN203" si="172">SUM(CK154:CM154)</f>
        <v>0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2.2737367544323206E-13</v>
      </c>
      <c r="CU154" s="18">
        <f>CT154*VLOOKUP('Données projet'!$B$13,Paramètres!$A$1:$I$89,3,0)*VLOOKUP('Données projet'!$B$13,Paramètres!$A$1:$I$89,5,0)</f>
        <v>1.5252226148732008E-13</v>
      </c>
      <c r="CV154" s="14">
        <f t="shared" ref="CV154:CV203" si="173">EXP(-1.0587+0.8836*LN(CU154)+0.284)</f>
        <v>2.1814502464536512E-12</v>
      </c>
      <c r="CW154" s="22">
        <f t="shared" ref="CW154:CW203" si="174">(CU154+CV154)*0.475*44/12</f>
        <v>4.0650021179971913E-12</v>
      </c>
      <c r="CX154" s="62">
        <f t="shared" si="122"/>
        <v>286.80821682326945</v>
      </c>
      <c r="CY154" s="62">
        <f ca="1">AVERAGE(OFFSET($CX$3,0,0,'Données projet'!$E$13+1,1))-AVERAGE(OFFSET($H$3,0,0,'Données projet'!$E$13+1,1))</f>
        <v>346.82725381974132</v>
      </c>
      <c r="CZ154" s="62">
        <f t="shared" si="150"/>
        <v>254.09787950201044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>
        <f>EXP(-LN(2)/35)*DF153+(1-EXP(-LN(2)/35))/(LN(2)/35)*DB154*DC154*VLOOKUP('Données projet'!$B$13,Paramètres!$A$1:$I$89,3,0)*0.475*44/12</f>
        <v>0</v>
      </c>
      <c r="DG154" s="23">
        <f>EXP(-LN(2)/25)*DG153+(1-EXP(-LN(2)/25))/(LN(2)/25)*Calculateur!DB154*Calculateur!DD154*VLOOKUP('Données projet'!$B$13,Paramètres!$A$1:$I$89,3,0)*0.475*44/12</f>
        <v>0</v>
      </c>
      <c r="DH154" s="23">
        <f>EXP(-LN(2)/2)*DH153+(1-EXP(-LN(2)/2))/(LN(2)/2)*DB154*DE154*VLOOKUP('Données projet'!$B$13,Paramètres!$A$1:$I$89,3,0)*0.475*44/12</f>
        <v>0</v>
      </c>
      <c r="DI154" s="24">
        <f t="shared" ref="DI154:DI203" si="175">SUM(DF154:DH154)</f>
        <v>0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5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2">
        <f t="shared" si="140"/>
        <v>0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18.333333333333332</v>
      </c>
      <c r="H155" s="70">
        <f t="shared" si="110"/>
        <v>183.33333333333334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-9.6633812063373625E-13</v>
      </c>
      <c r="O155" s="14">
        <f>N155*VLOOKUP('Données projet'!$B$9,Paramètres!$A$1:$I$89,3,0)*VLOOKUP('Données projet'!$B$9,Paramètres!$A$1:$I$89,5,0)</f>
        <v>-8.7434273154940449E-13</v>
      </c>
      <c r="P155" s="14" t="e">
        <f t="shared" si="141"/>
        <v>#NUM!</v>
      </c>
      <c r="Q155" s="22" t="e">
        <f t="shared" si="162"/>
        <v>#NUM!</v>
      </c>
      <c r="R155" s="62" t="e">
        <f t="shared" si="109"/>
        <v>#NUM!</v>
      </c>
      <c r="S155" s="62">
        <f ca="1">AVERAGE(OFFSET($R$3,0,0,'Données projet'!$E$9+1,1))-AVERAGE(OFFSET($H$3,0,0,'Données projet'!$E$9+1,1))</f>
        <v>469.67944008675863</v>
      </c>
      <c r="T155" s="62">
        <f t="shared" si="142"/>
        <v>266.11908070867173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0</v>
      </c>
      <c r="AA155" s="23">
        <f>EXP(-LN(2)/25)*AA154+(1-EXP(-LN(2)/25))/(LN(2)/25)*Calculateur!V155*Calculateur!X155*VLOOKUP('Données projet'!$B$9,Paramètres!$A$1:$I$89,3,0)*0.475*44/12</f>
        <v>0</v>
      </c>
      <c r="AB155" s="23">
        <f>EXP(-LN(2)/2)*AB154+(1-EXP(-LN(2)/2))/(LN(2)/2)*V155*Y155*VLOOKUP('Données projet'!$B$9,Paramètres!$A$1:$I$89,3,0)*0.475*44/12</f>
        <v>0</v>
      </c>
      <c r="AC155" s="24">
        <f t="shared" si="163"/>
        <v>0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0</v>
      </c>
      <c r="AJ155" s="14">
        <f>AI155*VLOOKUP('Données projet'!$B$10,Paramètres!$A$1:$I$89,3,0)*VLOOKUP('Données projet'!$B$10,Paramètres!$A$1:$I$89,5,0)</f>
        <v>0</v>
      </c>
      <c r="AK155" s="14" t="e">
        <f t="shared" si="164"/>
        <v>#NUM!</v>
      </c>
      <c r="AL155" s="22" t="e">
        <f t="shared" si="165"/>
        <v>#NUM!</v>
      </c>
      <c r="AM155" s="62" t="e">
        <f t="shared" si="113"/>
        <v>#NUM!</v>
      </c>
      <c r="AN155" s="62">
        <f ca="1">AVERAGE(OFFSET($AM$3,0,0,'Données projet'!$E$10+1,1))-AVERAGE(OFFSET($H$3,0,0,'Données projet'!$E$10+1,1))</f>
        <v>400.48230125343474</v>
      </c>
      <c r="AO155" s="62">
        <f t="shared" si="144"/>
        <v>275.67023303885048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0</v>
      </c>
      <c r="AV155" s="23">
        <f>EXP(-LN(2)/25)*AV154+(1-EXP(-LN(2)/25))/(LN(2)/25)*Calculateur!AQ155*Calculateur!AS155*VLOOKUP('Données projet'!$B$10,Paramètres!$A$1:$I$89,3,0)*0.475*44/12</f>
        <v>0</v>
      </c>
      <c r="AW155" s="23">
        <f>EXP(-LN(2)/2)*AW154+(1-EXP(-LN(2)/2))/(LN(2)/2)*AQ155*AT155*VLOOKUP('Données projet'!$B$10,Paramètres!$A$1:$I$89,3,0)*0.475*44/12</f>
        <v>0</v>
      </c>
      <c r="AX155" s="23">
        <f t="shared" si="166"/>
        <v>0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-9.6633812063373625E-13</v>
      </c>
      <c r="BE155" s="14">
        <f>BD155*VLOOKUP('Données projet'!$B$11,Paramètres!$A$1:$I$89,3,0)*VLOOKUP('Données projet'!$B$11,Paramètres!$A$1:$I$89,5,0)</f>
        <v>-9.3464223027694966E-13</v>
      </c>
      <c r="BF155" s="14" t="e">
        <f t="shared" si="167"/>
        <v>#NUM!</v>
      </c>
      <c r="BG155" s="22" t="e">
        <f t="shared" si="168"/>
        <v>#NUM!</v>
      </c>
      <c r="BH155" s="62" t="e">
        <f t="shared" si="116"/>
        <v>#NUM!</v>
      </c>
      <c r="BI155" s="62">
        <f ca="1">AVERAGE(OFFSET($BH$3,0,0,'Données projet'!$E$11+1,1))-AVERAGE(OFFSET($H$3,0,0,'Données projet'!$E$11+1,1))</f>
        <v>496.33873798282525</v>
      </c>
      <c r="BJ155" s="62">
        <f t="shared" si="146"/>
        <v>280.25465074992246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>
        <f>EXP(-LN(2)/35)*BP154+(1-EXP(-LN(2)/35))/(LN(2)/35)*BL155*BM155*VLOOKUP('Données projet'!$B$11,Paramètres!$A$1:$I$89,3,0)*0.475*44/12</f>
        <v>0</v>
      </c>
      <c r="BQ155" s="23">
        <f>EXP(-LN(2)/25)*BQ154+(1-EXP(-LN(2)/25))/(LN(2)/25)*Calculateur!BL155*Calculateur!BN155*VLOOKUP('Données projet'!$B$11,Paramètres!$A$1:$I$89,3,0)*0.475*44/12</f>
        <v>0</v>
      </c>
      <c r="BR155" s="23">
        <f>EXP(-LN(2)/2)*BR154+(1-EXP(-LN(2)/2))/(LN(2)/2)*BL155*BO155*VLOOKUP('Données projet'!$B$11,Paramètres!$A$1:$I$89,3,0)*0.475*44/12</f>
        <v>0</v>
      </c>
      <c r="BS155" s="24">
        <f t="shared" si="169"/>
        <v>0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-1.1368683772161603E-13</v>
      </c>
      <c r="BZ155" s="14">
        <f>BY155*VLOOKUP('Données projet'!$B$12,Paramètres!$A$1:$I$89,3,0)*VLOOKUP('Données projet'!$B$12,Paramètres!$A$1:$I$89,5,0)</f>
        <v>-9.9316821433603781E-14</v>
      </c>
      <c r="CA155" s="14" t="e">
        <f t="shared" si="170"/>
        <v>#NUM!</v>
      </c>
      <c r="CB155" s="22" t="e">
        <f t="shared" si="171"/>
        <v>#NUM!</v>
      </c>
      <c r="CC155" s="62" t="e">
        <f t="shared" si="119"/>
        <v>#NUM!</v>
      </c>
      <c r="CD155" s="62">
        <f ca="1">AVERAGE(OFFSET($CC$3,0,0,'Données projet'!$E$12+1,1))-AVERAGE(OFFSET($H$3,0,0,'Données projet'!$E$12+1,1))</f>
        <v>298.56812743477741</v>
      </c>
      <c r="CE155" s="62">
        <f t="shared" si="148"/>
        <v>276.01618888357268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>
        <f>EXP(-LN(2)/35)*CK154+(1-EXP(-LN(2)/35))/(LN(2)/35)*CG155*CH155*VLOOKUP('Données projet'!$B$12,Paramètres!$A$1:$I$89,3,0)*0.475*44/12</f>
        <v>0</v>
      </c>
      <c r="CL155" s="23">
        <f>EXP(-LN(2)/25)*CL154+(1-EXP(-LN(2)/25))/(LN(2)/25)*Calculateur!CG155*Calculateur!CI155*VLOOKUP('Données projet'!$B$12,Paramètres!$A$1:$I$89,3,0)*0.475*44/12</f>
        <v>0</v>
      </c>
      <c r="CM155" s="23">
        <f>EXP(-LN(2)/2)*CM154+(1-EXP(-LN(2)/2))/(LN(2)/2)*CG155*CJ155*VLOOKUP('Données projet'!$B$12,Paramètres!$A$1:$I$89,3,0)*0.475*44/12</f>
        <v>0</v>
      </c>
      <c r="CN155" s="24">
        <f t="shared" si="172"/>
        <v>0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2.2737367544323206E-13</v>
      </c>
      <c r="CU155" s="18">
        <f>CT155*VLOOKUP('Données projet'!$B$13,Paramètres!$A$1:$I$89,3,0)*VLOOKUP('Données projet'!$B$13,Paramètres!$A$1:$I$89,5,0)</f>
        <v>1.5252226148732008E-13</v>
      </c>
      <c r="CV155" s="14">
        <f t="shared" si="173"/>
        <v>2.1814502464536512E-12</v>
      </c>
      <c r="CW155" s="22">
        <f t="shared" si="174"/>
        <v>4.0650021179971913E-12</v>
      </c>
      <c r="CX155" s="62">
        <f t="shared" si="122"/>
        <v>286.92141300674399</v>
      </c>
      <c r="CY155" s="62">
        <f ca="1">AVERAGE(OFFSET($CX$3,0,0,'Données projet'!$E$13+1,1))-AVERAGE(OFFSET($H$3,0,0,'Données projet'!$E$13+1,1))</f>
        <v>346.82725381974132</v>
      </c>
      <c r="CZ155" s="62">
        <f t="shared" si="150"/>
        <v>254.09787950201044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>
        <f>EXP(-LN(2)/35)*DF154+(1-EXP(-LN(2)/35))/(LN(2)/35)*DB155*DC155*VLOOKUP('Données projet'!$B$13,Paramètres!$A$1:$I$89,3,0)*0.475*44/12</f>
        <v>0</v>
      </c>
      <c r="DG155" s="23">
        <f>EXP(-LN(2)/25)*DG154+(1-EXP(-LN(2)/25))/(LN(2)/25)*Calculateur!DB155*Calculateur!DD155*VLOOKUP('Données projet'!$B$13,Paramètres!$A$1:$I$89,3,0)*0.475*44/12</f>
        <v>0</v>
      </c>
      <c r="DH155" s="23">
        <f>EXP(-LN(2)/2)*DH154+(1-EXP(-LN(2)/2))/(LN(2)/2)*DB155*DE155*VLOOKUP('Données projet'!$B$13,Paramètres!$A$1:$I$89,3,0)*0.475*44/12</f>
        <v>0</v>
      </c>
      <c r="DI155" s="24">
        <f t="shared" si="175"/>
        <v>0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5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2">
        <f t="shared" si="140"/>
        <v>0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18.333333333333332</v>
      </c>
      <c r="H156" s="70">
        <f t="shared" si="110"/>
        <v>183.33333333333334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-9.6633812063373625E-13</v>
      </c>
      <c r="O156" s="14">
        <f>N156*VLOOKUP('Données projet'!$B$9,Paramètres!$A$1:$I$89,3,0)*VLOOKUP('Données projet'!$B$9,Paramètres!$A$1:$I$89,5,0)</f>
        <v>-8.7434273154940449E-13</v>
      </c>
      <c r="P156" s="14" t="e">
        <f t="shared" si="141"/>
        <v>#NUM!</v>
      </c>
      <c r="Q156" s="22" t="e">
        <f t="shared" si="162"/>
        <v>#NUM!</v>
      </c>
      <c r="R156" s="62" t="e">
        <f t="shared" si="109"/>
        <v>#NUM!</v>
      </c>
      <c r="S156" s="62">
        <f ca="1">AVERAGE(OFFSET($R$3,0,0,'Données projet'!$E$9+1,1))-AVERAGE(OFFSET($H$3,0,0,'Données projet'!$E$9+1,1))</f>
        <v>469.67944008675863</v>
      </c>
      <c r="T156" s="62">
        <f t="shared" si="142"/>
        <v>266.11908070867173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0</v>
      </c>
      <c r="AA156" s="23">
        <f>EXP(-LN(2)/25)*AA155+(1-EXP(-LN(2)/25))/(LN(2)/25)*Calculateur!V156*Calculateur!X156*VLOOKUP('Données projet'!$B$9,Paramètres!$A$1:$I$89,3,0)*0.475*44/12</f>
        <v>0</v>
      </c>
      <c r="AB156" s="23">
        <f>EXP(-LN(2)/2)*AB155+(1-EXP(-LN(2)/2))/(LN(2)/2)*V156*Y156*VLOOKUP('Données projet'!$B$9,Paramètres!$A$1:$I$89,3,0)*0.475*44/12</f>
        <v>0</v>
      </c>
      <c r="AC156" s="24">
        <f t="shared" si="163"/>
        <v>0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0</v>
      </c>
      <c r="AJ156" s="14">
        <f>AI156*VLOOKUP('Données projet'!$B$10,Paramètres!$A$1:$I$89,3,0)*VLOOKUP('Données projet'!$B$10,Paramètres!$A$1:$I$89,5,0)</f>
        <v>0</v>
      </c>
      <c r="AK156" s="14" t="e">
        <f t="shared" si="164"/>
        <v>#NUM!</v>
      </c>
      <c r="AL156" s="22" t="e">
        <f t="shared" si="165"/>
        <v>#NUM!</v>
      </c>
      <c r="AM156" s="62" t="e">
        <f t="shared" si="113"/>
        <v>#NUM!</v>
      </c>
      <c r="AN156" s="62">
        <f ca="1">AVERAGE(OFFSET($AM$3,0,0,'Données projet'!$E$10+1,1))-AVERAGE(OFFSET($H$3,0,0,'Données projet'!$E$10+1,1))</f>
        <v>400.48230125343474</v>
      </c>
      <c r="AO156" s="62">
        <f t="shared" si="144"/>
        <v>275.67023303885048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0</v>
      </c>
      <c r="AV156" s="23">
        <f>EXP(-LN(2)/25)*AV155+(1-EXP(-LN(2)/25))/(LN(2)/25)*Calculateur!AQ156*Calculateur!AS156*VLOOKUP('Données projet'!$B$10,Paramètres!$A$1:$I$89,3,0)*0.475*44/12</f>
        <v>0</v>
      </c>
      <c r="AW156" s="23">
        <f>EXP(-LN(2)/2)*AW155+(1-EXP(-LN(2)/2))/(LN(2)/2)*AQ156*AT156*VLOOKUP('Données projet'!$B$10,Paramètres!$A$1:$I$89,3,0)*0.475*44/12</f>
        <v>0</v>
      </c>
      <c r="AX156" s="23">
        <f t="shared" si="166"/>
        <v>0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-9.6633812063373625E-13</v>
      </c>
      <c r="BE156" s="14">
        <f>BD156*VLOOKUP('Données projet'!$B$11,Paramètres!$A$1:$I$89,3,0)*VLOOKUP('Données projet'!$B$11,Paramètres!$A$1:$I$89,5,0)</f>
        <v>-9.3464223027694966E-13</v>
      </c>
      <c r="BF156" s="14" t="e">
        <f t="shared" si="167"/>
        <v>#NUM!</v>
      </c>
      <c r="BG156" s="22" t="e">
        <f t="shared" si="168"/>
        <v>#NUM!</v>
      </c>
      <c r="BH156" s="62" t="e">
        <f t="shared" si="116"/>
        <v>#NUM!</v>
      </c>
      <c r="BI156" s="62">
        <f ca="1">AVERAGE(OFFSET($BH$3,0,0,'Données projet'!$E$11+1,1))-AVERAGE(OFFSET($H$3,0,0,'Données projet'!$E$11+1,1))</f>
        <v>496.33873798282525</v>
      </c>
      <c r="BJ156" s="62">
        <f t="shared" si="146"/>
        <v>280.25465074992246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>
        <f>EXP(-LN(2)/35)*BP155+(1-EXP(-LN(2)/35))/(LN(2)/35)*BL156*BM156*VLOOKUP('Données projet'!$B$11,Paramètres!$A$1:$I$89,3,0)*0.475*44/12</f>
        <v>0</v>
      </c>
      <c r="BQ156" s="23">
        <f>EXP(-LN(2)/25)*BQ155+(1-EXP(-LN(2)/25))/(LN(2)/25)*Calculateur!BL156*Calculateur!BN156*VLOOKUP('Données projet'!$B$11,Paramètres!$A$1:$I$89,3,0)*0.475*44/12</f>
        <v>0</v>
      </c>
      <c r="BR156" s="23">
        <f>EXP(-LN(2)/2)*BR155+(1-EXP(-LN(2)/2))/(LN(2)/2)*BL156*BO156*VLOOKUP('Données projet'!$B$11,Paramètres!$A$1:$I$89,3,0)*0.475*44/12</f>
        <v>0</v>
      </c>
      <c r="BS156" s="24">
        <f t="shared" si="169"/>
        <v>0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-1.1368683772161603E-13</v>
      </c>
      <c r="BZ156" s="14">
        <f>BY156*VLOOKUP('Données projet'!$B$12,Paramètres!$A$1:$I$89,3,0)*VLOOKUP('Données projet'!$B$12,Paramètres!$A$1:$I$89,5,0)</f>
        <v>-9.9316821433603781E-14</v>
      </c>
      <c r="CA156" s="14" t="e">
        <f t="shared" si="170"/>
        <v>#NUM!</v>
      </c>
      <c r="CB156" s="22" t="e">
        <f t="shared" si="171"/>
        <v>#NUM!</v>
      </c>
      <c r="CC156" s="62" t="e">
        <f t="shared" si="119"/>
        <v>#NUM!</v>
      </c>
      <c r="CD156" s="62">
        <f ca="1">AVERAGE(OFFSET($CC$3,0,0,'Données projet'!$E$12+1,1))-AVERAGE(OFFSET($H$3,0,0,'Données projet'!$E$12+1,1))</f>
        <v>298.56812743477741</v>
      </c>
      <c r="CE156" s="62">
        <f t="shared" si="148"/>
        <v>276.01618888357268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>
        <f>EXP(-LN(2)/35)*CK155+(1-EXP(-LN(2)/35))/(LN(2)/35)*CG156*CH156*VLOOKUP('Données projet'!$B$12,Paramètres!$A$1:$I$89,3,0)*0.475*44/12</f>
        <v>0</v>
      </c>
      <c r="CL156" s="23">
        <f>EXP(-LN(2)/25)*CL155+(1-EXP(-LN(2)/25))/(LN(2)/25)*Calculateur!CG156*Calculateur!CI156*VLOOKUP('Données projet'!$B$12,Paramètres!$A$1:$I$89,3,0)*0.475*44/12</f>
        <v>0</v>
      </c>
      <c r="CM156" s="23">
        <f>EXP(-LN(2)/2)*CM155+(1-EXP(-LN(2)/2))/(LN(2)/2)*CG156*CJ156*VLOOKUP('Données projet'!$B$12,Paramètres!$A$1:$I$89,3,0)*0.475*44/12</f>
        <v>0</v>
      </c>
      <c r="CN156" s="24">
        <f t="shared" si="172"/>
        <v>0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2.2737367544323206E-13</v>
      </c>
      <c r="CU156" s="18">
        <f>CT156*VLOOKUP('Données projet'!$B$13,Paramètres!$A$1:$I$89,3,0)*VLOOKUP('Données projet'!$B$13,Paramètres!$A$1:$I$89,5,0)</f>
        <v>1.5252226148732008E-13</v>
      </c>
      <c r="CV156" s="14">
        <f t="shared" si="173"/>
        <v>2.1814502464536512E-12</v>
      </c>
      <c r="CW156" s="22">
        <f t="shared" si="174"/>
        <v>4.0650021179971913E-12</v>
      </c>
      <c r="CX156" s="62">
        <f t="shared" si="122"/>
        <v>287.03264548950409</v>
      </c>
      <c r="CY156" s="62">
        <f ca="1">AVERAGE(OFFSET($CX$3,0,0,'Données projet'!$E$13+1,1))-AVERAGE(OFFSET($H$3,0,0,'Données projet'!$E$13+1,1))</f>
        <v>346.82725381974132</v>
      </c>
      <c r="CZ156" s="62">
        <f t="shared" si="150"/>
        <v>254.09787950201044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>
        <f>EXP(-LN(2)/35)*DF155+(1-EXP(-LN(2)/35))/(LN(2)/35)*DB156*DC156*VLOOKUP('Données projet'!$B$13,Paramètres!$A$1:$I$89,3,0)*0.475*44/12</f>
        <v>0</v>
      </c>
      <c r="DG156" s="23">
        <f>EXP(-LN(2)/25)*DG155+(1-EXP(-LN(2)/25))/(LN(2)/25)*Calculateur!DB156*Calculateur!DD156*VLOOKUP('Données projet'!$B$13,Paramètres!$A$1:$I$89,3,0)*0.475*44/12</f>
        <v>0</v>
      </c>
      <c r="DH156" s="23">
        <f>EXP(-LN(2)/2)*DH155+(1-EXP(-LN(2)/2))/(LN(2)/2)*DB156*DE156*VLOOKUP('Données projet'!$B$13,Paramètres!$A$1:$I$89,3,0)*0.475*44/12</f>
        <v>0</v>
      </c>
      <c r="DI156" s="24">
        <f t="shared" si="175"/>
        <v>0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5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2">
        <f t="shared" si="140"/>
        <v>0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18.333333333333332</v>
      </c>
      <c r="H157" s="70">
        <f t="shared" si="110"/>
        <v>183.33333333333334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-9.6633812063373625E-13</v>
      </c>
      <c r="O157" s="14">
        <f>N157*VLOOKUP('Données projet'!$B$9,Paramètres!$A$1:$I$89,3,0)*VLOOKUP('Données projet'!$B$9,Paramètres!$A$1:$I$89,5,0)</f>
        <v>-8.7434273154940449E-13</v>
      </c>
      <c r="P157" s="14" t="e">
        <f t="shared" si="141"/>
        <v>#NUM!</v>
      </c>
      <c r="Q157" s="22" t="e">
        <f t="shared" si="162"/>
        <v>#NUM!</v>
      </c>
      <c r="R157" s="62" t="e">
        <f t="shared" si="109"/>
        <v>#NUM!</v>
      </c>
      <c r="S157" s="62">
        <f ca="1">AVERAGE(OFFSET($R$3,0,0,'Données projet'!$E$9+1,1))-AVERAGE(OFFSET($H$3,0,0,'Données projet'!$E$9+1,1))</f>
        <v>469.67944008675863</v>
      </c>
      <c r="T157" s="62">
        <f t="shared" si="142"/>
        <v>266.11908070867173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0</v>
      </c>
      <c r="AA157" s="23">
        <f>EXP(-LN(2)/25)*AA156+(1-EXP(-LN(2)/25))/(LN(2)/25)*Calculateur!V157*Calculateur!X157*VLOOKUP('Données projet'!$B$9,Paramètres!$A$1:$I$89,3,0)*0.475*44/12</f>
        <v>0</v>
      </c>
      <c r="AB157" s="23">
        <f>EXP(-LN(2)/2)*AB156+(1-EXP(-LN(2)/2))/(LN(2)/2)*V157*Y157*VLOOKUP('Données projet'!$B$9,Paramètres!$A$1:$I$89,3,0)*0.475*44/12</f>
        <v>0</v>
      </c>
      <c r="AC157" s="24">
        <f t="shared" si="163"/>
        <v>0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0</v>
      </c>
      <c r="AJ157" s="14">
        <f>AI157*VLOOKUP('Données projet'!$B$10,Paramètres!$A$1:$I$89,3,0)*VLOOKUP('Données projet'!$B$10,Paramètres!$A$1:$I$89,5,0)</f>
        <v>0</v>
      </c>
      <c r="AK157" s="14" t="e">
        <f t="shared" si="164"/>
        <v>#NUM!</v>
      </c>
      <c r="AL157" s="22" t="e">
        <f t="shared" si="165"/>
        <v>#NUM!</v>
      </c>
      <c r="AM157" s="62" t="e">
        <f t="shared" si="113"/>
        <v>#NUM!</v>
      </c>
      <c r="AN157" s="62">
        <f ca="1">AVERAGE(OFFSET($AM$3,0,0,'Données projet'!$E$10+1,1))-AVERAGE(OFFSET($H$3,0,0,'Données projet'!$E$10+1,1))</f>
        <v>400.48230125343474</v>
      </c>
      <c r="AO157" s="62">
        <f t="shared" si="144"/>
        <v>275.67023303885048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0</v>
      </c>
      <c r="AV157" s="23">
        <f>EXP(-LN(2)/25)*AV156+(1-EXP(-LN(2)/25))/(LN(2)/25)*Calculateur!AQ157*Calculateur!AS157*VLOOKUP('Données projet'!$B$10,Paramètres!$A$1:$I$89,3,0)*0.475*44/12</f>
        <v>0</v>
      </c>
      <c r="AW157" s="23">
        <f>EXP(-LN(2)/2)*AW156+(1-EXP(-LN(2)/2))/(LN(2)/2)*AQ157*AT157*VLOOKUP('Données projet'!$B$10,Paramètres!$A$1:$I$89,3,0)*0.475*44/12</f>
        <v>0</v>
      </c>
      <c r="AX157" s="23">
        <f t="shared" si="166"/>
        <v>0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-9.6633812063373625E-13</v>
      </c>
      <c r="BE157" s="14">
        <f>BD157*VLOOKUP('Données projet'!$B$11,Paramètres!$A$1:$I$89,3,0)*VLOOKUP('Données projet'!$B$11,Paramètres!$A$1:$I$89,5,0)</f>
        <v>-9.3464223027694966E-13</v>
      </c>
      <c r="BF157" s="14" t="e">
        <f t="shared" si="167"/>
        <v>#NUM!</v>
      </c>
      <c r="BG157" s="22" t="e">
        <f t="shared" si="168"/>
        <v>#NUM!</v>
      </c>
      <c r="BH157" s="62" t="e">
        <f t="shared" si="116"/>
        <v>#NUM!</v>
      </c>
      <c r="BI157" s="62">
        <f ca="1">AVERAGE(OFFSET($BH$3,0,0,'Données projet'!$E$11+1,1))-AVERAGE(OFFSET($H$3,0,0,'Données projet'!$E$11+1,1))</f>
        <v>496.33873798282525</v>
      </c>
      <c r="BJ157" s="62">
        <f t="shared" si="146"/>
        <v>280.25465074992246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>
        <f>EXP(-LN(2)/35)*BP156+(1-EXP(-LN(2)/35))/(LN(2)/35)*BL157*BM157*VLOOKUP('Données projet'!$B$11,Paramètres!$A$1:$I$89,3,0)*0.475*44/12</f>
        <v>0</v>
      </c>
      <c r="BQ157" s="23">
        <f>EXP(-LN(2)/25)*BQ156+(1-EXP(-LN(2)/25))/(LN(2)/25)*Calculateur!BL157*Calculateur!BN157*VLOOKUP('Données projet'!$B$11,Paramètres!$A$1:$I$89,3,0)*0.475*44/12</f>
        <v>0</v>
      </c>
      <c r="BR157" s="23">
        <f>EXP(-LN(2)/2)*BR156+(1-EXP(-LN(2)/2))/(LN(2)/2)*BL157*BO157*VLOOKUP('Données projet'!$B$11,Paramètres!$A$1:$I$89,3,0)*0.475*44/12</f>
        <v>0</v>
      </c>
      <c r="BS157" s="24">
        <f t="shared" si="169"/>
        <v>0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-1.1368683772161603E-13</v>
      </c>
      <c r="BZ157" s="14">
        <f>BY157*VLOOKUP('Données projet'!$B$12,Paramètres!$A$1:$I$89,3,0)*VLOOKUP('Données projet'!$B$12,Paramètres!$A$1:$I$89,5,0)</f>
        <v>-9.9316821433603781E-14</v>
      </c>
      <c r="CA157" s="14" t="e">
        <f t="shared" si="170"/>
        <v>#NUM!</v>
      </c>
      <c r="CB157" s="22" t="e">
        <f t="shared" si="171"/>
        <v>#NUM!</v>
      </c>
      <c r="CC157" s="62" t="e">
        <f t="shared" si="119"/>
        <v>#NUM!</v>
      </c>
      <c r="CD157" s="62">
        <f ca="1">AVERAGE(OFFSET($CC$3,0,0,'Données projet'!$E$12+1,1))-AVERAGE(OFFSET($H$3,0,0,'Données projet'!$E$12+1,1))</f>
        <v>298.56812743477741</v>
      </c>
      <c r="CE157" s="62">
        <f t="shared" si="148"/>
        <v>276.01618888357268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>
        <f>EXP(-LN(2)/35)*CK156+(1-EXP(-LN(2)/35))/(LN(2)/35)*CG157*CH157*VLOOKUP('Données projet'!$B$12,Paramètres!$A$1:$I$89,3,0)*0.475*44/12</f>
        <v>0</v>
      </c>
      <c r="CL157" s="23">
        <f>EXP(-LN(2)/25)*CL156+(1-EXP(-LN(2)/25))/(LN(2)/25)*Calculateur!CG157*Calculateur!CI157*VLOOKUP('Données projet'!$B$12,Paramètres!$A$1:$I$89,3,0)*0.475*44/12</f>
        <v>0</v>
      </c>
      <c r="CM157" s="23">
        <f>EXP(-LN(2)/2)*CM156+(1-EXP(-LN(2)/2))/(LN(2)/2)*CG157*CJ157*VLOOKUP('Données projet'!$B$12,Paramètres!$A$1:$I$89,3,0)*0.475*44/12</f>
        <v>0</v>
      </c>
      <c r="CN157" s="24">
        <f t="shared" si="172"/>
        <v>0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2.2737367544323206E-13</v>
      </c>
      <c r="CU157" s="18">
        <f>CT157*VLOOKUP('Données projet'!$B$13,Paramètres!$A$1:$I$89,3,0)*VLOOKUP('Données projet'!$B$13,Paramètres!$A$1:$I$89,5,0)</f>
        <v>1.5252226148732008E-13</v>
      </c>
      <c r="CV157" s="14">
        <f t="shared" si="173"/>
        <v>2.1814502464536512E-12</v>
      </c>
      <c r="CW157" s="22">
        <f t="shared" si="174"/>
        <v>4.0650021179971913E-12</v>
      </c>
      <c r="CX157" s="62">
        <f t="shared" si="122"/>
        <v>287.14194833736684</v>
      </c>
      <c r="CY157" s="62">
        <f ca="1">AVERAGE(OFFSET($CX$3,0,0,'Données projet'!$E$13+1,1))-AVERAGE(OFFSET($H$3,0,0,'Données projet'!$E$13+1,1))</f>
        <v>346.82725381974132</v>
      </c>
      <c r="CZ157" s="62">
        <f t="shared" si="150"/>
        <v>254.09787950201044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>
        <f>EXP(-LN(2)/35)*DF156+(1-EXP(-LN(2)/35))/(LN(2)/35)*DB157*DC157*VLOOKUP('Données projet'!$B$13,Paramètres!$A$1:$I$89,3,0)*0.475*44/12</f>
        <v>0</v>
      </c>
      <c r="DG157" s="23">
        <f>EXP(-LN(2)/25)*DG156+(1-EXP(-LN(2)/25))/(LN(2)/25)*Calculateur!DB157*Calculateur!DD157*VLOOKUP('Données projet'!$B$13,Paramètres!$A$1:$I$89,3,0)*0.475*44/12</f>
        <v>0</v>
      </c>
      <c r="DH157" s="23">
        <f>EXP(-LN(2)/2)*DH156+(1-EXP(-LN(2)/2))/(LN(2)/2)*DB157*DE157*VLOOKUP('Données projet'!$B$13,Paramètres!$A$1:$I$89,3,0)*0.475*44/12</f>
        <v>0</v>
      </c>
      <c r="DI157" s="24">
        <f t="shared" si="175"/>
        <v>0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5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2">
        <f t="shared" si="140"/>
        <v>0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18.333333333333332</v>
      </c>
      <c r="H158" s="70">
        <f t="shared" si="110"/>
        <v>183.33333333333334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-9.6633812063373625E-13</v>
      </c>
      <c r="O158" s="14">
        <f>N158*VLOOKUP('Données projet'!$B$9,Paramètres!$A$1:$I$89,3,0)*VLOOKUP('Données projet'!$B$9,Paramètres!$A$1:$I$89,5,0)</f>
        <v>-8.7434273154940449E-13</v>
      </c>
      <c r="P158" s="14" t="e">
        <f t="shared" si="141"/>
        <v>#NUM!</v>
      </c>
      <c r="Q158" s="22" t="e">
        <f t="shared" si="162"/>
        <v>#NUM!</v>
      </c>
      <c r="R158" s="62" t="e">
        <f t="shared" si="109"/>
        <v>#NUM!</v>
      </c>
      <c r="S158" s="62">
        <f ca="1">AVERAGE(OFFSET($R$3,0,0,'Données projet'!$E$9+1,1))-AVERAGE(OFFSET($H$3,0,0,'Données projet'!$E$9+1,1))</f>
        <v>469.67944008675863</v>
      </c>
      <c r="T158" s="62">
        <f t="shared" si="142"/>
        <v>266.11908070867173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0</v>
      </c>
      <c r="AA158" s="23">
        <f>EXP(-LN(2)/25)*AA157+(1-EXP(-LN(2)/25))/(LN(2)/25)*Calculateur!V158*Calculateur!X158*VLOOKUP('Données projet'!$B$9,Paramètres!$A$1:$I$89,3,0)*0.475*44/12</f>
        <v>0</v>
      </c>
      <c r="AB158" s="23">
        <f>EXP(-LN(2)/2)*AB157+(1-EXP(-LN(2)/2))/(LN(2)/2)*V158*Y158*VLOOKUP('Données projet'!$B$9,Paramètres!$A$1:$I$89,3,0)*0.475*44/12</f>
        <v>0</v>
      </c>
      <c r="AC158" s="24">
        <f t="shared" si="163"/>
        <v>0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0</v>
      </c>
      <c r="AJ158" s="14">
        <f>AI158*VLOOKUP('Données projet'!$B$10,Paramètres!$A$1:$I$89,3,0)*VLOOKUP('Données projet'!$B$10,Paramètres!$A$1:$I$89,5,0)</f>
        <v>0</v>
      </c>
      <c r="AK158" s="14" t="e">
        <f t="shared" si="164"/>
        <v>#NUM!</v>
      </c>
      <c r="AL158" s="22" t="e">
        <f t="shared" si="165"/>
        <v>#NUM!</v>
      </c>
      <c r="AM158" s="62" t="e">
        <f t="shared" si="113"/>
        <v>#NUM!</v>
      </c>
      <c r="AN158" s="62">
        <f ca="1">AVERAGE(OFFSET($AM$3,0,0,'Données projet'!$E$10+1,1))-AVERAGE(OFFSET($H$3,0,0,'Données projet'!$E$10+1,1))</f>
        <v>400.48230125343474</v>
      </c>
      <c r="AO158" s="62">
        <f t="shared" si="144"/>
        <v>275.67023303885048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0</v>
      </c>
      <c r="AV158" s="23">
        <f>EXP(-LN(2)/25)*AV157+(1-EXP(-LN(2)/25))/(LN(2)/25)*Calculateur!AQ158*Calculateur!AS158*VLOOKUP('Données projet'!$B$10,Paramètres!$A$1:$I$89,3,0)*0.475*44/12</f>
        <v>0</v>
      </c>
      <c r="AW158" s="23">
        <f>EXP(-LN(2)/2)*AW157+(1-EXP(-LN(2)/2))/(LN(2)/2)*AQ158*AT158*VLOOKUP('Données projet'!$B$10,Paramètres!$A$1:$I$89,3,0)*0.475*44/12</f>
        <v>0</v>
      </c>
      <c r="AX158" s="23">
        <f t="shared" si="166"/>
        <v>0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-9.6633812063373625E-13</v>
      </c>
      <c r="BE158" s="14">
        <f>BD158*VLOOKUP('Données projet'!$B$11,Paramètres!$A$1:$I$89,3,0)*VLOOKUP('Données projet'!$B$11,Paramètres!$A$1:$I$89,5,0)</f>
        <v>-9.3464223027694966E-13</v>
      </c>
      <c r="BF158" s="14" t="e">
        <f t="shared" si="167"/>
        <v>#NUM!</v>
      </c>
      <c r="BG158" s="22" t="e">
        <f t="shared" si="168"/>
        <v>#NUM!</v>
      </c>
      <c r="BH158" s="62" t="e">
        <f t="shared" si="116"/>
        <v>#NUM!</v>
      </c>
      <c r="BI158" s="62">
        <f ca="1">AVERAGE(OFFSET($BH$3,0,0,'Données projet'!$E$11+1,1))-AVERAGE(OFFSET($H$3,0,0,'Données projet'!$E$11+1,1))</f>
        <v>496.33873798282525</v>
      </c>
      <c r="BJ158" s="62">
        <f t="shared" si="146"/>
        <v>280.25465074992246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>
        <f>EXP(-LN(2)/35)*BP157+(1-EXP(-LN(2)/35))/(LN(2)/35)*BL158*BM158*VLOOKUP('Données projet'!$B$11,Paramètres!$A$1:$I$89,3,0)*0.475*44/12</f>
        <v>0</v>
      </c>
      <c r="BQ158" s="23">
        <f>EXP(-LN(2)/25)*BQ157+(1-EXP(-LN(2)/25))/(LN(2)/25)*Calculateur!BL158*Calculateur!BN158*VLOOKUP('Données projet'!$B$11,Paramètres!$A$1:$I$89,3,0)*0.475*44/12</f>
        <v>0</v>
      </c>
      <c r="BR158" s="23">
        <f>EXP(-LN(2)/2)*BR157+(1-EXP(-LN(2)/2))/(LN(2)/2)*BL158*BO158*VLOOKUP('Données projet'!$B$11,Paramètres!$A$1:$I$89,3,0)*0.475*44/12</f>
        <v>0</v>
      </c>
      <c r="BS158" s="24">
        <f t="shared" si="169"/>
        <v>0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-1.1368683772161603E-13</v>
      </c>
      <c r="BZ158" s="14">
        <f>BY158*VLOOKUP('Données projet'!$B$12,Paramètres!$A$1:$I$89,3,0)*VLOOKUP('Données projet'!$B$12,Paramètres!$A$1:$I$89,5,0)</f>
        <v>-9.9316821433603781E-14</v>
      </c>
      <c r="CA158" s="14" t="e">
        <f t="shared" si="170"/>
        <v>#NUM!</v>
      </c>
      <c r="CB158" s="22" t="e">
        <f t="shared" si="171"/>
        <v>#NUM!</v>
      </c>
      <c r="CC158" s="62" t="e">
        <f t="shared" si="119"/>
        <v>#NUM!</v>
      </c>
      <c r="CD158" s="62">
        <f ca="1">AVERAGE(OFFSET($CC$3,0,0,'Données projet'!$E$12+1,1))-AVERAGE(OFFSET($H$3,0,0,'Données projet'!$E$12+1,1))</f>
        <v>298.56812743477741</v>
      </c>
      <c r="CE158" s="62">
        <f t="shared" si="148"/>
        <v>276.01618888357268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>
        <f>EXP(-LN(2)/35)*CK157+(1-EXP(-LN(2)/35))/(LN(2)/35)*CG158*CH158*VLOOKUP('Données projet'!$B$12,Paramètres!$A$1:$I$89,3,0)*0.475*44/12</f>
        <v>0</v>
      </c>
      <c r="CL158" s="23">
        <f>EXP(-LN(2)/25)*CL157+(1-EXP(-LN(2)/25))/(LN(2)/25)*Calculateur!CG158*Calculateur!CI158*VLOOKUP('Données projet'!$B$12,Paramètres!$A$1:$I$89,3,0)*0.475*44/12</f>
        <v>0</v>
      </c>
      <c r="CM158" s="23">
        <f>EXP(-LN(2)/2)*CM157+(1-EXP(-LN(2)/2))/(LN(2)/2)*CG158*CJ158*VLOOKUP('Données projet'!$B$12,Paramètres!$A$1:$I$89,3,0)*0.475*44/12</f>
        <v>0</v>
      </c>
      <c r="CN158" s="24">
        <f t="shared" si="172"/>
        <v>0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2.2737367544323206E-13</v>
      </c>
      <c r="CU158" s="18">
        <f>CT158*VLOOKUP('Données projet'!$B$13,Paramètres!$A$1:$I$89,3,0)*VLOOKUP('Données projet'!$B$13,Paramètres!$A$1:$I$89,5,0)</f>
        <v>1.5252226148732008E-13</v>
      </c>
      <c r="CV158" s="14">
        <f t="shared" si="173"/>
        <v>2.1814502464536512E-12</v>
      </c>
      <c r="CW158" s="22">
        <f t="shared" si="174"/>
        <v>4.0650021179971913E-12</v>
      </c>
      <c r="CX158" s="62">
        <f t="shared" si="122"/>
        <v>287.24935502518377</v>
      </c>
      <c r="CY158" s="62">
        <f ca="1">AVERAGE(OFFSET($CX$3,0,0,'Données projet'!$E$13+1,1))-AVERAGE(OFFSET($H$3,0,0,'Données projet'!$E$13+1,1))</f>
        <v>346.82725381974132</v>
      </c>
      <c r="CZ158" s="62">
        <f t="shared" si="150"/>
        <v>254.09787950201044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>
        <f>EXP(-LN(2)/35)*DF157+(1-EXP(-LN(2)/35))/(LN(2)/35)*DB158*DC158*VLOOKUP('Données projet'!$B$13,Paramètres!$A$1:$I$89,3,0)*0.475*44/12</f>
        <v>0</v>
      </c>
      <c r="DG158" s="23">
        <f>EXP(-LN(2)/25)*DG157+(1-EXP(-LN(2)/25))/(LN(2)/25)*Calculateur!DB158*Calculateur!DD158*VLOOKUP('Données projet'!$B$13,Paramètres!$A$1:$I$89,3,0)*0.475*44/12</f>
        <v>0</v>
      </c>
      <c r="DH158" s="23">
        <f>EXP(-LN(2)/2)*DH157+(1-EXP(-LN(2)/2))/(LN(2)/2)*DB158*DE158*VLOOKUP('Données projet'!$B$13,Paramètres!$A$1:$I$89,3,0)*0.475*44/12</f>
        <v>0</v>
      </c>
      <c r="DI158" s="24">
        <f t="shared" si="175"/>
        <v>0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5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2">
        <f t="shared" si="140"/>
        <v>0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18.333333333333332</v>
      </c>
      <c r="H159" s="70">
        <f t="shared" si="110"/>
        <v>183.33333333333334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-9.6633812063373625E-13</v>
      </c>
      <c r="O159" s="14">
        <f>N159*VLOOKUP('Données projet'!$B$9,Paramètres!$A$1:$I$89,3,0)*VLOOKUP('Données projet'!$B$9,Paramètres!$A$1:$I$89,5,0)</f>
        <v>-8.7434273154940449E-13</v>
      </c>
      <c r="P159" s="14" t="e">
        <f t="shared" si="141"/>
        <v>#NUM!</v>
      </c>
      <c r="Q159" s="22" t="e">
        <f t="shared" si="162"/>
        <v>#NUM!</v>
      </c>
      <c r="R159" s="62" t="e">
        <f t="shared" si="109"/>
        <v>#NUM!</v>
      </c>
      <c r="S159" s="62">
        <f ca="1">AVERAGE(OFFSET($R$3,0,0,'Données projet'!$E$9+1,1))-AVERAGE(OFFSET($H$3,0,0,'Données projet'!$E$9+1,1))</f>
        <v>469.67944008675863</v>
      </c>
      <c r="T159" s="62">
        <f t="shared" si="142"/>
        <v>266.11908070867173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0</v>
      </c>
      <c r="AA159" s="23">
        <f>EXP(-LN(2)/25)*AA158+(1-EXP(-LN(2)/25))/(LN(2)/25)*Calculateur!V159*Calculateur!X159*VLOOKUP('Données projet'!$B$9,Paramètres!$A$1:$I$89,3,0)*0.475*44/12</f>
        <v>0</v>
      </c>
      <c r="AB159" s="23">
        <f>EXP(-LN(2)/2)*AB158+(1-EXP(-LN(2)/2))/(LN(2)/2)*V159*Y159*VLOOKUP('Données projet'!$B$9,Paramètres!$A$1:$I$89,3,0)*0.475*44/12</f>
        <v>0</v>
      </c>
      <c r="AC159" s="24">
        <f t="shared" si="163"/>
        <v>0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0</v>
      </c>
      <c r="AJ159" s="14">
        <f>AI159*VLOOKUP('Données projet'!$B$10,Paramètres!$A$1:$I$89,3,0)*VLOOKUP('Données projet'!$B$10,Paramètres!$A$1:$I$89,5,0)</f>
        <v>0</v>
      </c>
      <c r="AK159" s="14" t="e">
        <f t="shared" si="164"/>
        <v>#NUM!</v>
      </c>
      <c r="AL159" s="22" t="e">
        <f t="shared" si="165"/>
        <v>#NUM!</v>
      </c>
      <c r="AM159" s="62" t="e">
        <f t="shared" si="113"/>
        <v>#NUM!</v>
      </c>
      <c r="AN159" s="62">
        <f ca="1">AVERAGE(OFFSET($AM$3,0,0,'Données projet'!$E$10+1,1))-AVERAGE(OFFSET($H$3,0,0,'Données projet'!$E$10+1,1))</f>
        <v>400.48230125343474</v>
      </c>
      <c r="AO159" s="62">
        <f t="shared" si="144"/>
        <v>275.67023303885048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0</v>
      </c>
      <c r="AV159" s="23">
        <f>EXP(-LN(2)/25)*AV158+(1-EXP(-LN(2)/25))/(LN(2)/25)*Calculateur!AQ159*Calculateur!AS159*VLOOKUP('Données projet'!$B$10,Paramètres!$A$1:$I$89,3,0)*0.475*44/12</f>
        <v>0</v>
      </c>
      <c r="AW159" s="23">
        <f>EXP(-LN(2)/2)*AW158+(1-EXP(-LN(2)/2))/(LN(2)/2)*AQ159*AT159*VLOOKUP('Données projet'!$B$10,Paramètres!$A$1:$I$89,3,0)*0.475*44/12</f>
        <v>0</v>
      </c>
      <c r="AX159" s="23">
        <f t="shared" si="166"/>
        <v>0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-9.6633812063373625E-13</v>
      </c>
      <c r="BE159" s="14">
        <f>BD159*VLOOKUP('Données projet'!$B$11,Paramètres!$A$1:$I$89,3,0)*VLOOKUP('Données projet'!$B$11,Paramètres!$A$1:$I$89,5,0)</f>
        <v>-9.3464223027694966E-13</v>
      </c>
      <c r="BF159" s="14" t="e">
        <f t="shared" si="167"/>
        <v>#NUM!</v>
      </c>
      <c r="BG159" s="22" t="e">
        <f t="shared" si="168"/>
        <v>#NUM!</v>
      </c>
      <c r="BH159" s="62" t="e">
        <f t="shared" si="116"/>
        <v>#NUM!</v>
      </c>
      <c r="BI159" s="62">
        <f ca="1">AVERAGE(OFFSET($BH$3,0,0,'Données projet'!$E$11+1,1))-AVERAGE(OFFSET($H$3,0,0,'Données projet'!$E$11+1,1))</f>
        <v>496.33873798282525</v>
      </c>
      <c r="BJ159" s="62">
        <f t="shared" si="146"/>
        <v>280.25465074992246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>
        <f>EXP(-LN(2)/35)*BP158+(1-EXP(-LN(2)/35))/(LN(2)/35)*BL159*BM159*VLOOKUP('Données projet'!$B$11,Paramètres!$A$1:$I$89,3,0)*0.475*44/12</f>
        <v>0</v>
      </c>
      <c r="BQ159" s="23">
        <f>EXP(-LN(2)/25)*BQ158+(1-EXP(-LN(2)/25))/(LN(2)/25)*Calculateur!BL159*Calculateur!BN159*VLOOKUP('Données projet'!$B$11,Paramètres!$A$1:$I$89,3,0)*0.475*44/12</f>
        <v>0</v>
      </c>
      <c r="BR159" s="23">
        <f>EXP(-LN(2)/2)*BR158+(1-EXP(-LN(2)/2))/(LN(2)/2)*BL159*BO159*VLOOKUP('Données projet'!$B$11,Paramètres!$A$1:$I$89,3,0)*0.475*44/12</f>
        <v>0</v>
      </c>
      <c r="BS159" s="24">
        <f t="shared" si="169"/>
        <v>0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-1.1368683772161603E-13</v>
      </c>
      <c r="BZ159" s="14">
        <f>BY159*VLOOKUP('Données projet'!$B$12,Paramètres!$A$1:$I$89,3,0)*VLOOKUP('Données projet'!$B$12,Paramètres!$A$1:$I$89,5,0)</f>
        <v>-9.9316821433603781E-14</v>
      </c>
      <c r="CA159" s="14" t="e">
        <f t="shared" si="170"/>
        <v>#NUM!</v>
      </c>
      <c r="CB159" s="22" t="e">
        <f t="shared" si="171"/>
        <v>#NUM!</v>
      </c>
      <c r="CC159" s="62" t="e">
        <f t="shared" si="119"/>
        <v>#NUM!</v>
      </c>
      <c r="CD159" s="62">
        <f ca="1">AVERAGE(OFFSET($CC$3,0,0,'Données projet'!$E$12+1,1))-AVERAGE(OFFSET($H$3,0,0,'Données projet'!$E$12+1,1))</f>
        <v>298.56812743477741</v>
      </c>
      <c r="CE159" s="62">
        <f t="shared" si="148"/>
        <v>276.01618888357268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>
        <f>EXP(-LN(2)/35)*CK158+(1-EXP(-LN(2)/35))/(LN(2)/35)*CG159*CH159*VLOOKUP('Données projet'!$B$12,Paramètres!$A$1:$I$89,3,0)*0.475*44/12</f>
        <v>0</v>
      </c>
      <c r="CL159" s="23">
        <f>EXP(-LN(2)/25)*CL158+(1-EXP(-LN(2)/25))/(LN(2)/25)*Calculateur!CG159*Calculateur!CI159*VLOOKUP('Données projet'!$B$12,Paramètres!$A$1:$I$89,3,0)*0.475*44/12</f>
        <v>0</v>
      </c>
      <c r="CM159" s="23">
        <f>EXP(-LN(2)/2)*CM158+(1-EXP(-LN(2)/2))/(LN(2)/2)*CG159*CJ159*VLOOKUP('Données projet'!$B$12,Paramètres!$A$1:$I$89,3,0)*0.475*44/12</f>
        <v>0</v>
      </c>
      <c r="CN159" s="24">
        <f t="shared" si="172"/>
        <v>0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2.2737367544323206E-13</v>
      </c>
      <c r="CU159" s="18">
        <f>CT159*VLOOKUP('Données projet'!$B$13,Paramètres!$A$1:$I$89,3,0)*VLOOKUP('Données projet'!$B$13,Paramètres!$A$1:$I$89,5,0)</f>
        <v>1.5252226148732008E-13</v>
      </c>
      <c r="CV159" s="14">
        <f t="shared" si="173"/>
        <v>2.1814502464536512E-12</v>
      </c>
      <c r="CW159" s="22">
        <f t="shared" si="174"/>
        <v>4.0650021179971913E-12</v>
      </c>
      <c r="CX159" s="62">
        <f t="shared" si="122"/>
        <v>287.35489844709241</v>
      </c>
      <c r="CY159" s="62">
        <f ca="1">AVERAGE(OFFSET($CX$3,0,0,'Données projet'!$E$13+1,1))-AVERAGE(OFFSET($H$3,0,0,'Données projet'!$E$13+1,1))</f>
        <v>346.82725381974132</v>
      </c>
      <c r="CZ159" s="62">
        <f t="shared" si="150"/>
        <v>254.09787950201044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>
        <f>EXP(-LN(2)/35)*DF158+(1-EXP(-LN(2)/35))/(LN(2)/35)*DB159*DC159*VLOOKUP('Données projet'!$B$13,Paramètres!$A$1:$I$89,3,0)*0.475*44/12</f>
        <v>0</v>
      </c>
      <c r="DG159" s="23">
        <f>EXP(-LN(2)/25)*DG158+(1-EXP(-LN(2)/25))/(LN(2)/25)*Calculateur!DB159*Calculateur!DD159*VLOOKUP('Données projet'!$B$13,Paramètres!$A$1:$I$89,3,0)*0.475*44/12</f>
        <v>0</v>
      </c>
      <c r="DH159" s="23">
        <f>EXP(-LN(2)/2)*DH158+(1-EXP(-LN(2)/2))/(LN(2)/2)*DB159*DE159*VLOOKUP('Données projet'!$B$13,Paramètres!$A$1:$I$89,3,0)*0.475*44/12</f>
        <v>0</v>
      </c>
      <c r="DI159" s="24">
        <f t="shared" si="175"/>
        <v>0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5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2">
        <f t="shared" si="140"/>
        <v>0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18.333333333333332</v>
      </c>
      <c r="H160" s="70">
        <f t="shared" si="110"/>
        <v>183.33333333333334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-9.6633812063373625E-13</v>
      </c>
      <c r="O160" s="14">
        <f>N160*VLOOKUP('Données projet'!$B$9,Paramètres!$A$1:$I$89,3,0)*VLOOKUP('Données projet'!$B$9,Paramètres!$A$1:$I$89,5,0)</f>
        <v>-8.7434273154940449E-13</v>
      </c>
      <c r="P160" s="14" t="e">
        <f t="shared" si="141"/>
        <v>#NUM!</v>
      </c>
      <c r="Q160" s="22" t="e">
        <f t="shared" si="162"/>
        <v>#NUM!</v>
      </c>
      <c r="R160" s="62" t="e">
        <f t="shared" si="109"/>
        <v>#NUM!</v>
      </c>
      <c r="S160" s="62">
        <f ca="1">AVERAGE(OFFSET($R$3,0,0,'Données projet'!$E$9+1,1))-AVERAGE(OFFSET($H$3,0,0,'Données projet'!$E$9+1,1))</f>
        <v>469.67944008675863</v>
      </c>
      <c r="T160" s="62">
        <f t="shared" si="142"/>
        <v>266.11908070867173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0</v>
      </c>
      <c r="AA160" s="23">
        <f>EXP(-LN(2)/25)*AA159+(1-EXP(-LN(2)/25))/(LN(2)/25)*Calculateur!V160*Calculateur!X160*VLOOKUP('Données projet'!$B$9,Paramètres!$A$1:$I$89,3,0)*0.475*44/12</f>
        <v>0</v>
      </c>
      <c r="AB160" s="23">
        <f>EXP(-LN(2)/2)*AB159+(1-EXP(-LN(2)/2))/(LN(2)/2)*V160*Y160*VLOOKUP('Données projet'!$B$9,Paramètres!$A$1:$I$89,3,0)*0.475*44/12</f>
        <v>0</v>
      </c>
      <c r="AC160" s="24">
        <f t="shared" si="163"/>
        <v>0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0</v>
      </c>
      <c r="AJ160" s="14">
        <f>AI160*VLOOKUP('Données projet'!$B$10,Paramètres!$A$1:$I$89,3,0)*VLOOKUP('Données projet'!$B$10,Paramètres!$A$1:$I$89,5,0)</f>
        <v>0</v>
      </c>
      <c r="AK160" s="14" t="e">
        <f t="shared" si="164"/>
        <v>#NUM!</v>
      </c>
      <c r="AL160" s="22" t="e">
        <f t="shared" si="165"/>
        <v>#NUM!</v>
      </c>
      <c r="AM160" s="62" t="e">
        <f t="shared" si="113"/>
        <v>#NUM!</v>
      </c>
      <c r="AN160" s="62">
        <f ca="1">AVERAGE(OFFSET($AM$3,0,0,'Données projet'!$E$10+1,1))-AVERAGE(OFFSET($H$3,0,0,'Données projet'!$E$10+1,1))</f>
        <v>400.48230125343474</v>
      </c>
      <c r="AO160" s="62">
        <f t="shared" si="144"/>
        <v>275.67023303885048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0</v>
      </c>
      <c r="AV160" s="23">
        <f>EXP(-LN(2)/25)*AV159+(1-EXP(-LN(2)/25))/(LN(2)/25)*Calculateur!AQ160*Calculateur!AS160*VLOOKUP('Données projet'!$B$10,Paramètres!$A$1:$I$89,3,0)*0.475*44/12</f>
        <v>0</v>
      </c>
      <c r="AW160" s="23">
        <f>EXP(-LN(2)/2)*AW159+(1-EXP(-LN(2)/2))/(LN(2)/2)*AQ160*AT160*VLOOKUP('Données projet'!$B$10,Paramètres!$A$1:$I$89,3,0)*0.475*44/12</f>
        <v>0</v>
      </c>
      <c r="AX160" s="23">
        <f t="shared" si="166"/>
        <v>0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-9.6633812063373625E-13</v>
      </c>
      <c r="BE160" s="14">
        <f>BD160*VLOOKUP('Données projet'!$B$11,Paramètres!$A$1:$I$89,3,0)*VLOOKUP('Données projet'!$B$11,Paramètres!$A$1:$I$89,5,0)</f>
        <v>-9.3464223027694966E-13</v>
      </c>
      <c r="BF160" s="14" t="e">
        <f t="shared" si="167"/>
        <v>#NUM!</v>
      </c>
      <c r="BG160" s="22" t="e">
        <f t="shared" si="168"/>
        <v>#NUM!</v>
      </c>
      <c r="BH160" s="62" t="e">
        <f t="shared" si="116"/>
        <v>#NUM!</v>
      </c>
      <c r="BI160" s="62">
        <f ca="1">AVERAGE(OFFSET($BH$3,0,0,'Données projet'!$E$11+1,1))-AVERAGE(OFFSET($H$3,0,0,'Données projet'!$E$11+1,1))</f>
        <v>496.33873798282525</v>
      </c>
      <c r="BJ160" s="62">
        <f t="shared" si="146"/>
        <v>280.25465074992246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>
        <f>EXP(-LN(2)/35)*BP159+(1-EXP(-LN(2)/35))/(LN(2)/35)*BL160*BM160*VLOOKUP('Données projet'!$B$11,Paramètres!$A$1:$I$89,3,0)*0.475*44/12</f>
        <v>0</v>
      </c>
      <c r="BQ160" s="23">
        <f>EXP(-LN(2)/25)*BQ159+(1-EXP(-LN(2)/25))/(LN(2)/25)*Calculateur!BL160*Calculateur!BN160*VLOOKUP('Données projet'!$B$11,Paramètres!$A$1:$I$89,3,0)*0.475*44/12</f>
        <v>0</v>
      </c>
      <c r="BR160" s="23">
        <f>EXP(-LN(2)/2)*BR159+(1-EXP(-LN(2)/2))/(LN(2)/2)*BL160*BO160*VLOOKUP('Données projet'!$B$11,Paramètres!$A$1:$I$89,3,0)*0.475*44/12</f>
        <v>0</v>
      </c>
      <c r="BS160" s="24">
        <f t="shared" si="169"/>
        <v>0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-1.1368683772161603E-13</v>
      </c>
      <c r="BZ160" s="14">
        <f>BY160*VLOOKUP('Données projet'!$B$12,Paramètres!$A$1:$I$89,3,0)*VLOOKUP('Données projet'!$B$12,Paramètres!$A$1:$I$89,5,0)</f>
        <v>-9.9316821433603781E-14</v>
      </c>
      <c r="CA160" s="14" t="e">
        <f t="shared" si="170"/>
        <v>#NUM!</v>
      </c>
      <c r="CB160" s="22" t="e">
        <f t="shared" si="171"/>
        <v>#NUM!</v>
      </c>
      <c r="CC160" s="62" t="e">
        <f t="shared" si="119"/>
        <v>#NUM!</v>
      </c>
      <c r="CD160" s="62">
        <f ca="1">AVERAGE(OFFSET($CC$3,0,0,'Données projet'!$E$12+1,1))-AVERAGE(OFFSET($H$3,0,0,'Données projet'!$E$12+1,1))</f>
        <v>298.56812743477741</v>
      </c>
      <c r="CE160" s="62">
        <f t="shared" si="148"/>
        <v>276.01618888357268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>
        <f>EXP(-LN(2)/35)*CK159+(1-EXP(-LN(2)/35))/(LN(2)/35)*CG160*CH160*VLOOKUP('Données projet'!$B$12,Paramètres!$A$1:$I$89,3,0)*0.475*44/12</f>
        <v>0</v>
      </c>
      <c r="CL160" s="23">
        <f>EXP(-LN(2)/25)*CL159+(1-EXP(-LN(2)/25))/(LN(2)/25)*Calculateur!CG160*Calculateur!CI160*VLOOKUP('Données projet'!$B$12,Paramètres!$A$1:$I$89,3,0)*0.475*44/12</f>
        <v>0</v>
      </c>
      <c r="CM160" s="23">
        <f>EXP(-LN(2)/2)*CM159+(1-EXP(-LN(2)/2))/(LN(2)/2)*CG160*CJ160*VLOOKUP('Données projet'!$B$12,Paramètres!$A$1:$I$89,3,0)*0.475*44/12</f>
        <v>0</v>
      </c>
      <c r="CN160" s="24">
        <f t="shared" si="172"/>
        <v>0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2.2737367544323206E-13</v>
      </c>
      <c r="CU160" s="18">
        <f>CT160*VLOOKUP('Données projet'!$B$13,Paramètres!$A$1:$I$89,3,0)*VLOOKUP('Données projet'!$B$13,Paramètres!$A$1:$I$89,5,0)</f>
        <v>1.5252226148732008E-13</v>
      </c>
      <c r="CV160" s="14">
        <f t="shared" si="173"/>
        <v>2.1814502464536512E-12</v>
      </c>
      <c r="CW160" s="22">
        <f t="shared" si="174"/>
        <v>4.0650021179971913E-12</v>
      </c>
      <c r="CX160" s="62">
        <f t="shared" si="122"/>
        <v>287.45861092659067</v>
      </c>
      <c r="CY160" s="62">
        <f ca="1">AVERAGE(OFFSET($CX$3,0,0,'Données projet'!$E$13+1,1))-AVERAGE(OFFSET($H$3,0,0,'Données projet'!$E$13+1,1))</f>
        <v>346.82725381974132</v>
      </c>
      <c r="CZ160" s="62">
        <f t="shared" si="150"/>
        <v>254.09787950201044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>
        <f>EXP(-LN(2)/35)*DF159+(1-EXP(-LN(2)/35))/(LN(2)/35)*DB160*DC160*VLOOKUP('Données projet'!$B$13,Paramètres!$A$1:$I$89,3,0)*0.475*44/12</f>
        <v>0</v>
      </c>
      <c r="DG160" s="23">
        <f>EXP(-LN(2)/25)*DG159+(1-EXP(-LN(2)/25))/(LN(2)/25)*Calculateur!DB160*Calculateur!DD160*VLOOKUP('Données projet'!$B$13,Paramètres!$A$1:$I$89,3,0)*0.475*44/12</f>
        <v>0</v>
      </c>
      <c r="DH160" s="23">
        <f>EXP(-LN(2)/2)*DH159+(1-EXP(-LN(2)/2))/(LN(2)/2)*DB160*DE160*VLOOKUP('Données projet'!$B$13,Paramètres!$A$1:$I$89,3,0)*0.475*44/12</f>
        <v>0</v>
      </c>
      <c r="DI160" s="24">
        <f t="shared" si="175"/>
        <v>0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5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2">
        <f t="shared" si="140"/>
        <v>0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18.333333333333332</v>
      </c>
      <c r="H161" s="70">
        <f t="shared" si="110"/>
        <v>183.33333333333334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-9.6633812063373625E-13</v>
      </c>
      <c r="O161" s="14">
        <f>N161*VLOOKUP('Données projet'!$B$9,Paramètres!$A$1:$I$89,3,0)*VLOOKUP('Données projet'!$B$9,Paramètres!$A$1:$I$89,5,0)</f>
        <v>-8.7434273154940449E-13</v>
      </c>
      <c r="P161" s="14" t="e">
        <f t="shared" si="141"/>
        <v>#NUM!</v>
      </c>
      <c r="Q161" s="22" t="e">
        <f t="shared" si="162"/>
        <v>#NUM!</v>
      </c>
      <c r="R161" s="62" t="e">
        <f t="shared" si="109"/>
        <v>#NUM!</v>
      </c>
      <c r="S161" s="62">
        <f ca="1">AVERAGE(OFFSET($R$3,0,0,'Données projet'!$E$9+1,1))-AVERAGE(OFFSET($H$3,0,0,'Données projet'!$E$9+1,1))</f>
        <v>469.67944008675863</v>
      </c>
      <c r="T161" s="62">
        <f t="shared" si="142"/>
        <v>266.11908070867173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0</v>
      </c>
      <c r="AA161" s="23">
        <f>EXP(-LN(2)/25)*AA160+(1-EXP(-LN(2)/25))/(LN(2)/25)*Calculateur!V161*Calculateur!X161*VLOOKUP('Données projet'!$B$9,Paramètres!$A$1:$I$89,3,0)*0.475*44/12</f>
        <v>0</v>
      </c>
      <c r="AB161" s="23">
        <f>EXP(-LN(2)/2)*AB160+(1-EXP(-LN(2)/2))/(LN(2)/2)*V161*Y161*VLOOKUP('Données projet'!$B$9,Paramètres!$A$1:$I$89,3,0)*0.475*44/12</f>
        <v>0</v>
      </c>
      <c r="AC161" s="24">
        <f t="shared" si="163"/>
        <v>0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0</v>
      </c>
      <c r="AJ161" s="14">
        <f>AI161*VLOOKUP('Données projet'!$B$10,Paramètres!$A$1:$I$89,3,0)*VLOOKUP('Données projet'!$B$10,Paramètres!$A$1:$I$89,5,0)</f>
        <v>0</v>
      </c>
      <c r="AK161" s="14" t="e">
        <f t="shared" si="164"/>
        <v>#NUM!</v>
      </c>
      <c r="AL161" s="22" t="e">
        <f t="shared" si="165"/>
        <v>#NUM!</v>
      </c>
      <c r="AM161" s="62" t="e">
        <f t="shared" si="113"/>
        <v>#NUM!</v>
      </c>
      <c r="AN161" s="62">
        <f ca="1">AVERAGE(OFFSET($AM$3,0,0,'Données projet'!$E$10+1,1))-AVERAGE(OFFSET($H$3,0,0,'Données projet'!$E$10+1,1))</f>
        <v>400.48230125343474</v>
      </c>
      <c r="AO161" s="62">
        <f t="shared" si="144"/>
        <v>275.67023303885048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0</v>
      </c>
      <c r="AV161" s="23">
        <f>EXP(-LN(2)/25)*AV160+(1-EXP(-LN(2)/25))/(LN(2)/25)*Calculateur!AQ161*Calculateur!AS161*VLOOKUP('Données projet'!$B$10,Paramètres!$A$1:$I$89,3,0)*0.475*44/12</f>
        <v>0</v>
      </c>
      <c r="AW161" s="23">
        <f>EXP(-LN(2)/2)*AW160+(1-EXP(-LN(2)/2))/(LN(2)/2)*AQ161*AT161*VLOOKUP('Données projet'!$B$10,Paramètres!$A$1:$I$89,3,0)*0.475*44/12</f>
        <v>0</v>
      </c>
      <c r="AX161" s="23">
        <f t="shared" si="166"/>
        <v>0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-9.6633812063373625E-13</v>
      </c>
      <c r="BE161" s="14">
        <f>BD161*VLOOKUP('Données projet'!$B$11,Paramètres!$A$1:$I$89,3,0)*VLOOKUP('Données projet'!$B$11,Paramètres!$A$1:$I$89,5,0)</f>
        <v>-9.3464223027694966E-13</v>
      </c>
      <c r="BF161" s="14" t="e">
        <f t="shared" si="167"/>
        <v>#NUM!</v>
      </c>
      <c r="BG161" s="22" t="e">
        <f t="shared" si="168"/>
        <v>#NUM!</v>
      </c>
      <c r="BH161" s="62" t="e">
        <f t="shared" si="116"/>
        <v>#NUM!</v>
      </c>
      <c r="BI161" s="62">
        <f ca="1">AVERAGE(OFFSET($BH$3,0,0,'Données projet'!$E$11+1,1))-AVERAGE(OFFSET($H$3,0,0,'Données projet'!$E$11+1,1))</f>
        <v>496.33873798282525</v>
      </c>
      <c r="BJ161" s="62">
        <f t="shared" si="146"/>
        <v>280.25465074992246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>
        <f>EXP(-LN(2)/35)*BP160+(1-EXP(-LN(2)/35))/(LN(2)/35)*BL161*BM161*VLOOKUP('Données projet'!$B$11,Paramètres!$A$1:$I$89,3,0)*0.475*44/12</f>
        <v>0</v>
      </c>
      <c r="BQ161" s="23">
        <f>EXP(-LN(2)/25)*BQ160+(1-EXP(-LN(2)/25))/(LN(2)/25)*Calculateur!BL161*Calculateur!BN161*VLOOKUP('Données projet'!$B$11,Paramètres!$A$1:$I$89,3,0)*0.475*44/12</f>
        <v>0</v>
      </c>
      <c r="BR161" s="23">
        <f>EXP(-LN(2)/2)*BR160+(1-EXP(-LN(2)/2))/(LN(2)/2)*BL161*BO161*VLOOKUP('Données projet'!$B$11,Paramètres!$A$1:$I$89,3,0)*0.475*44/12</f>
        <v>0</v>
      </c>
      <c r="BS161" s="24">
        <f t="shared" si="169"/>
        <v>0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-1.1368683772161603E-13</v>
      </c>
      <c r="BZ161" s="14">
        <f>BY161*VLOOKUP('Données projet'!$B$12,Paramètres!$A$1:$I$89,3,0)*VLOOKUP('Données projet'!$B$12,Paramètres!$A$1:$I$89,5,0)</f>
        <v>-9.9316821433603781E-14</v>
      </c>
      <c r="CA161" s="14" t="e">
        <f t="shared" si="170"/>
        <v>#NUM!</v>
      </c>
      <c r="CB161" s="22" t="e">
        <f t="shared" si="171"/>
        <v>#NUM!</v>
      </c>
      <c r="CC161" s="62" t="e">
        <f t="shared" si="119"/>
        <v>#NUM!</v>
      </c>
      <c r="CD161" s="62">
        <f ca="1">AVERAGE(OFFSET($CC$3,0,0,'Données projet'!$E$12+1,1))-AVERAGE(OFFSET($H$3,0,0,'Données projet'!$E$12+1,1))</f>
        <v>298.56812743477741</v>
      </c>
      <c r="CE161" s="62">
        <f t="shared" si="148"/>
        <v>276.01618888357268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>
        <f>EXP(-LN(2)/35)*CK160+(1-EXP(-LN(2)/35))/(LN(2)/35)*CG161*CH161*VLOOKUP('Données projet'!$B$12,Paramètres!$A$1:$I$89,3,0)*0.475*44/12</f>
        <v>0</v>
      </c>
      <c r="CL161" s="23">
        <f>EXP(-LN(2)/25)*CL160+(1-EXP(-LN(2)/25))/(LN(2)/25)*Calculateur!CG161*Calculateur!CI161*VLOOKUP('Données projet'!$B$12,Paramètres!$A$1:$I$89,3,0)*0.475*44/12</f>
        <v>0</v>
      </c>
      <c r="CM161" s="23">
        <f>EXP(-LN(2)/2)*CM160+(1-EXP(-LN(2)/2))/(LN(2)/2)*CG161*CJ161*VLOOKUP('Données projet'!$B$12,Paramètres!$A$1:$I$89,3,0)*0.475*44/12</f>
        <v>0</v>
      </c>
      <c r="CN161" s="24">
        <f t="shared" si="172"/>
        <v>0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2.2737367544323206E-13</v>
      </c>
      <c r="CU161" s="18">
        <f>CT161*VLOOKUP('Données projet'!$B$13,Paramètres!$A$1:$I$89,3,0)*VLOOKUP('Données projet'!$B$13,Paramètres!$A$1:$I$89,5,0)</f>
        <v>1.5252226148732008E-13</v>
      </c>
      <c r="CV161" s="14">
        <f t="shared" si="173"/>
        <v>2.1814502464536512E-12</v>
      </c>
      <c r="CW161" s="22">
        <f t="shared" si="174"/>
        <v>4.0650021179971913E-12</v>
      </c>
      <c r="CX161" s="62">
        <f t="shared" si="122"/>
        <v>287.56052422643609</v>
      </c>
      <c r="CY161" s="62">
        <f ca="1">AVERAGE(OFFSET($CX$3,0,0,'Données projet'!$E$13+1,1))-AVERAGE(OFFSET($H$3,0,0,'Données projet'!$E$13+1,1))</f>
        <v>346.82725381974132</v>
      </c>
      <c r="CZ161" s="62">
        <f t="shared" si="150"/>
        <v>254.09787950201044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>
        <f>EXP(-LN(2)/35)*DF160+(1-EXP(-LN(2)/35))/(LN(2)/35)*DB161*DC161*VLOOKUP('Données projet'!$B$13,Paramètres!$A$1:$I$89,3,0)*0.475*44/12</f>
        <v>0</v>
      </c>
      <c r="DG161" s="23">
        <f>EXP(-LN(2)/25)*DG160+(1-EXP(-LN(2)/25))/(LN(2)/25)*Calculateur!DB161*Calculateur!DD161*VLOOKUP('Données projet'!$B$13,Paramètres!$A$1:$I$89,3,0)*0.475*44/12</f>
        <v>0</v>
      </c>
      <c r="DH161" s="23">
        <f>EXP(-LN(2)/2)*DH160+(1-EXP(-LN(2)/2))/(LN(2)/2)*DB161*DE161*VLOOKUP('Données projet'!$B$13,Paramètres!$A$1:$I$89,3,0)*0.475*44/12</f>
        <v>0</v>
      </c>
      <c r="DI161" s="24">
        <f t="shared" si="175"/>
        <v>0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5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2">
        <f t="shared" si="140"/>
        <v>0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18.333333333333332</v>
      </c>
      <c r="H162" s="70">
        <f t="shared" si="110"/>
        <v>183.33333333333334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-9.6633812063373625E-13</v>
      </c>
      <c r="O162" s="14">
        <f>N162*VLOOKUP('Données projet'!$B$9,Paramètres!$A$1:$I$89,3,0)*VLOOKUP('Données projet'!$B$9,Paramètres!$A$1:$I$89,5,0)</f>
        <v>-8.7434273154940449E-13</v>
      </c>
      <c r="P162" s="14" t="e">
        <f t="shared" si="141"/>
        <v>#NUM!</v>
      </c>
      <c r="Q162" s="22" t="e">
        <f t="shared" si="162"/>
        <v>#NUM!</v>
      </c>
      <c r="R162" s="62" t="e">
        <f t="shared" si="109"/>
        <v>#NUM!</v>
      </c>
      <c r="S162" s="62">
        <f ca="1">AVERAGE(OFFSET($R$3,0,0,'Données projet'!$E$9+1,1))-AVERAGE(OFFSET($H$3,0,0,'Données projet'!$E$9+1,1))</f>
        <v>469.67944008675863</v>
      </c>
      <c r="T162" s="62">
        <f t="shared" si="142"/>
        <v>266.11908070867173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0</v>
      </c>
      <c r="AA162" s="23">
        <f>EXP(-LN(2)/25)*AA161+(1-EXP(-LN(2)/25))/(LN(2)/25)*Calculateur!V162*Calculateur!X162*VLOOKUP('Données projet'!$B$9,Paramètres!$A$1:$I$89,3,0)*0.475*44/12</f>
        <v>0</v>
      </c>
      <c r="AB162" s="23">
        <f>EXP(-LN(2)/2)*AB161+(1-EXP(-LN(2)/2))/(LN(2)/2)*V162*Y162*VLOOKUP('Données projet'!$B$9,Paramètres!$A$1:$I$89,3,0)*0.475*44/12</f>
        <v>0</v>
      </c>
      <c r="AC162" s="24">
        <f t="shared" si="163"/>
        <v>0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0</v>
      </c>
      <c r="AJ162" s="14">
        <f>AI162*VLOOKUP('Données projet'!$B$10,Paramètres!$A$1:$I$89,3,0)*VLOOKUP('Données projet'!$B$10,Paramètres!$A$1:$I$89,5,0)</f>
        <v>0</v>
      </c>
      <c r="AK162" s="14" t="e">
        <f t="shared" si="164"/>
        <v>#NUM!</v>
      </c>
      <c r="AL162" s="22" t="e">
        <f t="shared" si="165"/>
        <v>#NUM!</v>
      </c>
      <c r="AM162" s="62" t="e">
        <f t="shared" si="113"/>
        <v>#NUM!</v>
      </c>
      <c r="AN162" s="62">
        <f ca="1">AVERAGE(OFFSET($AM$3,0,0,'Données projet'!$E$10+1,1))-AVERAGE(OFFSET($H$3,0,0,'Données projet'!$E$10+1,1))</f>
        <v>400.48230125343474</v>
      </c>
      <c r="AO162" s="62">
        <f t="shared" si="144"/>
        <v>275.67023303885048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0</v>
      </c>
      <c r="AV162" s="23">
        <f>EXP(-LN(2)/25)*AV161+(1-EXP(-LN(2)/25))/(LN(2)/25)*Calculateur!AQ162*Calculateur!AS162*VLOOKUP('Données projet'!$B$10,Paramètres!$A$1:$I$89,3,0)*0.475*44/12</f>
        <v>0</v>
      </c>
      <c r="AW162" s="23">
        <f>EXP(-LN(2)/2)*AW161+(1-EXP(-LN(2)/2))/(LN(2)/2)*AQ162*AT162*VLOOKUP('Données projet'!$B$10,Paramètres!$A$1:$I$89,3,0)*0.475*44/12</f>
        <v>0</v>
      </c>
      <c r="AX162" s="23">
        <f t="shared" si="166"/>
        <v>0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-9.6633812063373625E-13</v>
      </c>
      <c r="BE162" s="14">
        <f>BD162*VLOOKUP('Données projet'!$B$11,Paramètres!$A$1:$I$89,3,0)*VLOOKUP('Données projet'!$B$11,Paramètres!$A$1:$I$89,5,0)</f>
        <v>-9.3464223027694966E-13</v>
      </c>
      <c r="BF162" s="14" t="e">
        <f t="shared" si="167"/>
        <v>#NUM!</v>
      </c>
      <c r="BG162" s="22" t="e">
        <f t="shared" si="168"/>
        <v>#NUM!</v>
      </c>
      <c r="BH162" s="62" t="e">
        <f t="shared" si="116"/>
        <v>#NUM!</v>
      </c>
      <c r="BI162" s="62">
        <f ca="1">AVERAGE(OFFSET($BH$3,0,0,'Données projet'!$E$11+1,1))-AVERAGE(OFFSET($H$3,0,0,'Données projet'!$E$11+1,1))</f>
        <v>496.33873798282525</v>
      </c>
      <c r="BJ162" s="62">
        <f t="shared" si="146"/>
        <v>280.25465074992246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>
        <f>EXP(-LN(2)/35)*BP161+(1-EXP(-LN(2)/35))/(LN(2)/35)*BL162*BM162*VLOOKUP('Données projet'!$B$11,Paramètres!$A$1:$I$89,3,0)*0.475*44/12</f>
        <v>0</v>
      </c>
      <c r="BQ162" s="23">
        <f>EXP(-LN(2)/25)*BQ161+(1-EXP(-LN(2)/25))/(LN(2)/25)*Calculateur!BL162*Calculateur!BN162*VLOOKUP('Données projet'!$B$11,Paramètres!$A$1:$I$89,3,0)*0.475*44/12</f>
        <v>0</v>
      </c>
      <c r="BR162" s="23">
        <f>EXP(-LN(2)/2)*BR161+(1-EXP(-LN(2)/2))/(LN(2)/2)*BL162*BO162*VLOOKUP('Données projet'!$B$11,Paramètres!$A$1:$I$89,3,0)*0.475*44/12</f>
        <v>0</v>
      </c>
      <c r="BS162" s="24">
        <f t="shared" si="169"/>
        <v>0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-1.1368683772161603E-13</v>
      </c>
      <c r="BZ162" s="14">
        <f>BY162*VLOOKUP('Données projet'!$B$12,Paramètres!$A$1:$I$89,3,0)*VLOOKUP('Données projet'!$B$12,Paramètres!$A$1:$I$89,5,0)</f>
        <v>-9.9316821433603781E-14</v>
      </c>
      <c r="CA162" s="14" t="e">
        <f t="shared" si="170"/>
        <v>#NUM!</v>
      </c>
      <c r="CB162" s="22" t="e">
        <f t="shared" si="171"/>
        <v>#NUM!</v>
      </c>
      <c r="CC162" s="62" t="e">
        <f t="shared" si="119"/>
        <v>#NUM!</v>
      </c>
      <c r="CD162" s="62">
        <f ca="1">AVERAGE(OFFSET($CC$3,0,0,'Données projet'!$E$12+1,1))-AVERAGE(OFFSET($H$3,0,0,'Données projet'!$E$12+1,1))</f>
        <v>298.56812743477741</v>
      </c>
      <c r="CE162" s="62">
        <f t="shared" si="148"/>
        <v>276.01618888357268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>
        <f>EXP(-LN(2)/35)*CK161+(1-EXP(-LN(2)/35))/(LN(2)/35)*CG162*CH162*VLOOKUP('Données projet'!$B$12,Paramètres!$A$1:$I$89,3,0)*0.475*44/12</f>
        <v>0</v>
      </c>
      <c r="CL162" s="23">
        <f>EXP(-LN(2)/25)*CL161+(1-EXP(-LN(2)/25))/(LN(2)/25)*Calculateur!CG162*Calculateur!CI162*VLOOKUP('Données projet'!$B$12,Paramètres!$A$1:$I$89,3,0)*0.475*44/12</f>
        <v>0</v>
      </c>
      <c r="CM162" s="23">
        <f>EXP(-LN(2)/2)*CM161+(1-EXP(-LN(2)/2))/(LN(2)/2)*CG162*CJ162*VLOOKUP('Données projet'!$B$12,Paramètres!$A$1:$I$89,3,0)*0.475*44/12</f>
        <v>0</v>
      </c>
      <c r="CN162" s="24">
        <f t="shared" si="172"/>
        <v>0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2.2737367544323206E-13</v>
      </c>
      <c r="CU162" s="18">
        <f>CT162*VLOOKUP('Données projet'!$B$13,Paramètres!$A$1:$I$89,3,0)*VLOOKUP('Données projet'!$B$13,Paramètres!$A$1:$I$89,5,0)</f>
        <v>1.5252226148732008E-13</v>
      </c>
      <c r="CV162" s="14">
        <f t="shared" si="173"/>
        <v>2.1814502464536512E-12</v>
      </c>
      <c r="CW162" s="22">
        <f t="shared" si="174"/>
        <v>4.0650021179971913E-12</v>
      </c>
      <c r="CX162" s="62">
        <f t="shared" si="122"/>
        <v>287.66066955837306</v>
      </c>
      <c r="CY162" s="62">
        <f ca="1">AVERAGE(OFFSET($CX$3,0,0,'Données projet'!$E$13+1,1))-AVERAGE(OFFSET($H$3,0,0,'Données projet'!$E$13+1,1))</f>
        <v>346.82725381974132</v>
      </c>
      <c r="CZ162" s="62">
        <f t="shared" si="150"/>
        <v>254.09787950201044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>
        <f>EXP(-LN(2)/35)*DF161+(1-EXP(-LN(2)/35))/(LN(2)/35)*DB162*DC162*VLOOKUP('Données projet'!$B$13,Paramètres!$A$1:$I$89,3,0)*0.475*44/12</f>
        <v>0</v>
      </c>
      <c r="DG162" s="23">
        <f>EXP(-LN(2)/25)*DG161+(1-EXP(-LN(2)/25))/(LN(2)/25)*Calculateur!DB162*Calculateur!DD162*VLOOKUP('Données projet'!$B$13,Paramètres!$A$1:$I$89,3,0)*0.475*44/12</f>
        <v>0</v>
      </c>
      <c r="DH162" s="23">
        <f>EXP(-LN(2)/2)*DH161+(1-EXP(-LN(2)/2))/(LN(2)/2)*DB162*DE162*VLOOKUP('Données projet'!$B$13,Paramètres!$A$1:$I$89,3,0)*0.475*44/12</f>
        <v>0</v>
      </c>
      <c r="DI162" s="24">
        <f t="shared" si="175"/>
        <v>0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5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2">
        <f t="shared" si="140"/>
        <v>0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18.333333333333332</v>
      </c>
      <c r="H163" s="70">
        <f t="shared" si="110"/>
        <v>183.33333333333334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-9.6633812063373625E-13</v>
      </c>
      <c r="O163" s="14">
        <f>N163*VLOOKUP('Données projet'!$B$9,Paramètres!$A$1:$I$89,3,0)*VLOOKUP('Données projet'!$B$9,Paramètres!$A$1:$I$89,5,0)</f>
        <v>-8.7434273154940449E-13</v>
      </c>
      <c r="P163" s="14" t="e">
        <f t="shared" si="141"/>
        <v>#NUM!</v>
      </c>
      <c r="Q163" s="22" t="e">
        <f t="shared" si="162"/>
        <v>#NUM!</v>
      </c>
      <c r="R163" s="62" t="e">
        <f t="shared" si="109"/>
        <v>#NUM!</v>
      </c>
      <c r="S163" s="62">
        <f ca="1">AVERAGE(OFFSET($R$3,0,0,'Données projet'!$E$9+1,1))-AVERAGE(OFFSET($H$3,0,0,'Données projet'!$E$9+1,1))</f>
        <v>469.67944008675863</v>
      </c>
      <c r="T163" s="62">
        <f t="shared" si="142"/>
        <v>266.11908070867173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0</v>
      </c>
      <c r="AA163" s="23">
        <f>EXP(-LN(2)/25)*AA162+(1-EXP(-LN(2)/25))/(LN(2)/25)*Calculateur!V163*Calculateur!X163*VLOOKUP('Données projet'!$B$9,Paramètres!$A$1:$I$89,3,0)*0.475*44/12</f>
        <v>0</v>
      </c>
      <c r="AB163" s="23">
        <f>EXP(-LN(2)/2)*AB162+(1-EXP(-LN(2)/2))/(LN(2)/2)*V163*Y163*VLOOKUP('Données projet'!$B$9,Paramètres!$A$1:$I$89,3,0)*0.475*44/12</f>
        <v>0</v>
      </c>
      <c r="AC163" s="24">
        <f t="shared" si="163"/>
        <v>0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0</v>
      </c>
      <c r="AJ163" s="14">
        <f>AI163*VLOOKUP('Données projet'!$B$10,Paramètres!$A$1:$I$89,3,0)*VLOOKUP('Données projet'!$B$10,Paramètres!$A$1:$I$89,5,0)</f>
        <v>0</v>
      </c>
      <c r="AK163" s="14" t="e">
        <f t="shared" si="164"/>
        <v>#NUM!</v>
      </c>
      <c r="AL163" s="22" t="e">
        <f t="shared" si="165"/>
        <v>#NUM!</v>
      </c>
      <c r="AM163" s="62" t="e">
        <f t="shared" si="113"/>
        <v>#NUM!</v>
      </c>
      <c r="AN163" s="62">
        <f ca="1">AVERAGE(OFFSET($AM$3,0,0,'Données projet'!$E$10+1,1))-AVERAGE(OFFSET($H$3,0,0,'Données projet'!$E$10+1,1))</f>
        <v>400.48230125343474</v>
      </c>
      <c r="AO163" s="62">
        <f t="shared" si="144"/>
        <v>275.67023303885048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0</v>
      </c>
      <c r="AV163" s="23">
        <f>EXP(-LN(2)/25)*AV162+(1-EXP(-LN(2)/25))/(LN(2)/25)*Calculateur!AQ163*Calculateur!AS163*VLOOKUP('Données projet'!$B$10,Paramètres!$A$1:$I$89,3,0)*0.475*44/12</f>
        <v>0</v>
      </c>
      <c r="AW163" s="23">
        <f>EXP(-LN(2)/2)*AW162+(1-EXP(-LN(2)/2))/(LN(2)/2)*AQ163*AT163*VLOOKUP('Données projet'!$B$10,Paramètres!$A$1:$I$89,3,0)*0.475*44/12</f>
        <v>0</v>
      </c>
      <c r="AX163" s="23">
        <f t="shared" si="166"/>
        <v>0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-9.6633812063373625E-13</v>
      </c>
      <c r="BE163" s="14">
        <f>BD163*VLOOKUP('Données projet'!$B$11,Paramètres!$A$1:$I$89,3,0)*VLOOKUP('Données projet'!$B$11,Paramètres!$A$1:$I$89,5,0)</f>
        <v>-9.3464223027694966E-13</v>
      </c>
      <c r="BF163" s="14" t="e">
        <f t="shared" si="167"/>
        <v>#NUM!</v>
      </c>
      <c r="BG163" s="22" t="e">
        <f t="shared" si="168"/>
        <v>#NUM!</v>
      </c>
      <c r="BH163" s="62" t="e">
        <f t="shared" si="116"/>
        <v>#NUM!</v>
      </c>
      <c r="BI163" s="62">
        <f ca="1">AVERAGE(OFFSET($BH$3,0,0,'Données projet'!$E$11+1,1))-AVERAGE(OFFSET($H$3,0,0,'Données projet'!$E$11+1,1))</f>
        <v>496.33873798282525</v>
      </c>
      <c r="BJ163" s="62">
        <f t="shared" si="146"/>
        <v>280.25465074992246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>
        <f>EXP(-LN(2)/35)*BP162+(1-EXP(-LN(2)/35))/(LN(2)/35)*BL163*BM163*VLOOKUP('Données projet'!$B$11,Paramètres!$A$1:$I$89,3,0)*0.475*44/12</f>
        <v>0</v>
      </c>
      <c r="BQ163" s="23">
        <f>EXP(-LN(2)/25)*BQ162+(1-EXP(-LN(2)/25))/(LN(2)/25)*Calculateur!BL163*Calculateur!BN163*VLOOKUP('Données projet'!$B$11,Paramètres!$A$1:$I$89,3,0)*0.475*44/12</f>
        <v>0</v>
      </c>
      <c r="BR163" s="23">
        <f>EXP(-LN(2)/2)*BR162+(1-EXP(-LN(2)/2))/(LN(2)/2)*BL163*BO163*VLOOKUP('Données projet'!$B$11,Paramètres!$A$1:$I$89,3,0)*0.475*44/12</f>
        <v>0</v>
      </c>
      <c r="BS163" s="24">
        <f t="shared" si="169"/>
        <v>0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-1.1368683772161603E-13</v>
      </c>
      <c r="BZ163" s="14">
        <f>BY163*VLOOKUP('Données projet'!$B$12,Paramètres!$A$1:$I$89,3,0)*VLOOKUP('Données projet'!$B$12,Paramètres!$A$1:$I$89,5,0)</f>
        <v>-9.9316821433603781E-14</v>
      </c>
      <c r="CA163" s="14" t="e">
        <f t="shared" si="170"/>
        <v>#NUM!</v>
      </c>
      <c r="CB163" s="22" t="e">
        <f t="shared" si="171"/>
        <v>#NUM!</v>
      </c>
      <c r="CC163" s="62" t="e">
        <f t="shared" si="119"/>
        <v>#NUM!</v>
      </c>
      <c r="CD163" s="62">
        <f ca="1">AVERAGE(OFFSET($CC$3,0,0,'Données projet'!$E$12+1,1))-AVERAGE(OFFSET($H$3,0,0,'Données projet'!$E$12+1,1))</f>
        <v>298.56812743477741</v>
      </c>
      <c r="CE163" s="62">
        <f t="shared" si="148"/>
        <v>276.01618888357268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>
        <f>EXP(-LN(2)/35)*CK162+(1-EXP(-LN(2)/35))/(LN(2)/35)*CG163*CH163*VLOOKUP('Données projet'!$B$12,Paramètres!$A$1:$I$89,3,0)*0.475*44/12</f>
        <v>0</v>
      </c>
      <c r="CL163" s="23">
        <f>EXP(-LN(2)/25)*CL162+(1-EXP(-LN(2)/25))/(LN(2)/25)*Calculateur!CG163*Calculateur!CI163*VLOOKUP('Données projet'!$B$12,Paramètres!$A$1:$I$89,3,0)*0.475*44/12</f>
        <v>0</v>
      </c>
      <c r="CM163" s="23">
        <f>EXP(-LN(2)/2)*CM162+(1-EXP(-LN(2)/2))/(LN(2)/2)*CG163*CJ163*VLOOKUP('Données projet'!$B$12,Paramètres!$A$1:$I$89,3,0)*0.475*44/12</f>
        <v>0</v>
      </c>
      <c r="CN163" s="24">
        <f t="shared" si="172"/>
        <v>0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2.2737367544323206E-13</v>
      </c>
      <c r="CU163" s="18">
        <f>CT163*VLOOKUP('Données projet'!$B$13,Paramètres!$A$1:$I$89,3,0)*VLOOKUP('Données projet'!$B$13,Paramètres!$A$1:$I$89,5,0)</f>
        <v>1.5252226148732008E-13</v>
      </c>
      <c r="CV163" s="14">
        <f t="shared" si="173"/>
        <v>2.1814502464536512E-12</v>
      </c>
      <c r="CW163" s="22">
        <f t="shared" si="174"/>
        <v>4.0650021179971913E-12</v>
      </c>
      <c r="CX163" s="62">
        <f t="shared" si="122"/>
        <v>287.75907759269245</v>
      </c>
      <c r="CY163" s="62">
        <f ca="1">AVERAGE(OFFSET($CX$3,0,0,'Données projet'!$E$13+1,1))-AVERAGE(OFFSET($H$3,0,0,'Données projet'!$E$13+1,1))</f>
        <v>346.82725381974132</v>
      </c>
      <c r="CZ163" s="62">
        <f t="shared" si="150"/>
        <v>254.09787950201044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>
        <f>EXP(-LN(2)/35)*DF162+(1-EXP(-LN(2)/35))/(LN(2)/35)*DB163*DC163*VLOOKUP('Données projet'!$B$13,Paramètres!$A$1:$I$89,3,0)*0.475*44/12</f>
        <v>0</v>
      </c>
      <c r="DG163" s="23">
        <f>EXP(-LN(2)/25)*DG162+(1-EXP(-LN(2)/25))/(LN(2)/25)*Calculateur!DB163*Calculateur!DD163*VLOOKUP('Données projet'!$B$13,Paramètres!$A$1:$I$89,3,0)*0.475*44/12</f>
        <v>0</v>
      </c>
      <c r="DH163" s="23">
        <f>EXP(-LN(2)/2)*DH162+(1-EXP(-LN(2)/2))/(LN(2)/2)*DB163*DE163*VLOOKUP('Données projet'!$B$13,Paramètres!$A$1:$I$89,3,0)*0.475*44/12</f>
        <v>0</v>
      </c>
      <c r="DI163" s="24">
        <f t="shared" si="175"/>
        <v>0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5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2">
        <f t="shared" si="140"/>
        <v>0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18.333333333333332</v>
      </c>
      <c r="H164" s="70">
        <f t="shared" si="110"/>
        <v>183.33333333333334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-9.6633812063373625E-13</v>
      </c>
      <c r="O164" s="14">
        <f>N164*VLOOKUP('Données projet'!$B$9,Paramètres!$A$1:$I$89,3,0)*VLOOKUP('Données projet'!$B$9,Paramètres!$A$1:$I$89,5,0)</f>
        <v>-8.7434273154940449E-13</v>
      </c>
      <c r="P164" s="14" t="e">
        <f t="shared" si="141"/>
        <v>#NUM!</v>
      </c>
      <c r="Q164" s="22" t="e">
        <f t="shared" si="162"/>
        <v>#NUM!</v>
      </c>
      <c r="R164" s="62" t="e">
        <f t="shared" si="109"/>
        <v>#NUM!</v>
      </c>
      <c r="S164" s="62">
        <f ca="1">AVERAGE(OFFSET($R$3,0,0,'Données projet'!$E$9+1,1))-AVERAGE(OFFSET($H$3,0,0,'Données projet'!$E$9+1,1))</f>
        <v>469.67944008675863</v>
      </c>
      <c r="T164" s="62">
        <f t="shared" si="142"/>
        <v>266.11908070867173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0</v>
      </c>
      <c r="AA164" s="23">
        <f>EXP(-LN(2)/25)*AA163+(1-EXP(-LN(2)/25))/(LN(2)/25)*Calculateur!V164*Calculateur!X164*VLOOKUP('Données projet'!$B$9,Paramètres!$A$1:$I$89,3,0)*0.475*44/12</f>
        <v>0</v>
      </c>
      <c r="AB164" s="23">
        <f>EXP(-LN(2)/2)*AB163+(1-EXP(-LN(2)/2))/(LN(2)/2)*V164*Y164*VLOOKUP('Données projet'!$B$9,Paramètres!$A$1:$I$89,3,0)*0.475*44/12</f>
        <v>0</v>
      </c>
      <c r="AC164" s="24">
        <f t="shared" si="163"/>
        <v>0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0</v>
      </c>
      <c r="AJ164" s="14">
        <f>AI164*VLOOKUP('Données projet'!$B$10,Paramètres!$A$1:$I$89,3,0)*VLOOKUP('Données projet'!$B$10,Paramètres!$A$1:$I$89,5,0)</f>
        <v>0</v>
      </c>
      <c r="AK164" s="14" t="e">
        <f t="shared" si="164"/>
        <v>#NUM!</v>
      </c>
      <c r="AL164" s="22" t="e">
        <f t="shared" si="165"/>
        <v>#NUM!</v>
      </c>
      <c r="AM164" s="62" t="e">
        <f t="shared" si="113"/>
        <v>#NUM!</v>
      </c>
      <c r="AN164" s="62">
        <f ca="1">AVERAGE(OFFSET($AM$3,0,0,'Données projet'!$E$10+1,1))-AVERAGE(OFFSET($H$3,0,0,'Données projet'!$E$10+1,1))</f>
        <v>400.48230125343474</v>
      </c>
      <c r="AO164" s="62">
        <f t="shared" si="144"/>
        <v>275.67023303885048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0</v>
      </c>
      <c r="AV164" s="23">
        <f>EXP(-LN(2)/25)*AV163+(1-EXP(-LN(2)/25))/(LN(2)/25)*Calculateur!AQ164*Calculateur!AS164*VLOOKUP('Données projet'!$B$10,Paramètres!$A$1:$I$89,3,0)*0.475*44/12</f>
        <v>0</v>
      </c>
      <c r="AW164" s="23">
        <f>EXP(-LN(2)/2)*AW163+(1-EXP(-LN(2)/2))/(LN(2)/2)*AQ164*AT164*VLOOKUP('Données projet'!$B$10,Paramètres!$A$1:$I$89,3,0)*0.475*44/12</f>
        <v>0</v>
      </c>
      <c r="AX164" s="23">
        <f t="shared" si="166"/>
        <v>0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-9.6633812063373625E-13</v>
      </c>
      <c r="BE164" s="14">
        <f>BD164*VLOOKUP('Données projet'!$B$11,Paramètres!$A$1:$I$89,3,0)*VLOOKUP('Données projet'!$B$11,Paramètres!$A$1:$I$89,5,0)</f>
        <v>-9.3464223027694966E-13</v>
      </c>
      <c r="BF164" s="14" t="e">
        <f t="shared" si="167"/>
        <v>#NUM!</v>
      </c>
      <c r="BG164" s="22" t="e">
        <f t="shared" si="168"/>
        <v>#NUM!</v>
      </c>
      <c r="BH164" s="62" t="e">
        <f t="shared" si="116"/>
        <v>#NUM!</v>
      </c>
      <c r="BI164" s="62">
        <f ca="1">AVERAGE(OFFSET($BH$3,0,0,'Données projet'!$E$11+1,1))-AVERAGE(OFFSET($H$3,0,0,'Données projet'!$E$11+1,1))</f>
        <v>496.33873798282525</v>
      </c>
      <c r="BJ164" s="62">
        <f t="shared" si="146"/>
        <v>280.25465074992246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>
        <f>EXP(-LN(2)/35)*BP163+(1-EXP(-LN(2)/35))/(LN(2)/35)*BL164*BM164*VLOOKUP('Données projet'!$B$11,Paramètres!$A$1:$I$89,3,0)*0.475*44/12</f>
        <v>0</v>
      </c>
      <c r="BQ164" s="23">
        <f>EXP(-LN(2)/25)*BQ163+(1-EXP(-LN(2)/25))/(LN(2)/25)*Calculateur!BL164*Calculateur!BN164*VLOOKUP('Données projet'!$B$11,Paramètres!$A$1:$I$89,3,0)*0.475*44/12</f>
        <v>0</v>
      </c>
      <c r="BR164" s="23">
        <f>EXP(-LN(2)/2)*BR163+(1-EXP(-LN(2)/2))/(LN(2)/2)*BL164*BO164*VLOOKUP('Données projet'!$B$11,Paramètres!$A$1:$I$89,3,0)*0.475*44/12</f>
        <v>0</v>
      </c>
      <c r="BS164" s="24">
        <f t="shared" si="169"/>
        <v>0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-1.1368683772161603E-13</v>
      </c>
      <c r="BZ164" s="14">
        <f>BY164*VLOOKUP('Données projet'!$B$12,Paramètres!$A$1:$I$89,3,0)*VLOOKUP('Données projet'!$B$12,Paramètres!$A$1:$I$89,5,0)</f>
        <v>-9.9316821433603781E-14</v>
      </c>
      <c r="CA164" s="14" t="e">
        <f t="shared" si="170"/>
        <v>#NUM!</v>
      </c>
      <c r="CB164" s="22" t="e">
        <f t="shared" si="171"/>
        <v>#NUM!</v>
      </c>
      <c r="CC164" s="62" t="e">
        <f t="shared" si="119"/>
        <v>#NUM!</v>
      </c>
      <c r="CD164" s="62">
        <f ca="1">AVERAGE(OFFSET($CC$3,0,0,'Données projet'!$E$12+1,1))-AVERAGE(OFFSET($H$3,0,0,'Données projet'!$E$12+1,1))</f>
        <v>298.56812743477741</v>
      </c>
      <c r="CE164" s="62">
        <f t="shared" si="148"/>
        <v>276.01618888357268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>
        <f>EXP(-LN(2)/35)*CK163+(1-EXP(-LN(2)/35))/(LN(2)/35)*CG164*CH164*VLOOKUP('Données projet'!$B$12,Paramètres!$A$1:$I$89,3,0)*0.475*44/12</f>
        <v>0</v>
      </c>
      <c r="CL164" s="23">
        <f>EXP(-LN(2)/25)*CL163+(1-EXP(-LN(2)/25))/(LN(2)/25)*Calculateur!CG164*Calculateur!CI164*VLOOKUP('Données projet'!$B$12,Paramètres!$A$1:$I$89,3,0)*0.475*44/12</f>
        <v>0</v>
      </c>
      <c r="CM164" s="23">
        <f>EXP(-LN(2)/2)*CM163+(1-EXP(-LN(2)/2))/(LN(2)/2)*CG164*CJ164*VLOOKUP('Données projet'!$B$12,Paramètres!$A$1:$I$89,3,0)*0.475*44/12</f>
        <v>0</v>
      </c>
      <c r="CN164" s="24">
        <f t="shared" si="172"/>
        <v>0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2.2737367544323206E-13</v>
      </c>
      <c r="CU164" s="18">
        <f>CT164*VLOOKUP('Données projet'!$B$13,Paramètres!$A$1:$I$89,3,0)*VLOOKUP('Données projet'!$B$13,Paramètres!$A$1:$I$89,5,0)</f>
        <v>1.5252226148732008E-13</v>
      </c>
      <c r="CV164" s="14">
        <f t="shared" si="173"/>
        <v>2.1814502464536512E-12</v>
      </c>
      <c r="CW164" s="22">
        <f t="shared" si="174"/>
        <v>4.0650021179971913E-12</v>
      </c>
      <c r="CX164" s="62">
        <f t="shared" si="122"/>
        <v>287.85577846762379</v>
      </c>
      <c r="CY164" s="62">
        <f ca="1">AVERAGE(OFFSET($CX$3,0,0,'Données projet'!$E$13+1,1))-AVERAGE(OFFSET($H$3,0,0,'Données projet'!$E$13+1,1))</f>
        <v>346.82725381974132</v>
      </c>
      <c r="CZ164" s="62">
        <f t="shared" si="150"/>
        <v>254.09787950201044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>
        <f>EXP(-LN(2)/35)*DF163+(1-EXP(-LN(2)/35))/(LN(2)/35)*DB164*DC164*VLOOKUP('Données projet'!$B$13,Paramètres!$A$1:$I$89,3,0)*0.475*44/12</f>
        <v>0</v>
      </c>
      <c r="DG164" s="23">
        <f>EXP(-LN(2)/25)*DG163+(1-EXP(-LN(2)/25))/(LN(2)/25)*Calculateur!DB164*Calculateur!DD164*VLOOKUP('Données projet'!$B$13,Paramètres!$A$1:$I$89,3,0)*0.475*44/12</f>
        <v>0</v>
      </c>
      <c r="DH164" s="23">
        <f>EXP(-LN(2)/2)*DH163+(1-EXP(-LN(2)/2))/(LN(2)/2)*DB164*DE164*VLOOKUP('Données projet'!$B$13,Paramètres!$A$1:$I$89,3,0)*0.475*44/12</f>
        <v>0</v>
      </c>
      <c r="DI164" s="24">
        <f t="shared" si="175"/>
        <v>0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5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2">
        <f t="shared" si="140"/>
        <v>0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18.333333333333332</v>
      </c>
      <c r="H165" s="70">
        <f t="shared" si="110"/>
        <v>183.33333333333334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-9.6633812063373625E-13</v>
      </c>
      <c r="O165" s="14">
        <f>N165*VLOOKUP('Données projet'!$B$9,Paramètres!$A$1:$I$89,3,0)*VLOOKUP('Données projet'!$B$9,Paramètres!$A$1:$I$89,5,0)</f>
        <v>-8.7434273154940449E-13</v>
      </c>
      <c r="P165" s="14" t="e">
        <f t="shared" si="141"/>
        <v>#NUM!</v>
      </c>
      <c r="Q165" s="22" t="e">
        <f t="shared" si="162"/>
        <v>#NUM!</v>
      </c>
      <c r="R165" s="62" t="e">
        <f t="shared" si="109"/>
        <v>#NUM!</v>
      </c>
      <c r="S165" s="62">
        <f ca="1">AVERAGE(OFFSET($R$3,0,0,'Données projet'!$E$9+1,1))-AVERAGE(OFFSET($H$3,0,0,'Données projet'!$E$9+1,1))</f>
        <v>469.67944008675863</v>
      </c>
      <c r="T165" s="62">
        <f t="shared" si="142"/>
        <v>266.11908070867173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0</v>
      </c>
      <c r="AA165" s="23">
        <f>EXP(-LN(2)/25)*AA164+(1-EXP(-LN(2)/25))/(LN(2)/25)*Calculateur!V165*Calculateur!X165*VLOOKUP('Données projet'!$B$9,Paramètres!$A$1:$I$89,3,0)*0.475*44/12</f>
        <v>0</v>
      </c>
      <c r="AB165" s="23">
        <f>EXP(-LN(2)/2)*AB164+(1-EXP(-LN(2)/2))/(LN(2)/2)*V165*Y165*VLOOKUP('Données projet'!$B$9,Paramètres!$A$1:$I$89,3,0)*0.475*44/12</f>
        <v>0</v>
      </c>
      <c r="AC165" s="24">
        <f t="shared" si="163"/>
        <v>0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0</v>
      </c>
      <c r="AJ165" s="14">
        <f>AI165*VLOOKUP('Données projet'!$B$10,Paramètres!$A$1:$I$89,3,0)*VLOOKUP('Données projet'!$B$10,Paramètres!$A$1:$I$89,5,0)</f>
        <v>0</v>
      </c>
      <c r="AK165" s="14" t="e">
        <f t="shared" si="164"/>
        <v>#NUM!</v>
      </c>
      <c r="AL165" s="22" t="e">
        <f t="shared" si="165"/>
        <v>#NUM!</v>
      </c>
      <c r="AM165" s="62" t="e">
        <f t="shared" si="113"/>
        <v>#NUM!</v>
      </c>
      <c r="AN165" s="62">
        <f ca="1">AVERAGE(OFFSET($AM$3,0,0,'Données projet'!$E$10+1,1))-AVERAGE(OFFSET($H$3,0,0,'Données projet'!$E$10+1,1))</f>
        <v>400.48230125343474</v>
      </c>
      <c r="AO165" s="62">
        <f t="shared" si="144"/>
        <v>275.67023303885048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0</v>
      </c>
      <c r="AV165" s="23">
        <f>EXP(-LN(2)/25)*AV164+(1-EXP(-LN(2)/25))/(LN(2)/25)*Calculateur!AQ165*Calculateur!AS165*VLOOKUP('Données projet'!$B$10,Paramètres!$A$1:$I$89,3,0)*0.475*44/12</f>
        <v>0</v>
      </c>
      <c r="AW165" s="23">
        <f>EXP(-LN(2)/2)*AW164+(1-EXP(-LN(2)/2))/(LN(2)/2)*AQ165*AT165*VLOOKUP('Données projet'!$B$10,Paramètres!$A$1:$I$89,3,0)*0.475*44/12</f>
        <v>0</v>
      </c>
      <c r="AX165" s="23">
        <f t="shared" si="166"/>
        <v>0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-9.6633812063373625E-13</v>
      </c>
      <c r="BE165" s="14">
        <f>BD165*VLOOKUP('Données projet'!$B$11,Paramètres!$A$1:$I$89,3,0)*VLOOKUP('Données projet'!$B$11,Paramètres!$A$1:$I$89,5,0)</f>
        <v>-9.3464223027694966E-13</v>
      </c>
      <c r="BF165" s="14" t="e">
        <f t="shared" si="167"/>
        <v>#NUM!</v>
      </c>
      <c r="BG165" s="22" t="e">
        <f t="shared" si="168"/>
        <v>#NUM!</v>
      </c>
      <c r="BH165" s="62" t="e">
        <f t="shared" si="116"/>
        <v>#NUM!</v>
      </c>
      <c r="BI165" s="62">
        <f ca="1">AVERAGE(OFFSET($BH$3,0,0,'Données projet'!$E$11+1,1))-AVERAGE(OFFSET($H$3,0,0,'Données projet'!$E$11+1,1))</f>
        <v>496.33873798282525</v>
      </c>
      <c r="BJ165" s="62">
        <f t="shared" si="146"/>
        <v>280.25465074992246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>
        <f>EXP(-LN(2)/35)*BP164+(1-EXP(-LN(2)/35))/(LN(2)/35)*BL165*BM165*VLOOKUP('Données projet'!$B$11,Paramètres!$A$1:$I$89,3,0)*0.475*44/12</f>
        <v>0</v>
      </c>
      <c r="BQ165" s="23">
        <f>EXP(-LN(2)/25)*BQ164+(1-EXP(-LN(2)/25))/(LN(2)/25)*Calculateur!BL165*Calculateur!BN165*VLOOKUP('Données projet'!$B$11,Paramètres!$A$1:$I$89,3,0)*0.475*44/12</f>
        <v>0</v>
      </c>
      <c r="BR165" s="23">
        <f>EXP(-LN(2)/2)*BR164+(1-EXP(-LN(2)/2))/(LN(2)/2)*BL165*BO165*VLOOKUP('Données projet'!$B$11,Paramètres!$A$1:$I$89,3,0)*0.475*44/12</f>
        <v>0</v>
      </c>
      <c r="BS165" s="24">
        <f t="shared" si="169"/>
        <v>0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-1.1368683772161603E-13</v>
      </c>
      <c r="BZ165" s="14">
        <f>BY165*VLOOKUP('Données projet'!$B$12,Paramètres!$A$1:$I$89,3,0)*VLOOKUP('Données projet'!$B$12,Paramètres!$A$1:$I$89,5,0)</f>
        <v>-9.9316821433603781E-14</v>
      </c>
      <c r="CA165" s="14" t="e">
        <f t="shared" si="170"/>
        <v>#NUM!</v>
      </c>
      <c r="CB165" s="22" t="e">
        <f t="shared" si="171"/>
        <v>#NUM!</v>
      </c>
      <c r="CC165" s="62" t="e">
        <f t="shared" si="119"/>
        <v>#NUM!</v>
      </c>
      <c r="CD165" s="62">
        <f ca="1">AVERAGE(OFFSET($CC$3,0,0,'Données projet'!$E$12+1,1))-AVERAGE(OFFSET($H$3,0,0,'Données projet'!$E$12+1,1))</f>
        <v>298.56812743477741</v>
      </c>
      <c r="CE165" s="62">
        <f t="shared" si="148"/>
        <v>276.01618888357268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>
        <f>EXP(-LN(2)/35)*CK164+(1-EXP(-LN(2)/35))/(LN(2)/35)*CG165*CH165*VLOOKUP('Données projet'!$B$12,Paramètres!$A$1:$I$89,3,0)*0.475*44/12</f>
        <v>0</v>
      </c>
      <c r="CL165" s="23">
        <f>EXP(-LN(2)/25)*CL164+(1-EXP(-LN(2)/25))/(LN(2)/25)*Calculateur!CG165*Calculateur!CI165*VLOOKUP('Données projet'!$B$12,Paramètres!$A$1:$I$89,3,0)*0.475*44/12</f>
        <v>0</v>
      </c>
      <c r="CM165" s="23">
        <f>EXP(-LN(2)/2)*CM164+(1-EXP(-LN(2)/2))/(LN(2)/2)*CG165*CJ165*VLOOKUP('Données projet'!$B$12,Paramètres!$A$1:$I$89,3,0)*0.475*44/12</f>
        <v>0</v>
      </c>
      <c r="CN165" s="24">
        <f t="shared" si="172"/>
        <v>0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2.2737367544323206E-13</v>
      </c>
      <c r="CU165" s="18">
        <f>CT165*VLOOKUP('Données projet'!$B$13,Paramètres!$A$1:$I$89,3,0)*VLOOKUP('Données projet'!$B$13,Paramètres!$A$1:$I$89,5,0)</f>
        <v>1.5252226148732008E-13</v>
      </c>
      <c r="CV165" s="14">
        <f t="shared" si="173"/>
        <v>2.1814502464536512E-12</v>
      </c>
      <c r="CW165" s="22">
        <f t="shared" si="174"/>
        <v>4.0650021179971913E-12</v>
      </c>
      <c r="CX165" s="62">
        <f t="shared" si="122"/>
        <v>287.95080179856581</v>
      </c>
      <c r="CY165" s="62">
        <f ca="1">AVERAGE(OFFSET($CX$3,0,0,'Données projet'!$E$13+1,1))-AVERAGE(OFFSET($H$3,0,0,'Données projet'!$E$13+1,1))</f>
        <v>346.82725381974132</v>
      </c>
      <c r="CZ165" s="62">
        <f t="shared" si="150"/>
        <v>254.09787950201044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>
        <f>EXP(-LN(2)/35)*DF164+(1-EXP(-LN(2)/35))/(LN(2)/35)*DB165*DC165*VLOOKUP('Données projet'!$B$13,Paramètres!$A$1:$I$89,3,0)*0.475*44/12</f>
        <v>0</v>
      </c>
      <c r="DG165" s="23">
        <f>EXP(-LN(2)/25)*DG164+(1-EXP(-LN(2)/25))/(LN(2)/25)*Calculateur!DB165*Calculateur!DD165*VLOOKUP('Données projet'!$B$13,Paramètres!$A$1:$I$89,3,0)*0.475*44/12</f>
        <v>0</v>
      </c>
      <c r="DH165" s="23">
        <f>EXP(-LN(2)/2)*DH164+(1-EXP(-LN(2)/2))/(LN(2)/2)*DB165*DE165*VLOOKUP('Données projet'!$B$13,Paramètres!$A$1:$I$89,3,0)*0.475*44/12</f>
        <v>0</v>
      </c>
      <c r="DI165" s="24">
        <f t="shared" si="175"/>
        <v>0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5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2">
        <f t="shared" si="140"/>
        <v>0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18.333333333333332</v>
      </c>
      <c r="H166" s="70">
        <f t="shared" si="110"/>
        <v>183.33333333333334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-9.6633812063373625E-13</v>
      </c>
      <c r="O166" s="14">
        <f>N166*VLOOKUP('Données projet'!$B$9,Paramètres!$A$1:$I$89,3,0)*VLOOKUP('Données projet'!$B$9,Paramètres!$A$1:$I$89,5,0)</f>
        <v>-8.7434273154940449E-13</v>
      </c>
      <c r="P166" s="14" t="e">
        <f t="shared" si="141"/>
        <v>#NUM!</v>
      </c>
      <c r="Q166" s="22" t="e">
        <f t="shared" si="162"/>
        <v>#NUM!</v>
      </c>
      <c r="R166" s="62" t="e">
        <f t="shared" si="109"/>
        <v>#NUM!</v>
      </c>
      <c r="S166" s="62">
        <f ca="1">AVERAGE(OFFSET($R$3,0,0,'Données projet'!$E$9+1,1))-AVERAGE(OFFSET($H$3,0,0,'Données projet'!$E$9+1,1))</f>
        <v>469.67944008675863</v>
      </c>
      <c r="T166" s="62">
        <f t="shared" si="142"/>
        <v>266.11908070867173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0</v>
      </c>
      <c r="AA166" s="23">
        <f>EXP(-LN(2)/25)*AA165+(1-EXP(-LN(2)/25))/(LN(2)/25)*Calculateur!V166*Calculateur!X166*VLOOKUP('Données projet'!$B$9,Paramètres!$A$1:$I$89,3,0)*0.475*44/12</f>
        <v>0</v>
      </c>
      <c r="AB166" s="23">
        <f>EXP(-LN(2)/2)*AB165+(1-EXP(-LN(2)/2))/(LN(2)/2)*V166*Y166*VLOOKUP('Données projet'!$B$9,Paramètres!$A$1:$I$89,3,0)*0.475*44/12</f>
        <v>0</v>
      </c>
      <c r="AC166" s="24">
        <f t="shared" si="163"/>
        <v>0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0</v>
      </c>
      <c r="AJ166" s="14">
        <f>AI166*VLOOKUP('Données projet'!$B$10,Paramètres!$A$1:$I$89,3,0)*VLOOKUP('Données projet'!$B$10,Paramètres!$A$1:$I$89,5,0)</f>
        <v>0</v>
      </c>
      <c r="AK166" s="14" t="e">
        <f t="shared" si="164"/>
        <v>#NUM!</v>
      </c>
      <c r="AL166" s="22" t="e">
        <f t="shared" si="165"/>
        <v>#NUM!</v>
      </c>
      <c r="AM166" s="62" t="e">
        <f t="shared" si="113"/>
        <v>#NUM!</v>
      </c>
      <c r="AN166" s="62">
        <f ca="1">AVERAGE(OFFSET($AM$3,0,0,'Données projet'!$E$10+1,1))-AVERAGE(OFFSET($H$3,0,0,'Données projet'!$E$10+1,1))</f>
        <v>400.48230125343474</v>
      </c>
      <c r="AO166" s="62">
        <f t="shared" si="144"/>
        <v>275.67023303885048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0</v>
      </c>
      <c r="AV166" s="23">
        <f>EXP(-LN(2)/25)*AV165+(1-EXP(-LN(2)/25))/(LN(2)/25)*Calculateur!AQ166*Calculateur!AS166*VLOOKUP('Données projet'!$B$10,Paramètres!$A$1:$I$89,3,0)*0.475*44/12</f>
        <v>0</v>
      </c>
      <c r="AW166" s="23">
        <f>EXP(-LN(2)/2)*AW165+(1-EXP(-LN(2)/2))/(LN(2)/2)*AQ166*AT166*VLOOKUP('Données projet'!$B$10,Paramètres!$A$1:$I$89,3,0)*0.475*44/12</f>
        <v>0</v>
      </c>
      <c r="AX166" s="23">
        <f t="shared" si="166"/>
        <v>0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-9.6633812063373625E-13</v>
      </c>
      <c r="BE166" s="14">
        <f>BD166*VLOOKUP('Données projet'!$B$11,Paramètres!$A$1:$I$89,3,0)*VLOOKUP('Données projet'!$B$11,Paramètres!$A$1:$I$89,5,0)</f>
        <v>-9.3464223027694966E-13</v>
      </c>
      <c r="BF166" s="14" t="e">
        <f t="shared" si="167"/>
        <v>#NUM!</v>
      </c>
      <c r="BG166" s="22" t="e">
        <f t="shared" si="168"/>
        <v>#NUM!</v>
      </c>
      <c r="BH166" s="62" t="e">
        <f t="shared" si="116"/>
        <v>#NUM!</v>
      </c>
      <c r="BI166" s="62">
        <f ca="1">AVERAGE(OFFSET($BH$3,0,0,'Données projet'!$E$11+1,1))-AVERAGE(OFFSET($H$3,0,0,'Données projet'!$E$11+1,1))</f>
        <v>496.33873798282525</v>
      </c>
      <c r="BJ166" s="62">
        <f t="shared" si="146"/>
        <v>280.25465074992246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>
        <f>EXP(-LN(2)/35)*BP165+(1-EXP(-LN(2)/35))/(LN(2)/35)*BL166*BM166*VLOOKUP('Données projet'!$B$11,Paramètres!$A$1:$I$89,3,0)*0.475*44/12</f>
        <v>0</v>
      </c>
      <c r="BQ166" s="23">
        <f>EXP(-LN(2)/25)*BQ165+(1-EXP(-LN(2)/25))/(LN(2)/25)*Calculateur!BL166*Calculateur!BN166*VLOOKUP('Données projet'!$B$11,Paramètres!$A$1:$I$89,3,0)*0.475*44/12</f>
        <v>0</v>
      </c>
      <c r="BR166" s="23">
        <f>EXP(-LN(2)/2)*BR165+(1-EXP(-LN(2)/2))/(LN(2)/2)*BL166*BO166*VLOOKUP('Données projet'!$B$11,Paramètres!$A$1:$I$89,3,0)*0.475*44/12</f>
        <v>0</v>
      </c>
      <c r="BS166" s="24">
        <f t="shared" si="169"/>
        <v>0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-1.1368683772161603E-13</v>
      </c>
      <c r="BZ166" s="14">
        <f>BY166*VLOOKUP('Données projet'!$B$12,Paramètres!$A$1:$I$89,3,0)*VLOOKUP('Données projet'!$B$12,Paramètres!$A$1:$I$89,5,0)</f>
        <v>-9.9316821433603781E-14</v>
      </c>
      <c r="CA166" s="14" t="e">
        <f t="shared" si="170"/>
        <v>#NUM!</v>
      </c>
      <c r="CB166" s="22" t="e">
        <f t="shared" si="171"/>
        <v>#NUM!</v>
      </c>
      <c r="CC166" s="62" t="e">
        <f t="shared" si="119"/>
        <v>#NUM!</v>
      </c>
      <c r="CD166" s="62">
        <f ca="1">AVERAGE(OFFSET($CC$3,0,0,'Données projet'!$E$12+1,1))-AVERAGE(OFFSET($H$3,0,0,'Données projet'!$E$12+1,1))</f>
        <v>298.56812743477741</v>
      </c>
      <c r="CE166" s="62">
        <f t="shared" si="148"/>
        <v>276.01618888357268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>
        <f>EXP(-LN(2)/35)*CK165+(1-EXP(-LN(2)/35))/(LN(2)/35)*CG166*CH166*VLOOKUP('Données projet'!$B$12,Paramètres!$A$1:$I$89,3,0)*0.475*44/12</f>
        <v>0</v>
      </c>
      <c r="CL166" s="23">
        <f>EXP(-LN(2)/25)*CL165+(1-EXP(-LN(2)/25))/(LN(2)/25)*Calculateur!CG166*Calculateur!CI166*VLOOKUP('Données projet'!$B$12,Paramètres!$A$1:$I$89,3,0)*0.475*44/12</f>
        <v>0</v>
      </c>
      <c r="CM166" s="23">
        <f>EXP(-LN(2)/2)*CM165+(1-EXP(-LN(2)/2))/(LN(2)/2)*CG166*CJ166*VLOOKUP('Données projet'!$B$12,Paramètres!$A$1:$I$89,3,0)*0.475*44/12</f>
        <v>0</v>
      </c>
      <c r="CN166" s="24">
        <f t="shared" si="172"/>
        <v>0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2.2737367544323206E-13</v>
      </c>
      <c r="CU166" s="18">
        <f>CT166*VLOOKUP('Données projet'!$B$13,Paramètres!$A$1:$I$89,3,0)*VLOOKUP('Données projet'!$B$13,Paramètres!$A$1:$I$89,5,0)</f>
        <v>1.5252226148732008E-13</v>
      </c>
      <c r="CV166" s="14">
        <f t="shared" si="173"/>
        <v>2.1814502464536512E-12</v>
      </c>
      <c r="CW166" s="22">
        <f t="shared" si="174"/>
        <v>4.0650021179971913E-12</v>
      </c>
      <c r="CX166" s="62">
        <f t="shared" si="122"/>
        <v>288.04417668715632</v>
      </c>
      <c r="CY166" s="62">
        <f ca="1">AVERAGE(OFFSET($CX$3,0,0,'Données projet'!$E$13+1,1))-AVERAGE(OFFSET($H$3,0,0,'Données projet'!$E$13+1,1))</f>
        <v>346.82725381974132</v>
      </c>
      <c r="CZ166" s="62">
        <f t="shared" si="150"/>
        <v>254.09787950201044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>
        <f>EXP(-LN(2)/35)*DF165+(1-EXP(-LN(2)/35))/(LN(2)/35)*DB166*DC166*VLOOKUP('Données projet'!$B$13,Paramètres!$A$1:$I$89,3,0)*0.475*44/12</f>
        <v>0</v>
      </c>
      <c r="DG166" s="23">
        <f>EXP(-LN(2)/25)*DG165+(1-EXP(-LN(2)/25))/(LN(2)/25)*Calculateur!DB166*Calculateur!DD166*VLOOKUP('Données projet'!$B$13,Paramètres!$A$1:$I$89,3,0)*0.475*44/12</f>
        <v>0</v>
      </c>
      <c r="DH166" s="23">
        <f>EXP(-LN(2)/2)*DH165+(1-EXP(-LN(2)/2))/(LN(2)/2)*DB166*DE166*VLOOKUP('Données projet'!$B$13,Paramètres!$A$1:$I$89,3,0)*0.475*44/12</f>
        <v>0</v>
      </c>
      <c r="DI166" s="24">
        <f t="shared" si="175"/>
        <v>0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5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2">
        <f t="shared" si="140"/>
        <v>0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18.333333333333332</v>
      </c>
      <c r="H167" s="70">
        <f t="shared" si="110"/>
        <v>183.33333333333334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-9.6633812063373625E-13</v>
      </c>
      <c r="O167" s="14">
        <f>N167*VLOOKUP('Données projet'!$B$9,Paramètres!$A$1:$I$89,3,0)*VLOOKUP('Données projet'!$B$9,Paramètres!$A$1:$I$89,5,0)</f>
        <v>-8.7434273154940449E-13</v>
      </c>
      <c r="P167" s="14" t="e">
        <f t="shared" si="141"/>
        <v>#NUM!</v>
      </c>
      <c r="Q167" s="22" t="e">
        <f t="shared" si="162"/>
        <v>#NUM!</v>
      </c>
      <c r="R167" s="62" t="e">
        <f t="shared" si="109"/>
        <v>#NUM!</v>
      </c>
      <c r="S167" s="62">
        <f ca="1">AVERAGE(OFFSET($R$3,0,0,'Données projet'!$E$9+1,1))-AVERAGE(OFFSET($H$3,0,0,'Données projet'!$E$9+1,1))</f>
        <v>469.67944008675863</v>
      </c>
      <c r="T167" s="62">
        <f t="shared" si="142"/>
        <v>266.11908070867173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0</v>
      </c>
      <c r="AA167" s="23">
        <f>EXP(-LN(2)/25)*AA166+(1-EXP(-LN(2)/25))/(LN(2)/25)*Calculateur!V167*Calculateur!X167*VLOOKUP('Données projet'!$B$9,Paramètres!$A$1:$I$89,3,0)*0.475*44/12</f>
        <v>0</v>
      </c>
      <c r="AB167" s="23">
        <f>EXP(-LN(2)/2)*AB166+(1-EXP(-LN(2)/2))/(LN(2)/2)*V167*Y167*VLOOKUP('Données projet'!$B$9,Paramètres!$A$1:$I$89,3,0)*0.475*44/12</f>
        <v>0</v>
      </c>
      <c r="AC167" s="24">
        <f t="shared" si="163"/>
        <v>0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0</v>
      </c>
      <c r="AJ167" s="14">
        <f>AI167*VLOOKUP('Données projet'!$B$10,Paramètres!$A$1:$I$89,3,0)*VLOOKUP('Données projet'!$B$10,Paramètres!$A$1:$I$89,5,0)</f>
        <v>0</v>
      </c>
      <c r="AK167" s="14" t="e">
        <f t="shared" si="164"/>
        <v>#NUM!</v>
      </c>
      <c r="AL167" s="22" t="e">
        <f t="shared" si="165"/>
        <v>#NUM!</v>
      </c>
      <c r="AM167" s="62" t="e">
        <f t="shared" si="113"/>
        <v>#NUM!</v>
      </c>
      <c r="AN167" s="62">
        <f ca="1">AVERAGE(OFFSET($AM$3,0,0,'Données projet'!$E$10+1,1))-AVERAGE(OFFSET($H$3,0,0,'Données projet'!$E$10+1,1))</f>
        <v>400.48230125343474</v>
      </c>
      <c r="AO167" s="62">
        <f t="shared" si="144"/>
        <v>275.67023303885048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0</v>
      </c>
      <c r="AV167" s="23">
        <f>EXP(-LN(2)/25)*AV166+(1-EXP(-LN(2)/25))/(LN(2)/25)*Calculateur!AQ167*Calculateur!AS167*VLOOKUP('Données projet'!$B$10,Paramètres!$A$1:$I$89,3,0)*0.475*44/12</f>
        <v>0</v>
      </c>
      <c r="AW167" s="23">
        <f>EXP(-LN(2)/2)*AW166+(1-EXP(-LN(2)/2))/(LN(2)/2)*AQ167*AT167*VLOOKUP('Données projet'!$B$10,Paramètres!$A$1:$I$89,3,0)*0.475*44/12</f>
        <v>0</v>
      </c>
      <c r="AX167" s="23">
        <f t="shared" si="166"/>
        <v>0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-9.6633812063373625E-13</v>
      </c>
      <c r="BE167" s="14">
        <f>BD167*VLOOKUP('Données projet'!$B$11,Paramètres!$A$1:$I$89,3,0)*VLOOKUP('Données projet'!$B$11,Paramètres!$A$1:$I$89,5,0)</f>
        <v>-9.3464223027694966E-13</v>
      </c>
      <c r="BF167" s="14" t="e">
        <f t="shared" si="167"/>
        <v>#NUM!</v>
      </c>
      <c r="BG167" s="22" t="e">
        <f t="shared" si="168"/>
        <v>#NUM!</v>
      </c>
      <c r="BH167" s="62" t="e">
        <f t="shared" si="116"/>
        <v>#NUM!</v>
      </c>
      <c r="BI167" s="62">
        <f ca="1">AVERAGE(OFFSET($BH$3,0,0,'Données projet'!$E$11+1,1))-AVERAGE(OFFSET($H$3,0,0,'Données projet'!$E$11+1,1))</f>
        <v>496.33873798282525</v>
      </c>
      <c r="BJ167" s="62">
        <f t="shared" si="146"/>
        <v>280.25465074992246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>
        <f>EXP(-LN(2)/35)*BP166+(1-EXP(-LN(2)/35))/(LN(2)/35)*BL167*BM167*VLOOKUP('Données projet'!$B$11,Paramètres!$A$1:$I$89,3,0)*0.475*44/12</f>
        <v>0</v>
      </c>
      <c r="BQ167" s="23">
        <f>EXP(-LN(2)/25)*BQ166+(1-EXP(-LN(2)/25))/(LN(2)/25)*Calculateur!BL167*Calculateur!BN167*VLOOKUP('Données projet'!$B$11,Paramètres!$A$1:$I$89,3,0)*0.475*44/12</f>
        <v>0</v>
      </c>
      <c r="BR167" s="23">
        <f>EXP(-LN(2)/2)*BR166+(1-EXP(-LN(2)/2))/(LN(2)/2)*BL167*BO167*VLOOKUP('Données projet'!$B$11,Paramètres!$A$1:$I$89,3,0)*0.475*44/12</f>
        <v>0</v>
      </c>
      <c r="BS167" s="24">
        <f t="shared" si="169"/>
        <v>0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-1.1368683772161603E-13</v>
      </c>
      <c r="BZ167" s="14">
        <f>BY167*VLOOKUP('Données projet'!$B$12,Paramètres!$A$1:$I$89,3,0)*VLOOKUP('Données projet'!$B$12,Paramètres!$A$1:$I$89,5,0)</f>
        <v>-9.9316821433603781E-14</v>
      </c>
      <c r="CA167" s="14" t="e">
        <f t="shared" si="170"/>
        <v>#NUM!</v>
      </c>
      <c r="CB167" s="22" t="e">
        <f t="shared" si="171"/>
        <v>#NUM!</v>
      </c>
      <c r="CC167" s="62" t="e">
        <f t="shared" si="119"/>
        <v>#NUM!</v>
      </c>
      <c r="CD167" s="62">
        <f ca="1">AVERAGE(OFFSET($CC$3,0,0,'Données projet'!$E$12+1,1))-AVERAGE(OFFSET($H$3,0,0,'Données projet'!$E$12+1,1))</f>
        <v>298.56812743477741</v>
      </c>
      <c r="CE167" s="62">
        <f t="shared" si="148"/>
        <v>276.01618888357268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>
        <f>EXP(-LN(2)/35)*CK166+(1-EXP(-LN(2)/35))/(LN(2)/35)*CG167*CH167*VLOOKUP('Données projet'!$B$12,Paramètres!$A$1:$I$89,3,0)*0.475*44/12</f>
        <v>0</v>
      </c>
      <c r="CL167" s="23">
        <f>EXP(-LN(2)/25)*CL166+(1-EXP(-LN(2)/25))/(LN(2)/25)*Calculateur!CG167*Calculateur!CI167*VLOOKUP('Données projet'!$B$12,Paramètres!$A$1:$I$89,3,0)*0.475*44/12</f>
        <v>0</v>
      </c>
      <c r="CM167" s="23">
        <f>EXP(-LN(2)/2)*CM166+(1-EXP(-LN(2)/2))/(LN(2)/2)*CG167*CJ167*VLOOKUP('Données projet'!$B$12,Paramètres!$A$1:$I$89,3,0)*0.475*44/12</f>
        <v>0</v>
      </c>
      <c r="CN167" s="24">
        <f t="shared" si="172"/>
        <v>0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2.2737367544323206E-13</v>
      </c>
      <c r="CU167" s="18">
        <f>CT167*VLOOKUP('Données projet'!$B$13,Paramètres!$A$1:$I$89,3,0)*VLOOKUP('Données projet'!$B$13,Paramètres!$A$1:$I$89,5,0)</f>
        <v>1.5252226148732008E-13</v>
      </c>
      <c r="CV167" s="14">
        <f t="shared" si="173"/>
        <v>2.1814502464536512E-12</v>
      </c>
      <c r="CW167" s="22">
        <f t="shared" si="174"/>
        <v>4.0650021179971913E-12</v>
      </c>
      <c r="CX167" s="62">
        <f t="shared" si="122"/>
        <v>288.13593173018478</v>
      </c>
      <c r="CY167" s="62">
        <f ca="1">AVERAGE(OFFSET($CX$3,0,0,'Données projet'!$E$13+1,1))-AVERAGE(OFFSET($H$3,0,0,'Données projet'!$E$13+1,1))</f>
        <v>346.82725381974132</v>
      </c>
      <c r="CZ167" s="62">
        <f t="shared" si="150"/>
        <v>254.09787950201044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>
        <f>EXP(-LN(2)/35)*DF166+(1-EXP(-LN(2)/35))/(LN(2)/35)*DB167*DC167*VLOOKUP('Données projet'!$B$13,Paramètres!$A$1:$I$89,3,0)*0.475*44/12</f>
        <v>0</v>
      </c>
      <c r="DG167" s="23">
        <f>EXP(-LN(2)/25)*DG166+(1-EXP(-LN(2)/25))/(LN(2)/25)*Calculateur!DB167*Calculateur!DD167*VLOOKUP('Données projet'!$B$13,Paramètres!$A$1:$I$89,3,0)*0.475*44/12</f>
        <v>0</v>
      </c>
      <c r="DH167" s="23">
        <f>EXP(-LN(2)/2)*DH166+(1-EXP(-LN(2)/2))/(LN(2)/2)*DB167*DE167*VLOOKUP('Données projet'!$B$13,Paramètres!$A$1:$I$89,3,0)*0.475*44/12</f>
        <v>0</v>
      </c>
      <c r="DI167" s="24">
        <f t="shared" si="175"/>
        <v>0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5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2">
        <f t="shared" si="140"/>
        <v>0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18.333333333333332</v>
      </c>
      <c r="H168" s="70">
        <f t="shared" si="110"/>
        <v>183.33333333333334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-9.6633812063373625E-13</v>
      </c>
      <c r="O168" s="14">
        <f>N168*VLOOKUP('Données projet'!$B$9,Paramètres!$A$1:$I$89,3,0)*VLOOKUP('Données projet'!$B$9,Paramètres!$A$1:$I$89,5,0)</f>
        <v>-8.7434273154940449E-13</v>
      </c>
      <c r="P168" s="14" t="e">
        <f t="shared" si="141"/>
        <v>#NUM!</v>
      </c>
      <c r="Q168" s="22" t="e">
        <f t="shared" si="162"/>
        <v>#NUM!</v>
      </c>
      <c r="R168" s="62" t="e">
        <f t="shared" si="109"/>
        <v>#NUM!</v>
      </c>
      <c r="S168" s="62">
        <f ca="1">AVERAGE(OFFSET($R$3,0,0,'Données projet'!$E$9+1,1))-AVERAGE(OFFSET($H$3,0,0,'Données projet'!$E$9+1,1))</f>
        <v>469.67944008675863</v>
      </c>
      <c r="T168" s="62">
        <f t="shared" si="142"/>
        <v>266.11908070867173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0</v>
      </c>
      <c r="AA168" s="23">
        <f>EXP(-LN(2)/25)*AA167+(1-EXP(-LN(2)/25))/(LN(2)/25)*Calculateur!V168*Calculateur!X168*VLOOKUP('Données projet'!$B$9,Paramètres!$A$1:$I$89,3,0)*0.475*44/12</f>
        <v>0</v>
      </c>
      <c r="AB168" s="23">
        <f>EXP(-LN(2)/2)*AB167+(1-EXP(-LN(2)/2))/(LN(2)/2)*V168*Y168*VLOOKUP('Données projet'!$B$9,Paramètres!$A$1:$I$89,3,0)*0.475*44/12</f>
        <v>0</v>
      </c>
      <c r="AC168" s="24">
        <f t="shared" si="163"/>
        <v>0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0</v>
      </c>
      <c r="AJ168" s="14">
        <f>AI168*VLOOKUP('Données projet'!$B$10,Paramètres!$A$1:$I$89,3,0)*VLOOKUP('Données projet'!$B$10,Paramètres!$A$1:$I$89,5,0)</f>
        <v>0</v>
      </c>
      <c r="AK168" s="14" t="e">
        <f t="shared" si="164"/>
        <v>#NUM!</v>
      </c>
      <c r="AL168" s="22" t="e">
        <f t="shared" si="165"/>
        <v>#NUM!</v>
      </c>
      <c r="AM168" s="62" t="e">
        <f t="shared" si="113"/>
        <v>#NUM!</v>
      </c>
      <c r="AN168" s="62">
        <f ca="1">AVERAGE(OFFSET($AM$3,0,0,'Données projet'!$E$10+1,1))-AVERAGE(OFFSET($H$3,0,0,'Données projet'!$E$10+1,1))</f>
        <v>400.48230125343474</v>
      </c>
      <c r="AO168" s="62">
        <f t="shared" si="144"/>
        <v>275.67023303885048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0</v>
      </c>
      <c r="AV168" s="23">
        <f>EXP(-LN(2)/25)*AV167+(1-EXP(-LN(2)/25))/(LN(2)/25)*Calculateur!AQ168*Calculateur!AS168*VLOOKUP('Données projet'!$B$10,Paramètres!$A$1:$I$89,3,0)*0.475*44/12</f>
        <v>0</v>
      </c>
      <c r="AW168" s="23">
        <f>EXP(-LN(2)/2)*AW167+(1-EXP(-LN(2)/2))/(LN(2)/2)*AQ168*AT168*VLOOKUP('Données projet'!$B$10,Paramètres!$A$1:$I$89,3,0)*0.475*44/12</f>
        <v>0</v>
      </c>
      <c r="AX168" s="23">
        <f t="shared" si="166"/>
        <v>0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-9.6633812063373625E-13</v>
      </c>
      <c r="BE168" s="14">
        <f>BD168*VLOOKUP('Données projet'!$B$11,Paramètres!$A$1:$I$89,3,0)*VLOOKUP('Données projet'!$B$11,Paramètres!$A$1:$I$89,5,0)</f>
        <v>-9.3464223027694966E-13</v>
      </c>
      <c r="BF168" s="14" t="e">
        <f t="shared" si="167"/>
        <v>#NUM!</v>
      </c>
      <c r="BG168" s="22" t="e">
        <f t="shared" si="168"/>
        <v>#NUM!</v>
      </c>
      <c r="BH168" s="62" t="e">
        <f t="shared" si="116"/>
        <v>#NUM!</v>
      </c>
      <c r="BI168" s="62">
        <f ca="1">AVERAGE(OFFSET($BH$3,0,0,'Données projet'!$E$11+1,1))-AVERAGE(OFFSET($H$3,0,0,'Données projet'!$E$11+1,1))</f>
        <v>496.33873798282525</v>
      </c>
      <c r="BJ168" s="62">
        <f t="shared" si="146"/>
        <v>280.25465074992246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>
        <f>EXP(-LN(2)/35)*BP167+(1-EXP(-LN(2)/35))/(LN(2)/35)*BL168*BM168*VLOOKUP('Données projet'!$B$11,Paramètres!$A$1:$I$89,3,0)*0.475*44/12</f>
        <v>0</v>
      </c>
      <c r="BQ168" s="23">
        <f>EXP(-LN(2)/25)*BQ167+(1-EXP(-LN(2)/25))/(LN(2)/25)*Calculateur!BL168*Calculateur!BN168*VLOOKUP('Données projet'!$B$11,Paramètres!$A$1:$I$89,3,0)*0.475*44/12</f>
        <v>0</v>
      </c>
      <c r="BR168" s="23">
        <f>EXP(-LN(2)/2)*BR167+(1-EXP(-LN(2)/2))/(LN(2)/2)*BL168*BO168*VLOOKUP('Données projet'!$B$11,Paramètres!$A$1:$I$89,3,0)*0.475*44/12</f>
        <v>0</v>
      </c>
      <c r="BS168" s="24">
        <f t="shared" si="169"/>
        <v>0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-1.1368683772161603E-13</v>
      </c>
      <c r="BZ168" s="14">
        <f>BY168*VLOOKUP('Données projet'!$B$12,Paramètres!$A$1:$I$89,3,0)*VLOOKUP('Données projet'!$B$12,Paramètres!$A$1:$I$89,5,0)</f>
        <v>-9.9316821433603781E-14</v>
      </c>
      <c r="CA168" s="14" t="e">
        <f t="shared" si="170"/>
        <v>#NUM!</v>
      </c>
      <c r="CB168" s="22" t="e">
        <f t="shared" si="171"/>
        <v>#NUM!</v>
      </c>
      <c r="CC168" s="62" t="e">
        <f t="shared" si="119"/>
        <v>#NUM!</v>
      </c>
      <c r="CD168" s="62">
        <f ca="1">AVERAGE(OFFSET($CC$3,0,0,'Données projet'!$E$12+1,1))-AVERAGE(OFFSET($H$3,0,0,'Données projet'!$E$12+1,1))</f>
        <v>298.56812743477741</v>
      </c>
      <c r="CE168" s="62">
        <f t="shared" si="148"/>
        <v>276.01618888357268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>
        <f>EXP(-LN(2)/35)*CK167+(1-EXP(-LN(2)/35))/(LN(2)/35)*CG168*CH168*VLOOKUP('Données projet'!$B$12,Paramètres!$A$1:$I$89,3,0)*0.475*44/12</f>
        <v>0</v>
      </c>
      <c r="CL168" s="23">
        <f>EXP(-LN(2)/25)*CL167+(1-EXP(-LN(2)/25))/(LN(2)/25)*Calculateur!CG168*Calculateur!CI168*VLOOKUP('Données projet'!$B$12,Paramètres!$A$1:$I$89,3,0)*0.475*44/12</f>
        <v>0</v>
      </c>
      <c r="CM168" s="23">
        <f>EXP(-LN(2)/2)*CM167+(1-EXP(-LN(2)/2))/(LN(2)/2)*CG168*CJ168*VLOOKUP('Données projet'!$B$12,Paramètres!$A$1:$I$89,3,0)*0.475*44/12</f>
        <v>0</v>
      </c>
      <c r="CN168" s="24">
        <f t="shared" si="172"/>
        <v>0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2.2737367544323206E-13</v>
      </c>
      <c r="CU168" s="18">
        <f>CT168*VLOOKUP('Données projet'!$B$13,Paramètres!$A$1:$I$89,3,0)*VLOOKUP('Données projet'!$B$13,Paramètres!$A$1:$I$89,5,0)</f>
        <v>1.5252226148732008E-13</v>
      </c>
      <c r="CV168" s="14">
        <f t="shared" si="173"/>
        <v>2.1814502464536512E-12</v>
      </c>
      <c r="CW168" s="22">
        <f t="shared" si="174"/>
        <v>4.0650021179971913E-12</v>
      </c>
      <c r="CX168" s="62">
        <f t="shared" si="122"/>
        <v>288.22609502835024</v>
      </c>
      <c r="CY168" s="62">
        <f ca="1">AVERAGE(OFFSET($CX$3,0,0,'Données projet'!$E$13+1,1))-AVERAGE(OFFSET($H$3,0,0,'Données projet'!$E$13+1,1))</f>
        <v>346.82725381974132</v>
      </c>
      <c r="CZ168" s="62">
        <f t="shared" si="150"/>
        <v>254.09787950201044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>
        <f>EXP(-LN(2)/35)*DF167+(1-EXP(-LN(2)/35))/(LN(2)/35)*DB168*DC168*VLOOKUP('Données projet'!$B$13,Paramètres!$A$1:$I$89,3,0)*0.475*44/12</f>
        <v>0</v>
      </c>
      <c r="DG168" s="23">
        <f>EXP(-LN(2)/25)*DG167+(1-EXP(-LN(2)/25))/(LN(2)/25)*Calculateur!DB168*Calculateur!DD168*VLOOKUP('Données projet'!$B$13,Paramètres!$A$1:$I$89,3,0)*0.475*44/12</f>
        <v>0</v>
      </c>
      <c r="DH168" s="23">
        <f>EXP(-LN(2)/2)*DH167+(1-EXP(-LN(2)/2))/(LN(2)/2)*DB168*DE168*VLOOKUP('Données projet'!$B$13,Paramètres!$A$1:$I$89,3,0)*0.475*44/12</f>
        <v>0</v>
      </c>
      <c r="DI168" s="24">
        <f t="shared" si="175"/>
        <v>0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5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2">
        <f t="shared" si="140"/>
        <v>0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18.333333333333332</v>
      </c>
      <c r="H169" s="70">
        <f t="shared" si="110"/>
        <v>183.33333333333334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-9.6633812063373625E-13</v>
      </c>
      <c r="O169" s="14">
        <f>N169*VLOOKUP('Données projet'!$B$9,Paramètres!$A$1:$I$89,3,0)*VLOOKUP('Données projet'!$B$9,Paramètres!$A$1:$I$89,5,0)</f>
        <v>-8.7434273154940449E-13</v>
      </c>
      <c r="P169" s="14" t="e">
        <f t="shared" si="141"/>
        <v>#NUM!</v>
      </c>
      <c r="Q169" s="22" t="e">
        <f t="shared" si="162"/>
        <v>#NUM!</v>
      </c>
      <c r="R169" s="62" t="e">
        <f t="shared" si="109"/>
        <v>#NUM!</v>
      </c>
      <c r="S169" s="62">
        <f ca="1">AVERAGE(OFFSET($R$3,0,0,'Données projet'!$E$9+1,1))-AVERAGE(OFFSET($H$3,0,0,'Données projet'!$E$9+1,1))</f>
        <v>469.67944008675863</v>
      </c>
      <c r="T169" s="62">
        <f t="shared" si="142"/>
        <v>266.11908070867173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0</v>
      </c>
      <c r="AA169" s="23">
        <f>EXP(-LN(2)/25)*AA168+(1-EXP(-LN(2)/25))/(LN(2)/25)*Calculateur!V169*Calculateur!X169*VLOOKUP('Données projet'!$B$9,Paramètres!$A$1:$I$89,3,0)*0.475*44/12</f>
        <v>0</v>
      </c>
      <c r="AB169" s="23">
        <f>EXP(-LN(2)/2)*AB168+(1-EXP(-LN(2)/2))/(LN(2)/2)*V169*Y169*VLOOKUP('Données projet'!$B$9,Paramètres!$A$1:$I$89,3,0)*0.475*44/12</f>
        <v>0</v>
      </c>
      <c r="AC169" s="24">
        <f t="shared" si="163"/>
        <v>0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0</v>
      </c>
      <c r="AJ169" s="14">
        <f>AI169*VLOOKUP('Données projet'!$B$10,Paramètres!$A$1:$I$89,3,0)*VLOOKUP('Données projet'!$B$10,Paramètres!$A$1:$I$89,5,0)</f>
        <v>0</v>
      </c>
      <c r="AK169" s="14" t="e">
        <f t="shared" si="164"/>
        <v>#NUM!</v>
      </c>
      <c r="AL169" s="22" t="e">
        <f t="shared" si="165"/>
        <v>#NUM!</v>
      </c>
      <c r="AM169" s="62" t="e">
        <f t="shared" si="113"/>
        <v>#NUM!</v>
      </c>
      <c r="AN169" s="62">
        <f ca="1">AVERAGE(OFFSET($AM$3,0,0,'Données projet'!$E$10+1,1))-AVERAGE(OFFSET($H$3,0,0,'Données projet'!$E$10+1,1))</f>
        <v>400.48230125343474</v>
      </c>
      <c r="AO169" s="62">
        <f t="shared" si="144"/>
        <v>275.67023303885048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0</v>
      </c>
      <c r="AV169" s="23">
        <f>EXP(-LN(2)/25)*AV168+(1-EXP(-LN(2)/25))/(LN(2)/25)*Calculateur!AQ169*Calculateur!AS169*VLOOKUP('Données projet'!$B$10,Paramètres!$A$1:$I$89,3,0)*0.475*44/12</f>
        <v>0</v>
      </c>
      <c r="AW169" s="23">
        <f>EXP(-LN(2)/2)*AW168+(1-EXP(-LN(2)/2))/(LN(2)/2)*AQ169*AT169*VLOOKUP('Données projet'!$B$10,Paramètres!$A$1:$I$89,3,0)*0.475*44/12</f>
        <v>0</v>
      </c>
      <c r="AX169" s="23">
        <f t="shared" si="166"/>
        <v>0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-9.6633812063373625E-13</v>
      </c>
      <c r="BE169" s="14">
        <f>BD169*VLOOKUP('Données projet'!$B$11,Paramètres!$A$1:$I$89,3,0)*VLOOKUP('Données projet'!$B$11,Paramètres!$A$1:$I$89,5,0)</f>
        <v>-9.3464223027694966E-13</v>
      </c>
      <c r="BF169" s="14" t="e">
        <f t="shared" si="167"/>
        <v>#NUM!</v>
      </c>
      <c r="BG169" s="22" t="e">
        <f t="shared" si="168"/>
        <v>#NUM!</v>
      </c>
      <c r="BH169" s="62" t="e">
        <f t="shared" si="116"/>
        <v>#NUM!</v>
      </c>
      <c r="BI169" s="62">
        <f ca="1">AVERAGE(OFFSET($BH$3,0,0,'Données projet'!$E$11+1,1))-AVERAGE(OFFSET($H$3,0,0,'Données projet'!$E$11+1,1))</f>
        <v>496.33873798282525</v>
      </c>
      <c r="BJ169" s="62">
        <f t="shared" si="146"/>
        <v>280.25465074992246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>
        <f>EXP(-LN(2)/35)*BP168+(1-EXP(-LN(2)/35))/(LN(2)/35)*BL169*BM169*VLOOKUP('Données projet'!$B$11,Paramètres!$A$1:$I$89,3,0)*0.475*44/12</f>
        <v>0</v>
      </c>
      <c r="BQ169" s="23">
        <f>EXP(-LN(2)/25)*BQ168+(1-EXP(-LN(2)/25))/(LN(2)/25)*Calculateur!BL169*Calculateur!BN169*VLOOKUP('Données projet'!$B$11,Paramètres!$A$1:$I$89,3,0)*0.475*44/12</f>
        <v>0</v>
      </c>
      <c r="BR169" s="23">
        <f>EXP(-LN(2)/2)*BR168+(1-EXP(-LN(2)/2))/(LN(2)/2)*BL169*BO169*VLOOKUP('Données projet'!$B$11,Paramètres!$A$1:$I$89,3,0)*0.475*44/12</f>
        <v>0</v>
      </c>
      <c r="BS169" s="24">
        <f t="shared" si="169"/>
        <v>0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-1.1368683772161603E-13</v>
      </c>
      <c r="BZ169" s="14">
        <f>BY169*VLOOKUP('Données projet'!$B$12,Paramètres!$A$1:$I$89,3,0)*VLOOKUP('Données projet'!$B$12,Paramètres!$A$1:$I$89,5,0)</f>
        <v>-9.9316821433603781E-14</v>
      </c>
      <c r="CA169" s="14" t="e">
        <f t="shared" si="170"/>
        <v>#NUM!</v>
      </c>
      <c r="CB169" s="22" t="e">
        <f t="shared" si="171"/>
        <v>#NUM!</v>
      </c>
      <c r="CC169" s="62" t="e">
        <f t="shared" si="119"/>
        <v>#NUM!</v>
      </c>
      <c r="CD169" s="62">
        <f ca="1">AVERAGE(OFFSET($CC$3,0,0,'Données projet'!$E$12+1,1))-AVERAGE(OFFSET($H$3,0,0,'Données projet'!$E$12+1,1))</f>
        <v>298.56812743477741</v>
      </c>
      <c r="CE169" s="62">
        <f t="shared" si="148"/>
        <v>276.01618888357268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>
        <f>EXP(-LN(2)/35)*CK168+(1-EXP(-LN(2)/35))/(LN(2)/35)*CG169*CH169*VLOOKUP('Données projet'!$B$12,Paramètres!$A$1:$I$89,3,0)*0.475*44/12</f>
        <v>0</v>
      </c>
      <c r="CL169" s="23">
        <f>EXP(-LN(2)/25)*CL168+(1-EXP(-LN(2)/25))/(LN(2)/25)*Calculateur!CG169*Calculateur!CI169*VLOOKUP('Données projet'!$B$12,Paramètres!$A$1:$I$89,3,0)*0.475*44/12</f>
        <v>0</v>
      </c>
      <c r="CM169" s="23">
        <f>EXP(-LN(2)/2)*CM168+(1-EXP(-LN(2)/2))/(LN(2)/2)*CG169*CJ169*VLOOKUP('Données projet'!$B$12,Paramètres!$A$1:$I$89,3,0)*0.475*44/12</f>
        <v>0</v>
      </c>
      <c r="CN169" s="24">
        <f t="shared" si="172"/>
        <v>0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2.2737367544323206E-13</v>
      </c>
      <c r="CU169" s="18">
        <f>CT169*VLOOKUP('Données projet'!$B$13,Paramètres!$A$1:$I$89,3,0)*VLOOKUP('Données projet'!$B$13,Paramètres!$A$1:$I$89,5,0)</f>
        <v>1.5252226148732008E-13</v>
      </c>
      <c r="CV169" s="14">
        <f t="shared" si="173"/>
        <v>2.1814502464536512E-12</v>
      </c>
      <c r="CW169" s="22">
        <f t="shared" si="174"/>
        <v>4.0650021179971913E-12</v>
      </c>
      <c r="CX169" s="62">
        <f t="shared" si="122"/>
        <v>288.31469419486751</v>
      </c>
      <c r="CY169" s="62">
        <f ca="1">AVERAGE(OFFSET($CX$3,0,0,'Données projet'!$E$13+1,1))-AVERAGE(OFFSET($H$3,0,0,'Données projet'!$E$13+1,1))</f>
        <v>346.82725381974132</v>
      </c>
      <c r="CZ169" s="62">
        <f t="shared" si="150"/>
        <v>254.09787950201044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>
        <f>EXP(-LN(2)/35)*DF168+(1-EXP(-LN(2)/35))/(LN(2)/35)*DB169*DC169*VLOOKUP('Données projet'!$B$13,Paramètres!$A$1:$I$89,3,0)*0.475*44/12</f>
        <v>0</v>
      </c>
      <c r="DG169" s="23">
        <f>EXP(-LN(2)/25)*DG168+(1-EXP(-LN(2)/25))/(LN(2)/25)*Calculateur!DB169*Calculateur!DD169*VLOOKUP('Données projet'!$B$13,Paramètres!$A$1:$I$89,3,0)*0.475*44/12</f>
        <v>0</v>
      </c>
      <c r="DH169" s="23">
        <f>EXP(-LN(2)/2)*DH168+(1-EXP(-LN(2)/2))/(LN(2)/2)*DB169*DE169*VLOOKUP('Données projet'!$B$13,Paramètres!$A$1:$I$89,3,0)*0.475*44/12</f>
        <v>0</v>
      </c>
      <c r="DI169" s="24">
        <f t="shared" si="175"/>
        <v>0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5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2">
        <f t="shared" si="140"/>
        <v>0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18.333333333333332</v>
      </c>
      <c r="H170" s="70">
        <f t="shared" si="110"/>
        <v>183.33333333333334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-9.6633812063373625E-13</v>
      </c>
      <c r="O170" s="14">
        <f>N170*VLOOKUP('Données projet'!$B$9,Paramètres!$A$1:$I$89,3,0)*VLOOKUP('Données projet'!$B$9,Paramètres!$A$1:$I$89,5,0)</f>
        <v>-8.7434273154940449E-13</v>
      </c>
      <c r="P170" s="14" t="e">
        <f t="shared" si="141"/>
        <v>#NUM!</v>
      </c>
      <c r="Q170" s="22" t="e">
        <f t="shared" si="162"/>
        <v>#NUM!</v>
      </c>
      <c r="R170" s="62" t="e">
        <f t="shared" si="109"/>
        <v>#NUM!</v>
      </c>
      <c r="S170" s="62">
        <f ca="1">AVERAGE(OFFSET($R$3,0,0,'Données projet'!$E$9+1,1))-AVERAGE(OFFSET($H$3,0,0,'Données projet'!$E$9+1,1))</f>
        <v>469.67944008675863</v>
      </c>
      <c r="T170" s="62">
        <f t="shared" si="142"/>
        <v>266.11908070867173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0</v>
      </c>
      <c r="AA170" s="23">
        <f>EXP(-LN(2)/25)*AA169+(1-EXP(-LN(2)/25))/(LN(2)/25)*Calculateur!V170*Calculateur!X170*VLOOKUP('Données projet'!$B$9,Paramètres!$A$1:$I$89,3,0)*0.475*44/12</f>
        <v>0</v>
      </c>
      <c r="AB170" s="23">
        <f>EXP(-LN(2)/2)*AB169+(1-EXP(-LN(2)/2))/(LN(2)/2)*V170*Y170*VLOOKUP('Données projet'!$B$9,Paramètres!$A$1:$I$89,3,0)*0.475*44/12</f>
        <v>0</v>
      </c>
      <c r="AC170" s="24">
        <f t="shared" si="163"/>
        <v>0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0</v>
      </c>
      <c r="AJ170" s="14">
        <f>AI170*VLOOKUP('Données projet'!$B$10,Paramètres!$A$1:$I$89,3,0)*VLOOKUP('Données projet'!$B$10,Paramètres!$A$1:$I$89,5,0)</f>
        <v>0</v>
      </c>
      <c r="AK170" s="14" t="e">
        <f t="shared" si="164"/>
        <v>#NUM!</v>
      </c>
      <c r="AL170" s="22" t="e">
        <f t="shared" si="165"/>
        <v>#NUM!</v>
      </c>
      <c r="AM170" s="62" t="e">
        <f t="shared" si="113"/>
        <v>#NUM!</v>
      </c>
      <c r="AN170" s="62">
        <f ca="1">AVERAGE(OFFSET($AM$3,0,0,'Données projet'!$E$10+1,1))-AVERAGE(OFFSET($H$3,0,0,'Données projet'!$E$10+1,1))</f>
        <v>400.48230125343474</v>
      </c>
      <c r="AO170" s="62">
        <f t="shared" si="144"/>
        <v>275.67023303885048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0</v>
      </c>
      <c r="AV170" s="23">
        <f>EXP(-LN(2)/25)*AV169+(1-EXP(-LN(2)/25))/(LN(2)/25)*Calculateur!AQ170*Calculateur!AS170*VLOOKUP('Données projet'!$B$10,Paramètres!$A$1:$I$89,3,0)*0.475*44/12</f>
        <v>0</v>
      </c>
      <c r="AW170" s="23">
        <f>EXP(-LN(2)/2)*AW169+(1-EXP(-LN(2)/2))/(LN(2)/2)*AQ170*AT170*VLOOKUP('Données projet'!$B$10,Paramètres!$A$1:$I$89,3,0)*0.475*44/12</f>
        <v>0</v>
      </c>
      <c r="AX170" s="23">
        <f t="shared" si="166"/>
        <v>0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-9.6633812063373625E-13</v>
      </c>
      <c r="BE170" s="14">
        <f>BD170*VLOOKUP('Données projet'!$B$11,Paramètres!$A$1:$I$89,3,0)*VLOOKUP('Données projet'!$B$11,Paramètres!$A$1:$I$89,5,0)</f>
        <v>-9.3464223027694966E-13</v>
      </c>
      <c r="BF170" s="14" t="e">
        <f t="shared" si="167"/>
        <v>#NUM!</v>
      </c>
      <c r="BG170" s="22" t="e">
        <f t="shared" si="168"/>
        <v>#NUM!</v>
      </c>
      <c r="BH170" s="62" t="e">
        <f t="shared" si="116"/>
        <v>#NUM!</v>
      </c>
      <c r="BI170" s="62">
        <f ca="1">AVERAGE(OFFSET($BH$3,0,0,'Données projet'!$E$11+1,1))-AVERAGE(OFFSET($H$3,0,0,'Données projet'!$E$11+1,1))</f>
        <v>496.33873798282525</v>
      </c>
      <c r="BJ170" s="62">
        <f t="shared" si="146"/>
        <v>280.25465074992246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>
        <f>EXP(-LN(2)/35)*BP169+(1-EXP(-LN(2)/35))/(LN(2)/35)*BL170*BM170*VLOOKUP('Données projet'!$B$11,Paramètres!$A$1:$I$89,3,0)*0.475*44/12</f>
        <v>0</v>
      </c>
      <c r="BQ170" s="23">
        <f>EXP(-LN(2)/25)*BQ169+(1-EXP(-LN(2)/25))/(LN(2)/25)*Calculateur!BL170*Calculateur!BN170*VLOOKUP('Données projet'!$B$11,Paramètres!$A$1:$I$89,3,0)*0.475*44/12</f>
        <v>0</v>
      </c>
      <c r="BR170" s="23">
        <f>EXP(-LN(2)/2)*BR169+(1-EXP(-LN(2)/2))/(LN(2)/2)*BL170*BO170*VLOOKUP('Données projet'!$B$11,Paramètres!$A$1:$I$89,3,0)*0.475*44/12</f>
        <v>0</v>
      </c>
      <c r="BS170" s="24">
        <f t="shared" si="169"/>
        <v>0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-1.1368683772161603E-13</v>
      </c>
      <c r="BZ170" s="14">
        <f>BY170*VLOOKUP('Données projet'!$B$12,Paramètres!$A$1:$I$89,3,0)*VLOOKUP('Données projet'!$B$12,Paramètres!$A$1:$I$89,5,0)</f>
        <v>-9.9316821433603781E-14</v>
      </c>
      <c r="CA170" s="14" t="e">
        <f t="shared" si="170"/>
        <v>#NUM!</v>
      </c>
      <c r="CB170" s="22" t="e">
        <f t="shared" si="171"/>
        <v>#NUM!</v>
      </c>
      <c r="CC170" s="62" t="e">
        <f t="shared" si="119"/>
        <v>#NUM!</v>
      </c>
      <c r="CD170" s="62">
        <f ca="1">AVERAGE(OFFSET($CC$3,0,0,'Données projet'!$E$12+1,1))-AVERAGE(OFFSET($H$3,0,0,'Données projet'!$E$12+1,1))</f>
        <v>298.56812743477741</v>
      </c>
      <c r="CE170" s="62">
        <f t="shared" si="148"/>
        <v>276.01618888357268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>
        <f>EXP(-LN(2)/35)*CK169+(1-EXP(-LN(2)/35))/(LN(2)/35)*CG170*CH170*VLOOKUP('Données projet'!$B$12,Paramètres!$A$1:$I$89,3,0)*0.475*44/12</f>
        <v>0</v>
      </c>
      <c r="CL170" s="23">
        <f>EXP(-LN(2)/25)*CL169+(1-EXP(-LN(2)/25))/(LN(2)/25)*Calculateur!CG170*Calculateur!CI170*VLOOKUP('Données projet'!$B$12,Paramètres!$A$1:$I$89,3,0)*0.475*44/12</f>
        <v>0</v>
      </c>
      <c r="CM170" s="23">
        <f>EXP(-LN(2)/2)*CM169+(1-EXP(-LN(2)/2))/(LN(2)/2)*CG170*CJ170*VLOOKUP('Données projet'!$B$12,Paramètres!$A$1:$I$89,3,0)*0.475*44/12</f>
        <v>0</v>
      </c>
      <c r="CN170" s="24">
        <f t="shared" si="172"/>
        <v>0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2.2737367544323206E-13</v>
      </c>
      <c r="CU170" s="18">
        <f>CT170*VLOOKUP('Données projet'!$B$13,Paramètres!$A$1:$I$89,3,0)*VLOOKUP('Données projet'!$B$13,Paramètres!$A$1:$I$89,5,0)</f>
        <v>1.5252226148732008E-13</v>
      </c>
      <c r="CV170" s="14">
        <f t="shared" si="173"/>
        <v>2.1814502464536512E-12</v>
      </c>
      <c r="CW170" s="22">
        <f t="shared" si="174"/>
        <v>4.0650021179971913E-12</v>
      </c>
      <c r="CX170" s="62">
        <f t="shared" si="122"/>
        <v>288.40175636392371</v>
      </c>
      <c r="CY170" s="62">
        <f ca="1">AVERAGE(OFFSET($CX$3,0,0,'Données projet'!$E$13+1,1))-AVERAGE(OFFSET($H$3,0,0,'Données projet'!$E$13+1,1))</f>
        <v>346.82725381974132</v>
      </c>
      <c r="CZ170" s="62">
        <f t="shared" si="150"/>
        <v>254.09787950201044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>
        <f>EXP(-LN(2)/35)*DF169+(1-EXP(-LN(2)/35))/(LN(2)/35)*DB170*DC170*VLOOKUP('Données projet'!$B$13,Paramètres!$A$1:$I$89,3,0)*0.475*44/12</f>
        <v>0</v>
      </c>
      <c r="DG170" s="23">
        <f>EXP(-LN(2)/25)*DG169+(1-EXP(-LN(2)/25))/(LN(2)/25)*Calculateur!DB170*Calculateur!DD170*VLOOKUP('Données projet'!$B$13,Paramètres!$A$1:$I$89,3,0)*0.475*44/12</f>
        <v>0</v>
      </c>
      <c r="DH170" s="23">
        <f>EXP(-LN(2)/2)*DH169+(1-EXP(-LN(2)/2))/(LN(2)/2)*DB170*DE170*VLOOKUP('Données projet'!$B$13,Paramètres!$A$1:$I$89,3,0)*0.475*44/12</f>
        <v>0</v>
      </c>
      <c r="DI170" s="24">
        <f t="shared" si="175"/>
        <v>0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5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2">
        <f t="shared" si="140"/>
        <v>0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18.333333333333332</v>
      </c>
      <c r="H171" s="70">
        <f t="shared" si="110"/>
        <v>183.33333333333334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-9.6633812063373625E-13</v>
      </c>
      <c r="O171" s="14">
        <f>N171*VLOOKUP('Données projet'!$B$9,Paramètres!$A$1:$I$89,3,0)*VLOOKUP('Données projet'!$B$9,Paramètres!$A$1:$I$89,5,0)</f>
        <v>-8.7434273154940449E-13</v>
      </c>
      <c r="P171" s="14" t="e">
        <f t="shared" si="141"/>
        <v>#NUM!</v>
      </c>
      <c r="Q171" s="22" t="e">
        <f t="shared" si="162"/>
        <v>#NUM!</v>
      </c>
      <c r="R171" s="62" t="e">
        <f t="shared" si="109"/>
        <v>#NUM!</v>
      </c>
      <c r="S171" s="62">
        <f ca="1">AVERAGE(OFFSET($R$3,0,0,'Données projet'!$E$9+1,1))-AVERAGE(OFFSET($H$3,0,0,'Données projet'!$E$9+1,1))</f>
        <v>469.67944008675863</v>
      </c>
      <c r="T171" s="62">
        <f t="shared" si="142"/>
        <v>266.11908070867173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0</v>
      </c>
      <c r="AA171" s="23">
        <f>EXP(-LN(2)/25)*AA170+(1-EXP(-LN(2)/25))/(LN(2)/25)*Calculateur!V171*Calculateur!X171*VLOOKUP('Données projet'!$B$9,Paramètres!$A$1:$I$89,3,0)*0.475*44/12</f>
        <v>0</v>
      </c>
      <c r="AB171" s="23">
        <f>EXP(-LN(2)/2)*AB170+(1-EXP(-LN(2)/2))/(LN(2)/2)*V171*Y171*VLOOKUP('Données projet'!$B$9,Paramètres!$A$1:$I$89,3,0)*0.475*44/12</f>
        <v>0</v>
      </c>
      <c r="AC171" s="24">
        <f t="shared" si="163"/>
        <v>0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0</v>
      </c>
      <c r="AJ171" s="14">
        <f>AI171*VLOOKUP('Données projet'!$B$10,Paramètres!$A$1:$I$89,3,0)*VLOOKUP('Données projet'!$B$10,Paramètres!$A$1:$I$89,5,0)</f>
        <v>0</v>
      </c>
      <c r="AK171" s="14" t="e">
        <f t="shared" si="164"/>
        <v>#NUM!</v>
      </c>
      <c r="AL171" s="22" t="e">
        <f t="shared" si="165"/>
        <v>#NUM!</v>
      </c>
      <c r="AM171" s="62" t="e">
        <f t="shared" si="113"/>
        <v>#NUM!</v>
      </c>
      <c r="AN171" s="62">
        <f ca="1">AVERAGE(OFFSET($AM$3,0,0,'Données projet'!$E$10+1,1))-AVERAGE(OFFSET($H$3,0,0,'Données projet'!$E$10+1,1))</f>
        <v>400.48230125343474</v>
      </c>
      <c r="AO171" s="62">
        <f t="shared" si="144"/>
        <v>275.67023303885048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0</v>
      </c>
      <c r="AV171" s="23">
        <f>EXP(-LN(2)/25)*AV170+(1-EXP(-LN(2)/25))/(LN(2)/25)*Calculateur!AQ171*Calculateur!AS171*VLOOKUP('Données projet'!$B$10,Paramètres!$A$1:$I$89,3,0)*0.475*44/12</f>
        <v>0</v>
      </c>
      <c r="AW171" s="23">
        <f>EXP(-LN(2)/2)*AW170+(1-EXP(-LN(2)/2))/(LN(2)/2)*AQ171*AT171*VLOOKUP('Données projet'!$B$10,Paramètres!$A$1:$I$89,3,0)*0.475*44/12</f>
        <v>0</v>
      </c>
      <c r="AX171" s="23">
        <f t="shared" si="166"/>
        <v>0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-9.6633812063373625E-13</v>
      </c>
      <c r="BE171" s="14">
        <f>BD171*VLOOKUP('Données projet'!$B$11,Paramètres!$A$1:$I$89,3,0)*VLOOKUP('Données projet'!$B$11,Paramètres!$A$1:$I$89,5,0)</f>
        <v>-9.3464223027694966E-13</v>
      </c>
      <c r="BF171" s="14" t="e">
        <f t="shared" si="167"/>
        <v>#NUM!</v>
      </c>
      <c r="BG171" s="22" t="e">
        <f t="shared" si="168"/>
        <v>#NUM!</v>
      </c>
      <c r="BH171" s="62" t="e">
        <f t="shared" si="116"/>
        <v>#NUM!</v>
      </c>
      <c r="BI171" s="62">
        <f ca="1">AVERAGE(OFFSET($BH$3,0,0,'Données projet'!$E$11+1,1))-AVERAGE(OFFSET($H$3,0,0,'Données projet'!$E$11+1,1))</f>
        <v>496.33873798282525</v>
      </c>
      <c r="BJ171" s="62">
        <f t="shared" si="146"/>
        <v>280.25465074992246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>
        <f>EXP(-LN(2)/35)*BP170+(1-EXP(-LN(2)/35))/(LN(2)/35)*BL171*BM171*VLOOKUP('Données projet'!$B$11,Paramètres!$A$1:$I$89,3,0)*0.475*44/12</f>
        <v>0</v>
      </c>
      <c r="BQ171" s="23">
        <f>EXP(-LN(2)/25)*BQ170+(1-EXP(-LN(2)/25))/(LN(2)/25)*Calculateur!BL171*Calculateur!BN171*VLOOKUP('Données projet'!$B$11,Paramètres!$A$1:$I$89,3,0)*0.475*44/12</f>
        <v>0</v>
      </c>
      <c r="BR171" s="23">
        <f>EXP(-LN(2)/2)*BR170+(1-EXP(-LN(2)/2))/(LN(2)/2)*BL171*BO171*VLOOKUP('Données projet'!$B$11,Paramètres!$A$1:$I$89,3,0)*0.475*44/12</f>
        <v>0</v>
      </c>
      <c r="BS171" s="24">
        <f t="shared" si="169"/>
        <v>0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-1.1368683772161603E-13</v>
      </c>
      <c r="BZ171" s="14">
        <f>BY171*VLOOKUP('Données projet'!$B$12,Paramètres!$A$1:$I$89,3,0)*VLOOKUP('Données projet'!$B$12,Paramètres!$A$1:$I$89,5,0)</f>
        <v>-9.9316821433603781E-14</v>
      </c>
      <c r="CA171" s="14" t="e">
        <f t="shared" si="170"/>
        <v>#NUM!</v>
      </c>
      <c r="CB171" s="22" t="e">
        <f t="shared" si="171"/>
        <v>#NUM!</v>
      </c>
      <c r="CC171" s="62" t="e">
        <f t="shared" si="119"/>
        <v>#NUM!</v>
      </c>
      <c r="CD171" s="62">
        <f ca="1">AVERAGE(OFFSET($CC$3,0,0,'Données projet'!$E$12+1,1))-AVERAGE(OFFSET($H$3,0,0,'Données projet'!$E$12+1,1))</f>
        <v>298.56812743477741</v>
      </c>
      <c r="CE171" s="62">
        <f t="shared" si="148"/>
        <v>276.01618888357268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>
        <f>EXP(-LN(2)/35)*CK170+(1-EXP(-LN(2)/35))/(LN(2)/35)*CG171*CH171*VLOOKUP('Données projet'!$B$12,Paramètres!$A$1:$I$89,3,0)*0.475*44/12</f>
        <v>0</v>
      </c>
      <c r="CL171" s="23">
        <f>EXP(-LN(2)/25)*CL170+(1-EXP(-LN(2)/25))/(LN(2)/25)*Calculateur!CG171*Calculateur!CI171*VLOOKUP('Données projet'!$B$12,Paramètres!$A$1:$I$89,3,0)*0.475*44/12</f>
        <v>0</v>
      </c>
      <c r="CM171" s="23">
        <f>EXP(-LN(2)/2)*CM170+(1-EXP(-LN(2)/2))/(LN(2)/2)*CG171*CJ171*VLOOKUP('Données projet'!$B$12,Paramètres!$A$1:$I$89,3,0)*0.475*44/12</f>
        <v>0</v>
      </c>
      <c r="CN171" s="24">
        <f t="shared" si="172"/>
        <v>0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2.2737367544323206E-13</v>
      </c>
      <c r="CU171" s="18">
        <f>CT171*VLOOKUP('Données projet'!$B$13,Paramètres!$A$1:$I$89,3,0)*VLOOKUP('Données projet'!$B$13,Paramètres!$A$1:$I$89,5,0)</f>
        <v>1.5252226148732008E-13</v>
      </c>
      <c r="CV171" s="14">
        <f t="shared" si="173"/>
        <v>2.1814502464536512E-12</v>
      </c>
      <c r="CW171" s="22">
        <f t="shared" si="174"/>
        <v>4.0650021179971913E-12</v>
      </c>
      <c r="CX171" s="62">
        <f t="shared" si="122"/>
        <v>288.48730819898861</v>
      </c>
      <c r="CY171" s="62">
        <f ca="1">AVERAGE(OFFSET($CX$3,0,0,'Données projet'!$E$13+1,1))-AVERAGE(OFFSET($H$3,0,0,'Données projet'!$E$13+1,1))</f>
        <v>346.82725381974132</v>
      </c>
      <c r="CZ171" s="62">
        <f t="shared" si="150"/>
        <v>254.09787950201044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>
        <f>EXP(-LN(2)/35)*DF170+(1-EXP(-LN(2)/35))/(LN(2)/35)*DB171*DC171*VLOOKUP('Données projet'!$B$13,Paramètres!$A$1:$I$89,3,0)*0.475*44/12</f>
        <v>0</v>
      </c>
      <c r="DG171" s="23">
        <f>EXP(-LN(2)/25)*DG170+(1-EXP(-LN(2)/25))/(LN(2)/25)*Calculateur!DB171*Calculateur!DD171*VLOOKUP('Données projet'!$B$13,Paramètres!$A$1:$I$89,3,0)*0.475*44/12</f>
        <v>0</v>
      </c>
      <c r="DH171" s="23">
        <f>EXP(-LN(2)/2)*DH170+(1-EXP(-LN(2)/2))/(LN(2)/2)*DB171*DE171*VLOOKUP('Données projet'!$B$13,Paramètres!$A$1:$I$89,3,0)*0.475*44/12</f>
        <v>0</v>
      </c>
      <c r="DI171" s="24">
        <f t="shared" si="175"/>
        <v>0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5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2">
        <f t="shared" si="140"/>
        <v>0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18.333333333333332</v>
      </c>
      <c r="H172" s="70">
        <f t="shared" si="110"/>
        <v>183.33333333333334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-9.6633812063373625E-13</v>
      </c>
      <c r="O172" s="14">
        <f>N172*VLOOKUP('Données projet'!$B$9,Paramètres!$A$1:$I$89,3,0)*VLOOKUP('Données projet'!$B$9,Paramètres!$A$1:$I$89,5,0)</f>
        <v>-8.7434273154940449E-13</v>
      </c>
      <c r="P172" s="14" t="e">
        <f t="shared" si="141"/>
        <v>#NUM!</v>
      </c>
      <c r="Q172" s="22" t="e">
        <f t="shared" si="162"/>
        <v>#NUM!</v>
      </c>
      <c r="R172" s="62" t="e">
        <f t="shared" si="109"/>
        <v>#NUM!</v>
      </c>
      <c r="S172" s="62">
        <f ca="1">AVERAGE(OFFSET($R$3,0,0,'Données projet'!$E$9+1,1))-AVERAGE(OFFSET($H$3,0,0,'Données projet'!$E$9+1,1))</f>
        <v>469.67944008675863</v>
      </c>
      <c r="T172" s="62">
        <f t="shared" si="142"/>
        <v>266.11908070867173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0</v>
      </c>
      <c r="AA172" s="23">
        <f>EXP(-LN(2)/25)*AA171+(1-EXP(-LN(2)/25))/(LN(2)/25)*Calculateur!V172*Calculateur!X172*VLOOKUP('Données projet'!$B$9,Paramètres!$A$1:$I$89,3,0)*0.475*44/12</f>
        <v>0</v>
      </c>
      <c r="AB172" s="23">
        <f>EXP(-LN(2)/2)*AB171+(1-EXP(-LN(2)/2))/(LN(2)/2)*V172*Y172*VLOOKUP('Données projet'!$B$9,Paramètres!$A$1:$I$89,3,0)*0.475*44/12</f>
        <v>0</v>
      </c>
      <c r="AC172" s="24">
        <f t="shared" si="163"/>
        <v>0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0</v>
      </c>
      <c r="AJ172" s="14">
        <f>AI172*VLOOKUP('Données projet'!$B$10,Paramètres!$A$1:$I$89,3,0)*VLOOKUP('Données projet'!$B$10,Paramètres!$A$1:$I$89,5,0)</f>
        <v>0</v>
      </c>
      <c r="AK172" s="14" t="e">
        <f t="shared" si="164"/>
        <v>#NUM!</v>
      </c>
      <c r="AL172" s="22" t="e">
        <f t="shared" si="165"/>
        <v>#NUM!</v>
      </c>
      <c r="AM172" s="62" t="e">
        <f t="shared" si="113"/>
        <v>#NUM!</v>
      </c>
      <c r="AN172" s="62">
        <f ca="1">AVERAGE(OFFSET($AM$3,0,0,'Données projet'!$E$10+1,1))-AVERAGE(OFFSET($H$3,0,0,'Données projet'!$E$10+1,1))</f>
        <v>400.48230125343474</v>
      </c>
      <c r="AO172" s="62">
        <f t="shared" si="144"/>
        <v>275.67023303885048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0</v>
      </c>
      <c r="AV172" s="23">
        <f>EXP(-LN(2)/25)*AV171+(1-EXP(-LN(2)/25))/(LN(2)/25)*Calculateur!AQ172*Calculateur!AS172*VLOOKUP('Données projet'!$B$10,Paramètres!$A$1:$I$89,3,0)*0.475*44/12</f>
        <v>0</v>
      </c>
      <c r="AW172" s="23">
        <f>EXP(-LN(2)/2)*AW171+(1-EXP(-LN(2)/2))/(LN(2)/2)*AQ172*AT172*VLOOKUP('Données projet'!$B$10,Paramètres!$A$1:$I$89,3,0)*0.475*44/12</f>
        <v>0</v>
      </c>
      <c r="AX172" s="23">
        <f t="shared" si="166"/>
        <v>0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-9.6633812063373625E-13</v>
      </c>
      <c r="BE172" s="14">
        <f>BD172*VLOOKUP('Données projet'!$B$11,Paramètres!$A$1:$I$89,3,0)*VLOOKUP('Données projet'!$B$11,Paramètres!$A$1:$I$89,5,0)</f>
        <v>-9.3464223027694966E-13</v>
      </c>
      <c r="BF172" s="14" t="e">
        <f t="shared" si="167"/>
        <v>#NUM!</v>
      </c>
      <c r="BG172" s="22" t="e">
        <f t="shared" si="168"/>
        <v>#NUM!</v>
      </c>
      <c r="BH172" s="62" t="e">
        <f t="shared" si="116"/>
        <v>#NUM!</v>
      </c>
      <c r="BI172" s="62">
        <f ca="1">AVERAGE(OFFSET($BH$3,0,0,'Données projet'!$E$11+1,1))-AVERAGE(OFFSET($H$3,0,0,'Données projet'!$E$11+1,1))</f>
        <v>496.33873798282525</v>
      </c>
      <c r="BJ172" s="62">
        <f t="shared" si="146"/>
        <v>280.25465074992246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>
        <f>EXP(-LN(2)/35)*BP171+(1-EXP(-LN(2)/35))/(LN(2)/35)*BL172*BM172*VLOOKUP('Données projet'!$B$11,Paramètres!$A$1:$I$89,3,0)*0.475*44/12</f>
        <v>0</v>
      </c>
      <c r="BQ172" s="23">
        <f>EXP(-LN(2)/25)*BQ171+(1-EXP(-LN(2)/25))/(LN(2)/25)*Calculateur!BL172*Calculateur!BN172*VLOOKUP('Données projet'!$B$11,Paramètres!$A$1:$I$89,3,0)*0.475*44/12</f>
        <v>0</v>
      </c>
      <c r="BR172" s="23">
        <f>EXP(-LN(2)/2)*BR171+(1-EXP(-LN(2)/2))/(LN(2)/2)*BL172*BO172*VLOOKUP('Données projet'!$B$11,Paramètres!$A$1:$I$89,3,0)*0.475*44/12</f>
        <v>0</v>
      </c>
      <c r="BS172" s="24">
        <f t="shared" si="169"/>
        <v>0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-1.1368683772161603E-13</v>
      </c>
      <c r="BZ172" s="14">
        <f>BY172*VLOOKUP('Données projet'!$B$12,Paramètres!$A$1:$I$89,3,0)*VLOOKUP('Données projet'!$B$12,Paramètres!$A$1:$I$89,5,0)</f>
        <v>-9.9316821433603781E-14</v>
      </c>
      <c r="CA172" s="14" t="e">
        <f t="shared" si="170"/>
        <v>#NUM!</v>
      </c>
      <c r="CB172" s="22" t="e">
        <f t="shared" si="171"/>
        <v>#NUM!</v>
      </c>
      <c r="CC172" s="62" t="e">
        <f t="shared" si="119"/>
        <v>#NUM!</v>
      </c>
      <c r="CD172" s="62">
        <f ca="1">AVERAGE(OFFSET($CC$3,0,0,'Données projet'!$E$12+1,1))-AVERAGE(OFFSET($H$3,0,0,'Données projet'!$E$12+1,1))</f>
        <v>298.56812743477741</v>
      </c>
      <c r="CE172" s="62">
        <f t="shared" si="148"/>
        <v>276.01618888357268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>
        <f>EXP(-LN(2)/35)*CK171+(1-EXP(-LN(2)/35))/(LN(2)/35)*CG172*CH172*VLOOKUP('Données projet'!$B$12,Paramètres!$A$1:$I$89,3,0)*0.475*44/12</f>
        <v>0</v>
      </c>
      <c r="CL172" s="23">
        <f>EXP(-LN(2)/25)*CL171+(1-EXP(-LN(2)/25))/(LN(2)/25)*Calculateur!CG172*Calculateur!CI172*VLOOKUP('Données projet'!$B$12,Paramètres!$A$1:$I$89,3,0)*0.475*44/12</f>
        <v>0</v>
      </c>
      <c r="CM172" s="23">
        <f>EXP(-LN(2)/2)*CM171+(1-EXP(-LN(2)/2))/(LN(2)/2)*CG172*CJ172*VLOOKUP('Données projet'!$B$12,Paramètres!$A$1:$I$89,3,0)*0.475*44/12</f>
        <v>0</v>
      </c>
      <c r="CN172" s="24">
        <f t="shared" si="172"/>
        <v>0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2.2737367544323206E-13</v>
      </c>
      <c r="CU172" s="18">
        <f>CT172*VLOOKUP('Données projet'!$B$13,Paramètres!$A$1:$I$89,3,0)*VLOOKUP('Données projet'!$B$13,Paramètres!$A$1:$I$89,5,0)</f>
        <v>1.5252226148732008E-13</v>
      </c>
      <c r="CV172" s="14">
        <f t="shared" si="173"/>
        <v>2.1814502464536512E-12</v>
      </c>
      <c r="CW172" s="22">
        <f t="shared" si="174"/>
        <v>4.0650021179971913E-12</v>
      </c>
      <c r="CX172" s="62">
        <f t="shared" si="122"/>
        <v>288.57137590098051</v>
      </c>
      <c r="CY172" s="62">
        <f ca="1">AVERAGE(OFFSET($CX$3,0,0,'Données projet'!$E$13+1,1))-AVERAGE(OFFSET($H$3,0,0,'Données projet'!$E$13+1,1))</f>
        <v>346.82725381974132</v>
      </c>
      <c r="CZ172" s="62">
        <f t="shared" si="150"/>
        <v>254.09787950201044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>
        <f>EXP(-LN(2)/35)*DF171+(1-EXP(-LN(2)/35))/(LN(2)/35)*DB172*DC172*VLOOKUP('Données projet'!$B$13,Paramètres!$A$1:$I$89,3,0)*0.475*44/12</f>
        <v>0</v>
      </c>
      <c r="DG172" s="23">
        <f>EXP(-LN(2)/25)*DG171+(1-EXP(-LN(2)/25))/(LN(2)/25)*Calculateur!DB172*Calculateur!DD172*VLOOKUP('Données projet'!$B$13,Paramètres!$A$1:$I$89,3,0)*0.475*44/12</f>
        <v>0</v>
      </c>
      <c r="DH172" s="23">
        <f>EXP(-LN(2)/2)*DH171+(1-EXP(-LN(2)/2))/(LN(2)/2)*DB172*DE172*VLOOKUP('Données projet'!$B$13,Paramètres!$A$1:$I$89,3,0)*0.475*44/12</f>
        <v>0</v>
      </c>
      <c r="DI172" s="24">
        <f t="shared" si="175"/>
        <v>0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5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2">
        <f t="shared" si="140"/>
        <v>0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18.333333333333332</v>
      </c>
      <c r="H173" s="70">
        <f t="shared" si="110"/>
        <v>183.33333333333334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-9.6633812063373625E-13</v>
      </c>
      <c r="O173" s="14">
        <f>N173*VLOOKUP('Données projet'!$B$9,Paramètres!$A$1:$I$89,3,0)*VLOOKUP('Données projet'!$B$9,Paramètres!$A$1:$I$89,5,0)</f>
        <v>-8.7434273154940449E-13</v>
      </c>
      <c r="P173" s="14" t="e">
        <f t="shared" si="141"/>
        <v>#NUM!</v>
      </c>
      <c r="Q173" s="22" t="e">
        <f t="shared" si="162"/>
        <v>#NUM!</v>
      </c>
      <c r="R173" s="62" t="e">
        <f t="shared" si="109"/>
        <v>#NUM!</v>
      </c>
      <c r="S173" s="62">
        <f ca="1">AVERAGE(OFFSET($R$3,0,0,'Données projet'!$E$9+1,1))-AVERAGE(OFFSET($H$3,0,0,'Données projet'!$E$9+1,1))</f>
        <v>469.67944008675863</v>
      </c>
      <c r="T173" s="62">
        <f t="shared" si="142"/>
        <v>266.11908070867173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0</v>
      </c>
      <c r="AA173" s="23">
        <f>EXP(-LN(2)/25)*AA172+(1-EXP(-LN(2)/25))/(LN(2)/25)*Calculateur!V173*Calculateur!X173*VLOOKUP('Données projet'!$B$9,Paramètres!$A$1:$I$89,3,0)*0.475*44/12</f>
        <v>0</v>
      </c>
      <c r="AB173" s="23">
        <f>EXP(-LN(2)/2)*AB172+(1-EXP(-LN(2)/2))/(LN(2)/2)*V173*Y173*VLOOKUP('Données projet'!$B$9,Paramètres!$A$1:$I$89,3,0)*0.475*44/12</f>
        <v>0</v>
      </c>
      <c r="AC173" s="24">
        <f t="shared" si="163"/>
        <v>0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0</v>
      </c>
      <c r="AJ173" s="14">
        <f>AI173*VLOOKUP('Données projet'!$B$10,Paramètres!$A$1:$I$89,3,0)*VLOOKUP('Données projet'!$B$10,Paramètres!$A$1:$I$89,5,0)</f>
        <v>0</v>
      </c>
      <c r="AK173" s="14" t="e">
        <f t="shared" si="164"/>
        <v>#NUM!</v>
      </c>
      <c r="AL173" s="22" t="e">
        <f t="shared" si="165"/>
        <v>#NUM!</v>
      </c>
      <c r="AM173" s="62" t="e">
        <f t="shared" si="113"/>
        <v>#NUM!</v>
      </c>
      <c r="AN173" s="62">
        <f ca="1">AVERAGE(OFFSET($AM$3,0,0,'Données projet'!$E$10+1,1))-AVERAGE(OFFSET($H$3,0,0,'Données projet'!$E$10+1,1))</f>
        <v>400.48230125343474</v>
      </c>
      <c r="AO173" s="62">
        <f t="shared" si="144"/>
        <v>275.67023303885048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0</v>
      </c>
      <c r="AV173" s="23">
        <f>EXP(-LN(2)/25)*AV172+(1-EXP(-LN(2)/25))/(LN(2)/25)*Calculateur!AQ173*Calculateur!AS173*VLOOKUP('Données projet'!$B$10,Paramètres!$A$1:$I$89,3,0)*0.475*44/12</f>
        <v>0</v>
      </c>
      <c r="AW173" s="23">
        <f>EXP(-LN(2)/2)*AW172+(1-EXP(-LN(2)/2))/(LN(2)/2)*AQ173*AT173*VLOOKUP('Données projet'!$B$10,Paramètres!$A$1:$I$89,3,0)*0.475*44/12</f>
        <v>0</v>
      </c>
      <c r="AX173" s="23">
        <f t="shared" si="166"/>
        <v>0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-9.6633812063373625E-13</v>
      </c>
      <c r="BE173" s="14">
        <f>BD173*VLOOKUP('Données projet'!$B$11,Paramètres!$A$1:$I$89,3,0)*VLOOKUP('Données projet'!$B$11,Paramètres!$A$1:$I$89,5,0)</f>
        <v>-9.3464223027694966E-13</v>
      </c>
      <c r="BF173" s="14" t="e">
        <f t="shared" si="167"/>
        <v>#NUM!</v>
      </c>
      <c r="BG173" s="22" t="e">
        <f t="shared" si="168"/>
        <v>#NUM!</v>
      </c>
      <c r="BH173" s="62" t="e">
        <f t="shared" si="116"/>
        <v>#NUM!</v>
      </c>
      <c r="BI173" s="62">
        <f ca="1">AVERAGE(OFFSET($BH$3,0,0,'Données projet'!$E$11+1,1))-AVERAGE(OFFSET($H$3,0,0,'Données projet'!$E$11+1,1))</f>
        <v>496.33873798282525</v>
      </c>
      <c r="BJ173" s="62">
        <f t="shared" si="146"/>
        <v>280.25465074992246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>
        <f>EXP(-LN(2)/35)*BP172+(1-EXP(-LN(2)/35))/(LN(2)/35)*BL173*BM173*VLOOKUP('Données projet'!$B$11,Paramètres!$A$1:$I$89,3,0)*0.475*44/12</f>
        <v>0</v>
      </c>
      <c r="BQ173" s="23">
        <f>EXP(-LN(2)/25)*BQ172+(1-EXP(-LN(2)/25))/(LN(2)/25)*Calculateur!BL173*Calculateur!BN173*VLOOKUP('Données projet'!$B$11,Paramètres!$A$1:$I$89,3,0)*0.475*44/12</f>
        <v>0</v>
      </c>
      <c r="BR173" s="23">
        <f>EXP(-LN(2)/2)*BR172+(1-EXP(-LN(2)/2))/(LN(2)/2)*BL173*BO173*VLOOKUP('Données projet'!$B$11,Paramètres!$A$1:$I$89,3,0)*0.475*44/12</f>
        <v>0</v>
      </c>
      <c r="BS173" s="24">
        <f t="shared" si="169"/>
        <v>0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-1.1368683772161603E-13</v>
      </c>
      <c r="BZ173" s="14">
        <f>BY173*VLOOKUP('Données projet'!$B$12,Paramètres!$A$1:$I$89,3,0)*VLOOKUP('Données projet'!$B$12,Paramètres!$A$1:$I$89,5,0)</f>
        <v>-9.9316821433603781E-14</v>
      </c>
      <c r="CA173" s="14" t="e">
        <f t="shared" si="170"/>
        <v>#NUM!</v>
      </c>
      <c r="CB173" s="22" t="e">
        <f t="shared" si="171"/>
        <v>#NUM!</v>
      </c>
      <c r="CC173" s="62" t="e">
        <f t="shared" si="119"/>
        <v>#NUM!</v>
      </c>
      <c r="CD173" s="62">
        <f ca="1">AVERAGE(OFFSET($CC$3,0,0,'Données projet'!$E$12+1,1))-AVERAGE(OFFSET($H$3,0,0,'Données projet'!$E$12+1,1))</f>
        <v>298.56812743477741</v>
      </c>
      <c r="CE173" s="62">
        <f t="shared" si="148"/>
        <v>276.01618888357268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>
        <f>EXP(-LN(2)/35)*CK172+(1-EXP(-LN(2)/35))/(LN(2)/35)*CG173*CH173*VLOOKUP('Données projet'!$B$12,Paramètres!$A$1:$I$89,3,0)*0.475*44/12</f>
        <v>0</v>
      </c>
      <c r="CL173" s="23">
        <f>EXP(-LN(2)/25)*CL172+(1-EXP(-LN(2)/25))/(LN(2)/25)*Calculateur!CG173*Calculateur!CI173*VLOOKUP('Données projet'!$B$12,Paramètres!$A$1:$I$89,3,0)*0.475*44/12</f>
        <v>0</v>
      </c>
      <c r="CM173" s="23">
        <f>EXP(-LN(2)/2)*CM172+(1-EXP(-LN(2)/2))/(LN(2)/2)*CG173*CJ173*VLOOKUP('Données projet'!$B$12,Paramètres!$A$1:$I$89,3,0)*0.475*44/12</f>
        <v>0</v>
      </c>
      <c r="CN173" s="24">
        <f t="shared" si="172"/>
        <v>0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2.2737367544323206E-13</v>
      </c>
      <c r="CU173" s="18">
        <f>CT173*VLOOKUP('Données projet'!$B$13,Paramètres!$A$1:$I$89,3,0)*VLOOKUP('Données projet'!$B$13,Paramètres!$A$1:$I$89,5,0)</f>
        <v>1.5252226148732008E-13</v>
      </c>
      <c r="CV173" s="14">
        <f t="shared" si="173"/>
        <v>2.1814502464536512E-12</v>
      </c>
      <c r="CW173" s="22">
        <f t="shared" si="174"/>
        <v>4.0650021179971913E-12</v>
      </c>
      <c r="CX173" s="62">
        <f t="shared" si="122"/>
        <v>288.65398521628998</v>
      </c>
      <c r="CY173" s="62">
        <f ca="1">AVERAGE(OFFSET($CX$3,0,0,'Données projet'!$E$13+1,1))-AVERAGE(OFFSET($H$3,0,0,'Données projet'!$E$13+1,1))</f>
        <v>346.82725381974132</v>
      </c>
      <c r="CZ173" s="62">
        <f t="shared" si="150"/>
        <v>254.09787950201044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>
        <f>EXP(-LN(2)/35)*DF172+(1-EXP(-LN(2)/35))/(LN(2)/35)*DB173*DC173*VLOOKUP('Données projet'!$B$13,Paramètres!$A$1:$I$89,3,0)*0.475*44/12</f>
        <v>0</v>
      </c>
      <c r="DG173" s="23">
        <f>EXP(-LN(2)/25)*DG172+(1-EXP(-LN(2)/25))/(LN(2)/25)*Calculateur!DB173*Calculateur!DD173*VLOOKUP('Données projet'!$B$13,Paramètres!$A$1:$I$89,3,0)*0.475*44/12</f>
        <v>0</v>
      </c>
      <c r="DH173" s="23">
        <f>EXP(-LN(2)/2)*DH172+(1-EXP(-LN(2)/2))/(LN(2)/2)*DB173*DE173*VLOOKUP('Données projet'!$B$13,Paramètres!$A$1:$I$89,3,0)*0.475*44/12</f>
        <v>0</v>
      </c>
      <c r="DI173" s="24">
        <f t="shared" si="175"/>
        <v>0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5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2">
        <f t="shared" si="140"/>
        <v>0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18.333333333333332</v>
      </c>
      <c r="H174" s="70">
        <f t="shared" si="110"/>
        <v>183.33333333333334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-9.6633812063373625E-13</v>
      </c>
      <c r="O174" s="14">
        <f>N174*VLOOKUP('Données projet'!$B$9,Paramètres!$A$1:$I$89,3,0)*VLOOKUP('Données projet'!$B$9,Paramètres!$A$1:$I$89,5,0)</f>
        <v>-8.7434273154940449E-13</v>
      </c>
      <c r="P174" s="14" t="e">
        <f t="shared" si="141"/>
        <v>#NUM!</v>
      </c>
      <c r="Q174" s="22" t="e">
        <f t="shared" si="162"/>
        <v>#NUM!</v>
      </c>
      <c r="R174" s="62" t="e">
        <f t="shared" si="109"/>
        <v>#NUM!</v>
      </c>
      <c r="S174" s="62">
        <f ca="1">AVERAGE(OFFSET($R$3,0,0,'Données projet'!$E$9+1,1))-AVERAGE(OFFSET($H$3,0,0,'Données projet'!$E$9+1,1))</f>
        <v>469.67944008675863</v>
      </c>
      <c r="T174" s="62">
        <f t="shared" si="142"/>
        <v>266.11908070867173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0</v>
      </c>
      <c r="AA174" s="23">
        <f>EXP(-LN(2)/25)*AA173+(1-EXP(-LN(2)/25))/(LN(2)/25)*Calculateur!V174*Calculateur!X174*VLOOKUP('Données projet'!$B$9,Paramètres!$A$1:$I$89,3,0)*0.475*44/12</f>
        <v>0</v>
      </c>
      <c r="AB174" s="23">
        <f>EXP(-LN(2)/2)*AB173+(1-EXP(-LN(2)/2))/(LN(2)/2)*V174*Y174*VLOOKUP('Données projet'!$B$9,Paramètres!$A$1:$I$89,3,0)*0.475*44/12</f>
        <v>0</v>
      </c>
      <c r="AC174" s="24">
        <f t="shared" si="163"/>
        <v>0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0</v>
      </c>
      <c r="AJ174" s="14">
        <f>AI174*VLOOKUP('Données projet'!$B$10,Paramètres!$A$1:$I$89,3,0)*VLOOKUP('Données projet'!$B$10,Paramètres!$A$1:$I$89,5,0)</f>
        <v>0</v>
      </c>
      <c r="AK174" s="14" t="e">
        <f t="shared" si="164"/>
        <v>#NUM!</v>
      </c>
      <c r="AL174" s="22" t="e">
        <f t="shared" si="165"/>
        <v>#NUM!</v>
      </c>
      <c r="AM174" s="62" t="e">
        <f t="shared" si="113"/>
        <v>#NUM!</v>
      </c>
      <c r="AN174" s="62">
        <f ca="1">AVERAGE(OFFSET($AM$3,0,0,'Données projet'!$E$10+1,1))-AVERAGE(OFFSET($H$3,0,0,'Données projet'!$E$10+1,1))</f>
        <v>400.48230125343474</v>
      </c>
      <c r="AO174" s="62">
        <f t="shared" si="144"/>
        <v>275.67023303885048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0</v>
      </c>
      <c r="AV174" s="23">
        <f>EXP(-LN(2)/25)*AV173+(1-EXP(-LN(2)/25))/(LN(2)/25)*Calculateur!AQ174*Calculateur!AS174*VLOOKUP('Données projet'!$B$10,Paramètres!$A$1:$I$89,3,0)*0.475*44/12</f>
        <v>0</v>
      </c>
      <c r="AW174" s="23">
        <f>EXP(-LN(2)/2)*AW173+(1-EXP(-LN(2)/2))/(LN(2)/2)*AQ174*AT174*VLOOKUP('Données projet'!$B$10,Paramètres!$A$1:$I$89,3,0)*0.475*44/12</f>
        <v>0</v>
      </c>
      <c r="AX174" s="23">
        <f t="shared" si="166"/>
        <v>0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-9.6633812063373625E-13</v>
      </c>
      <c r="BE174" s="14">
        <f>BD174*VLOOKUP('Données projet'!$B$11,Paramètres!$A$1:$I$89,3,0)*VLOOKUP('Données projet'!$B$11,Paramètres!$A$1:$I$89,5,0)</f>
        <v>-9.3464223027694966E-13</v>
      </c>
      <c r="BF174" s="14" t="e">
        <f t="shared" si="167"/>
        <v>#NUM!</v>
      </c>
      <c r="BG174" s="22" t="e">
        <f t="shared" si="168"/>
        <v>#NUM!</v>
      </c>
      <c r="BH174" s="62" t="e">
        <f t="shared" si="116"/>
        <v>#NUM!</v>
      </c>
      <c r="BI174" s="62">
        <f ca="1">AVERAGE(OFFSET($BH$3,0,0,'Données projet'!$E$11+1,1))-AVERAGE(OFFSET($H$3,0,0,'Données projet'!$E$11+1,1))</f>
        <v>496.33873798282525</v>
      </c>
      <c r="BJ174" s="62">
        <f t="shared" si="146"/>
        <v>280.25465074992246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>
        <f>EXP(-LN(2)/35)*BP173+(1-EXP(-LN(2)/35))/(LN(2)/35)*BL174*BM174*VLOOKUP('Données projet'!$B$11,Paramètres!$A$1:$I$89,3,0)*0.475*44/12</f>
        <v>0</v>
      </c>
      <c r="BQ174" s="23">
        <f>EXP(-LN(2)/25)*BQ173+(1-EXP(-LN(2)/25))/(LN(2)/25)*Calculateur!BL174*Calculateur!BN174*VLOOKUP('Données projet'!$B$11,Paramètres!$A$1:$I$89,3,0)*0.475*44/12</f>
        <v>0</v>
      </c>
      <c r="BR174" s="23">
        <f>EXP(-LN(2)/2)*BR173+(1-EXP(-LN(2)/2))/(LN(2)/2)*BL174*BO174*VLOOKUP('Données projet'!$B$11,Paramètres!$A$1:$I$89,3,0)*0.475*44/12</f>
        <v>0</v>
      </c>
      <c r="BS174" s="24">
        <f t="shared" si="169"/>
        <v>0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-1.1368683772161603E-13</v>
      </c>
      <c r="BZ174" s="14">
        <f>BY174*VLOOKUP('Données projet'!$B$12,Paramètres!$A$1:$I$89,3,0)*VLOOKUP('Données projet'!$B$12,Paramètres!$A$1:$I$89,5,0)</f>
        <v>-9.9316821433603781E-14</v>
      </c>
      <c r="CA174" s="14" t="e">
        <f t="shared" si="170"/>
        <v>#NUM!</v>
      </c>
      <c r="CB174" s="22" t="e">
        <f t="shared" si="171"/>
        <v>#NUM!</v>
      </c>
      <c r="CC174" s="62" t="e">
        <f t="shared" si="119"/>
        <v>#NUM!</v>
      </c>
      <c r="CD174" s="62">
        <f ca="1">AVERAGE(OFFSET($CC$3,0,0,'Données projet'!$E$12+1,1))-AVERAGE(OFFSET($H$3,0,0,'Données projet'!$E$12+1,1))</f>
        <v>298.56812743477741</v>
      </c>
      <c r="CE174" s="62">
        <f t="shared" si="148"/>
        <v>276.01618888357268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>
        <f>EXP(-LN(2)/35)*CK173+(1-EXP(-LN(2)/35))/(LN(2)/35)*CG174*CH174*VLOOKUP('Données projet'!$B$12,Paramètres!$A$1:$I$89,3,0)*0.475*44/12</f>
        <v>0</v>
      </c>
      <c r="CL174" s="23">
        <f>EXP(-LN(2)/25)*CL173+(1-EXP(-LN(2)/25))/(LN(2)/25)*Calculateur!CG174*Calculateur!CI174*VLOOKUP('Données projet'!$B$12,Paramètres!$A$1:$I$89,3,0)*0.475*44/12</f>
        <v>0</v>
      </c>
      <c r="CM174" s="23">
        <f>EXP(-LN(2)/2)*CM173+(1-EXP(-LN(2)/2))/(LN(2)/2)*CG174*CJ174*VLOOKUP('Données projet'!$B$12,Paramètres!$A$1:$I$89,3,0)*0.475*44/12</f>
        <v>0</v>
      </c>
      <c r="CN174" s="24">
        <f t="shared" si="172"/>
        <v>0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2.2737367544323206E-13</v>
      </c>
      <c r="CU174" s="18">
        <f>CT174*VLOOKUP('Données projet'!$B$13,Paramètres!$A$1:$I$89,3,0)*VLOOKUP('Données projet'!$B$13,Paramètres!$A$1:$I$89,5,0)</f>
        <v>1.5252226148732008E-13</v>
      </c>
      <c r="CV174" s="14">
        <f t="shared" si="173"/>
        <v>2.1814502464536512E-12</v>
      </c>
      <c r="CW174" s="22">
        <f t="shared" si="174"/>
        <v>4.0650021179971913E-12</v>
      </c>
      <c r="CX174" s="62">
        <f t="shared" si="122"/>
        <v>288.73516144466561</v>
      </c>
      <c r="CY174" s="62">
        <f ca="1">AVERAGE(OFFSET($CX$3,0,0,'Données projet'!$E$13+1,1))-AVERAGE(OFFSET($H$3,0,0,'Données projet'!$E$13+1,1))</f>
        <v>346.82725381974132</v>
      </c>
      <c r="CZ174" s="62">
        <f t="shared" si="150"/>
        <v>254.09787950201044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>
        <f>EXP(-LN(2)/35)*DF173+(1-EXP(-LN(2)/35))/(LN(2)/35)*DB174*DC174*VLOOKUP('Données projet'!$B$13,Paramètres!$A$1:$I$89,3,0)*0.475*44/12</f>
        <v>0</v>
      </c>
      <c r="DG174" s="23">
        <f>EXP(-LN(2)/25)*DG173+(1-EXP(-LN(2)/25))/(LN(2)/25)*Calculateur!DB174*Calculateur!DD174*VLOOKUP('Données projet'!$B$13,Paramètres!$A$1:$I$89,3,0)*0.475*44/12</f>
        <v>0</v>
      </c>
      <c r="DH174" s="23">
        <f>EXP(-LN(2)/2)*DH173+(1-EXP(-LN(2)/2))/(LN(2)/2)*DB174*DE174*VLOOKUP('Données projet'!$B$13,Paramètres!$A$1:$I$89,3,0)*0.475*44/12</f>
        <v>0</v>
      </c>
      <c r="DI174" s="24">
        <f t="shared" si="175"/>
        <v>0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5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2">
        <f t="shared" si="140"/>
        <v>0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18.333333333333332</v>
      </c>
      <c r="H175" s="70">
        <f t="shared" si="110"/>
        <v>183.33333333333334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-9.6633812063373625E-13</v>
      </c>
      <c r="O175" s="14">
        <f>N175*VLOOKUP('Données projet'!$B$9,Paramètres!$A$1:$I$89,3,0)*VLOOKUP('Données projet'!$B$9,Paramètres!$A$1:$I$89,5,0)</f>
        <v>-8.7434273154940449E-13</v>
      </c>
      <c r="P175" s="14" t="e">
        <f t="shared" si="141"/>
        <v>#NUM!</v>
      </c>
      <c r="Q175" s="22" t="e">
        <f t="shared" si="162"/>
        <v>#NUM!</v>
      </c>
      <c r="R175" s="62" t="e">
        <f t="shared" si="109"/>
        <v>#NUM!</v>
      </c>
      <c r="S175" s="62">
        <f ca="1">AVERAGE(OFFSET($R$3,0,0,'Données projet'!$E$9+1,1))-AVERAGE(OFFSET($H$3,0,0,'Données projet'!$E$9+1,1))</f>
        <v>469.67944008675863</v>
      </c>
      <c r="T175" s="62">
        <f t="shared" si="142"/>
        <v>266.11908070867173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0</v>
      </c>
      <c r="AA175" s="23">
        <f>EXP(-LN(2)/25)*AA174+(1-EXP(-LN(2)/25))/(LN(2)/25)*Calculateur!V175*Calculateur!X175*VLOOKUP('Données projet'!$B$9,Paramètres!$A$1:$I$89,3,0)*0.475*44/12</f>
        <v>0</v>
      </c>
      <c r="AB175" s="23">
        <f>EXP(-LN(2)/2)*AB174+(1-EXP(-LN(2)/2))/(LN(2)/2)*V175*Y175*VLOOKUP('Données projet'!$B$9,Paramètres!$A$1:$I$89,3,0)*0.475*44/12</f>
        <v>0</v>
      </c>
      <c r="AC175" s="24">
        <f t="shared" si="163"/>
        <v>0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0</v>
      </c>
      <c r="AJ175" s="14">
        <f>AI175*VLOOKUP('Données projet'!$B$10,Paramètres!$A$1:$I$89,3,0)*VLOOKUP('Données projet'!$B$10,Paramètres!$A$1:$I$89,5,0)</f>
        <v>0</v>
      </c>
      <c r="AK175" s="14" t="e">
        <f t="shared" si="164"/>
        <v>#NUM!</v>
      </c>
      <c r="AL175" s="22" t="e">
        <f t="shared" si="165"/>
        <v>#NUM!</v>
      </c>
      <c r="AM175" s="62" t="e">
        <f t="shared" si="113"/>
        <v>#NUM!</v>
      </c>
      <c r="AN175" s="62">
        <f ca="1">AVERAGE(OFFSET($AM$3,0,0,'Données projet'!$E$10+1,1))-AVERAGE(OFFSET($H$3,0,0,'Données projet'!$E$10+1,1))</f>
        <v>400.48230125343474</v>
      </c>
      <c r="AO175" s="62">
        <f t="shared" si="144"/>
        <v>275.67023303885048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0</v>
      </c>
      <c r="AV175" s="23">
        <f>EXP(-LN(2)/25)*AV174+(1-EXP(-LN(2)/25))/(LN(2)/25)*Calculateur!AQ175*Calculateur!AS175*VLOOKUP('Données projet'!$B$10,Paramètres!$A$1:$I$89,3,0)*0.475*44/12</f>
        <v>0</v>
      </c>
      <c r="AW175" s="23">
        <f>EXP(-LN(2)/2)*AW174+(1-EXP(-LN(2)/2))/(LN(2)/2)*AQ175*AT175*VLOOKUP('Données projet'!$B$10,Paramètres!$A$1:$I$89,3,0)*0.475*44/12</f>
        <v>0</v>
      </c>
      <c r="AX175" s="23">
        <f t="shared" si="166"/>
        <v>0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-9.6633812063373625E-13</v>
      </c>
      <c r="BE175" s="14">
        <f>BD175*VLOOKUP('Données projet'!$B$11,Paramètres!$A$1:$I$89,3,0)*VLOOKUP('Données projet'!$B$11,Paramètres!$A$1:$I$89,5,0)</f>
        <v>-9.3464223027694966E-13</v>
      </c>
      <c r="BF175" s="14" t="e">
        <f t="shared" si="167"/>
        <v>#NUM!</v>
      </c>
      <c r="BG175" s="22" t="e">
        <f t="shared" si="168"/>
        <v>#NUM!</v>
      </c>
      <c r="BH175" s="62" t="e">
        <f t="shared" si="116"/>
        <v>#NUM!</v>
      </c>
      <c r="BI175" s="62">
        <f ca="1">AVERAGE(OFFSET($BH$3,0,0,'Données projet'!$E$11+1,1))-AVERAGE(OFFSET($H$3,0,0,'Données projet'!$E$11+1,1))</f>
        <v>496.33873798282525</v>
      </c>
      <c r="BJ175" s="62">
        <f t="shared" si="146"/>
        <v>280.25465074992246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>
        <f>EXP(-LN(2)/35)*BP174+(1-EXP(-LN(2)/35))/(LN(2)/35)*BL175*BM175*VLOOKUP('Données projet'!$B$11,Paramètres!$A$1:$I$89,3,0)*0.475*44/12</f>
        <v>0</v>
      </c>
      <c r="BQ175" s="23">
        <f>EXP(-LN(2)/25)*BQ174+(1-EXP(-LN(2)/25))/(LN(2)/25)*Calculateur!BL175*Calculateur!BN175*VLOOKUP('Données projet'!$B$11,Paramètres!$A$1:$I$89,3,0)*0.475*44/12</f>
        <v>0</v>
      </c>
      <c r="BR175" s="23">
        <f>EXP(-LN(2)/2)*BR174+(1-EXP(-LN(2)/2))/(LN(2)/2)*BL175*BO175*VLOOKUP('Données projet'!$B$11,Paramètres!$A$1:$I$89,3,0)*0.475*44/12</f>
        <v>0</v>
      </c>
      <c r="BS175" s="24">
        <f t="shared" si="169"/>
        <v>0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-1.1368683772161603E-13</v>
      </c>
      <c r="BZ175" s="14">
        <f>BY175*VLOOKUP('Données projet'!$B$12,Paramètres!$A$1:$I$89,3,0)*VLOOKUP('Données projet'!$B$12,Paramètres!$A$1:$I$89,5,0)</f>
        <v>-9.9316821433603781E-14</v>
      </c>
      <c r="CA175" s="14" t="e">
        <f t="shared" si="170"/>
        <v>#NUM!</v>
      </c>
      <c r="CB175" s="22" t="e">
        <f t="shared" si="171"/>
        <v>#NUM!</v>
      </c>
      <c r="CC175" s="62" t="e">
        <f t="shared" si="119"/>
        <v>#NUM!</v>
      </c>
      <c r="CD175" s="62">
        <f ca="1">AVERAGE(OFFSET($CC$3,0,0,'Données projet'!$E$12+1,1))-AVERAGE(OFFSET($H$3,0,0,'Données projet'!$E$12+1,1))</f>
        <v>298.56812743477741</v>
      </c>
      <c r="CE175" s="62">
        <f t="shared" si="148"/>
        <v>276.01618888357268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>
        <f>EXP(-LN(2)/35)*CK174+(1-EXP(-LN(2)/35))/(LN(2)/35)*CG175*CH175*VLOOKUP('Données projet'!$B$12,Paramètres!$A$1:$I$89,3,0)*0.475*44/12</f>
        <v>0</v>
      </c>
      <c r="CL175" s="23">
        <f>EXP(-LN(2)/25)*CL174+(1-EXP(-LN(2)/25))/(LN(2)/25)*Calculateur!CG175*Calculateur!CI175*VLOOKUP('Données projet'!$B$12,Paramètres!$A$1:$I$89,3,0)*0.475*44/12</f>
        <v>0</v>
      </c>
      <c r="CM175" s="23">
        <f>EXP(-LN(2)/2)*CM174+(1-EXP(-LN(2)/2))/(LN(2)/2)*CG175*CJ175*VLOOKUP('Données projet'!$B$12,Paramètres!$A$1:$I$89,3,0)*0.475*44/12</f>
        <v>0</v>
      </c>
      <c r="CN175" s="24">
        <f t="shared" si="172"/>
        <v>0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2.2737367544323206E-13</v>
      </c>
      <c r="CU175" s="18">
        <f>CT175*VLOOKUP('Données projet'!$B$13,Paramètres!$A$1:$I$89,3,0)*VLOOKUP('Données projet'!$B$13,Paramètres!$A$1:$I$89,5,0)</f>
        <v>1.5252226148732008E-13</v>
      </c>
      <c r="CV175" s="14">
        <f t="shared" si="173"/>
        <v>2.1814502464536512E-12</v>
      </c>
      <c r="CW175" s="22">
        <f t="shared" si="174"/>
        <v>4.0650021179971913E-12</v>
      </c>
      <c r="CX175" s="62">
        <f t="shared" si="122"/>
        <v>288.81492944696174</v>
      </c>
      <c r="CY175" s="62">
        <f ca="1">AVERAGE(OFFSET($CX$3,0,0,'Données projet'!$E$13+1,1))-AVERAGE(OFFSET($H$3,0,0,'Données projet'!$E$13+1,1))</f>
        <v>346.82725381974132</v>
      </c>
      <c r="CZ175" s="62">
        <f t="shared" si="150"/>
        <v>254.09787950201044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>
        <f>EXP(-LN(2)/35)*DF174+(1-EXP(-LN(2)/35))/(LN(2)/35)*DB175*DC175*VLOOKUP('Données projet'!$B$13,Paramètres!$A$1:$I$89,3,0)*0.475*44/12</f>
        <v>0</v>
      </c>
      <c r="DG175" s="23">
        <f>EXP(-LN(2)/25)*DG174+(1-EXP(-LN(2)/25))/(LN(2)/25)*Calculateur!DB175*Calculateur!DD175*VLOOKUP('Données projet'!$B$13,Paramètres!$A$1:$I$89,3,0)*0.475*44/12</f>
        <v>0</v>
      </c>
      <c r="DH175" s="23">
        <f>EXP(-LN(2)/2)*DH174+(1-EXP(-LN(2)/2))/(LN(2)/2)*DB175*DE175*VLOOKUP('Données projet'!$B$13,Paramètres!$A$1:$I$89,3,0)*0.475*44/12</f>
        <v>0</v>
      </c>
      <c r="DI175" s="24">
        <f t="shared" si="175"/>
        <v>0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5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2">
        <f t="shared" si="140"/>
        <v>0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18.333333333333332</v>
      </c>
      <c r="H176" s="70">
        <f t="shared" si="110"/>
        <v>183.33333333333334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-9.6633812063373625E-13</v>
      </c>
      <c r="O176" s="14">
        <f>N176*VLOOKUP('Données projet'!$B$9,Paramètres!$A$1:$I$89,3,0)*VLOOKUP('Données projet'!$B$9,Paramètres!$A$1:$I$89,5,0)</f>
        <v>-8.7434273154940449E-13</v>
      </c>
      <c r="P176" s="14" t="e">
        <f t="shared" si="141"/>
        <v>#NUM!</v>
      </c>
      <c r="Q176" s="22" t="e">
        <f t="shared" si="162"/>
        <v>#NUM!</v>
      </c>
      <c r="R176" s="62" t="e">
        <f t="shared" si="109"/>
        <v>#NUM!</v>
      </c>
      <c r="S176" s="62">
        <f ca="1">AVERAGE(OFFSET($R$3,0,0,'Données projet'!$E$9+1,1))-AVERAGE(OFFSET($H$3,0,0,'Données projet'!$E$9+1,1))</f>
        <v>469.67944008675863</v>
      </c>
      <c r="T176" s="62">
        <f t="shared" si="142"/>
        <v>266.11908070867173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0</v>
      </c>
      <c r="AA176" s="23">
        <f>EXP(-LN(2)/25)*AA175+(1-EXP(-LN(2)/25))/(LN(2)/25)*Calculateur!V176*Calculateur!X176*VLOOKUP('Données projet'!$B$9,Paramètres!$A$1:$I$89,3,0)*0.475*44/12</f>
        <v>0</v>
      </c>
      <c r="AB176" s="23">
        <f>EXP(-LN(2)/2)*AB175+(1-EXP(-LN(2)/2))/(LN(2)/2)*V176*Y176*VLOOKUP('Données projet'!$B$9,Paramètres!$A$1:$I$89,3,0)*0.475*44/12</f>
        <v>0</v>
      </c>
      <c r="AC176" s="24">
        <f t="shared" si="163"/>
        <v>0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0</v>
      </c>
      <c r="AJ176" s="14">
        <f>AI176*VLOOKUP('Données projet'!$B$10,Paramètres!$A$1:$I$89,3,0)*VLOOKUP('Données projet'!$B$10,Paramètres!$A$1:$I$89,5,0)</f>
        <v>0</v>
      </c>
      <c r="AK176" s="14" t="e">
        <f t="shared" si="164"/>
        <v>#NUM!</v>
      </c>
      <c r="AL176" s="22" t="e">
        <f t="shared" si="165"/>
        <v>#NUM!</v>
      </c>
      <c r="AM176" s="62" t="e">
        <f t="shared" si="113"/>
        <v>#NUM!</v>
      </c>
      <c r="AN176" s="62">
        <f ca="1">AVERAGE(OFFSET($AM$3,0,0,'Données projet'!$E$10+1,1))-AVERAGE(OFFSET($H$3,0,0,'Données projet'!$E$10+1,1))</f>
        <v>400.48230125343474</v>
      </c>
      <c r="AO176" s="62">
        <f t="shared" si="144"/>
        <v>275.67023303885048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0</v>
      </c>
      <c r="AV176" s="23">
        <f>EXP(-LN(2)/25)*AV175+(1-EXP(-LN(2)/25))/(LN(2)/25)*Calculateur!AQ176*Calculateur!AS176*VLOOKUP('Données projet'!$B$10,Paramètres!$A$1:$I$89,3,0)*0.475*44/12</f>
        <v>0</v>
      </c>
      <c r="AW176" s="23">
        <f>EXP(-LN(2)/2)*AW175+(1-EXP(-LN(2)/2))/(LN(2)/2)*AQ176*AT176*VLOOKUP('Données projet'!$B$10,Paramètres!$A$1:$I$89,3,0)*0.475*44/12</f>
        <v>0</v>
      </c>
      <c r="AX176" s="23">
        <f t="shared" si="166"/>
        <v>0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-9.6633812063373625E-13</v>
      </c>
      <c r="BE176" s="14">
        <f>BD176*VLOOKUP('Données projet'!$B$11,Paramètres!$A$1:$I$89,3,0)*VLOOKUP('Données projet'!$B$11,Paramètres!$A$1:$I$89,5,0)</f>
        <v>-9.3464223027694966E-13</v>
      </c>
      <c r="BF176" s="14" t="e">
        <f t="shared" si="167"/>
        <v>#NUM!</v>
      </c>
      <c r="BG176" s="22" t="e">
        <f t="shared" si="168"/>
        <v>#NUM!</v>
      </c>
      <c r="BH176" s="62" t="e">
        <f t="shared" si="116"/>
        <v>#NUM!</v>
      </c>
      <c r="BI176" s="62">
        <f ca="1">AVERAGE(OFFSET($BH$3,0,0,'Données projet'!$E$11+1,1))-AVERAGE(OFFSET($H$3,0,0,'Données projet'!$E$11+1,1))</f>
        <v>496.33873798282525</v>
      </c>
      <c r="BJ176" s="62">
        <f t="shared" si="146"/>
        <v>280.25465074992246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>
        <f>EXP(-LN(2)/35)*BP175+(1-EXP(-LN(2)/35))/(LN(2)/35)*BL176*BM176*VLOOKUP('Données projet'!$B$11,Paramètres!$A$1:$I$89,3,0)*0.475*44/12</f>
        <v>0</v>
      </c>
      <c r="BQ176" s="23">
        <f>EXP(-LN(2)/25)*BQ175+(1-EXP(-LN(2)/25))/(LN(2)/25)*Calculateur!BL176*Calculateur!BN176*VLOOKUP('Données projet'!$B$11,Paramètres!$A$1:$I$89,3,0)*0.475*44/12</f>
        <v>0</v>
      </c>
      <c r="BR176" s="23">
        <f>EXP(-LN(2)/2)*BR175+(1-EXP(-LN(2)/2))/(LN(2)/2)*BL176*BO176*VLOOKUP('Données projet'!$B$11,Paramètres!$A$1:$I$89,3,0)*0.475*44/12</f>
        <v>0</v>
      </c>
      <c r="BS176" s="24">
        <f t="shared" si="169"/>
        <v>0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-1.1368683772161603E-13</v>
      </c>
      <c r="BZ176" s="14">
        <f>BY176*VLOOKUP('Données projet'!$B$12,Paramètres!$A$1:$I$89,3,0)*VLOOKUP('Données projet'!$B$12,Paramètres!$A$1:$I$89,5,0)</f>
        <v>-9.9316821433603781E-14</v>
      </c>
      <c r="CA176" s="14" t="e">
        <f t="shared" si="170"/>
        <v>#NUM!</v>
      </c>
      <c r="CB176" s="22" t="e">
        <f t="shared" si="171"/>
        <v>#NUM!</v>
      </c>
      <c r="CC176" s="62" t="e">
        <f t="shared" si="119"/>
        <v>#NUM!</v>
      </c>
      <c r="CD176" s="62">
        <f ca="1">AVERAGE(OFFSET($CC$3,0,0,'Données projet'!$E$12+1,1))-AVERAGE(OFFSET($H$3,0,0,'Données projet'!$E$12+1,1))</f>
        <v>298.56812743477741</v>
      </c>
      <c r="CE176" s="62">
        <f t="shared" si="148"/>
        <v>276.01618888357268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>
        <f>EXP(-LN(2)/35)*CK175+(1-EXP(-LN(2)/35))/(LN(2)/35)*CG176*CH176*VLOOKUP('Données projet'!$B$12,Paramètres!$A$1:$I$89,3,0)*0.475*44/12</f>
        <v>0</v>
      </c>
      <c r="CL176" s="23">
        <f>EXP(-LN(2)/25)*CL175+(1-EXP(-LN(2)/25))/(LN(2)/25)*Calculateur!CG176*Calculateur!CI176*VLOOKUP('Données projet'!$B$12,Paramètres!$A$1:$I$89,3,0)*0.475*44/12</f>
        <v>0</v>
      </c>
      <c r="CM176" s="23">
        <f>EXP(-LN(2)/2)*CM175+(1-EXP(-LN(2)/2))/(LN(2)/2)*CG176*CJ176*VLOOKUP('Données projet'!$B$12,Paramètres!$A$1:$I$89,3,0)*0.475*44/12</f>
        <v>0</v>
      </c>
      <c r="CN176" s="24">
        <f t="shared" si="172"/>
        <v>0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2.2737367544323206E-13</v>
      </c>
      <c r="CU176" s="18">
        <f>CT176*VLOOKUP('Données projet'!$B$13,Paramètres!$A$1:$I$89,3,0)*VLOOKUP('Données projet'!$B$13,Paramètres!$A$1:$I$89,5,0)</f>
        <v>1.5252226148732008E-13</v>
      </c>
      <c r="CV176" s="14">
        <f t="shared" si="173"/>
        <v>2.1814502464536512E-12</v>
      </c>
      <c r="CW176" s="22">
        <f t="shared" si="174"/>
        <v>4.0650021179971913E-12</v>
      </c>
      <c r="CX176" s="62">
        <f t="shared" si="122"/>
        <v>288.89331365275257</v>
      </c>
      <c r="CY176" s="62">
        <f ca="1">AVERAGE(OFFSET($CX$3,0,0,'Données projet'!$E$13+1,1))-AVERAGE(OFFSET($H$3,0,0,'Données projet'!$E$13+1,1))</f>
        <v>346.82725381974132</v>
      </c>
      <c r="CZ176" s="62">
        <f t="shared" si="150"/>
        <v>254.09787950201044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>
        <f>EXP(-LN(2)/35)*DF175+(1-EXP(-LN(2)/35))/(LN(2)/35)*DB176*DC176*VLOOKUP('Données projet'!$B$13,Paramètres!$A$1:$I$89,3,0)*0.475*44/12</f>
        <v>0</v>
      </c>
      <c r="DG176" s="23">
        <f>EXP(-LN(2)/25)*DG175+(1-EXP(-LN(2)/25))/(LN(2)/25)*Calculateur!DB176*Calculateur!DD176*VLOOKUP('Données projet'!$B$13,Paramètres!$A$1:$I$89,3,0)*0.475*44/12</f>
        <v>0</v>
      </c>
      <c r="DH176" s="23">
        <f>EXP(-LN(2)/2)*DH175+(1-EXP(-LN(2)/2))/(LN(2)/2)*DB176*DE176*VLOOKUP('Données projet'!$B$13,Paramètres!$A$1:$I$89,3,0)*0.475*44/12</f>
        <v>0</v>
      </c>
      <c r="DI176" s="24">
        <f t="shared" si="175"/>
        <v>0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5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2">
        <f t="shared" si="140"/>
        <v>0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18.333333333333332</v>
      </c>
      <c r="H177" s="70">
        <f t="shared" si="110"/>
        <v>183.33333333333334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-9.6633812063373625E-13</v>
      </c>
      <c r="O177" s="14">
        <f>N177*VLOOKUP('Données projet'!$B$9,Paramètres!$A$1:$I$89,3,0)*VLOOKUP('Données projet'!$B$9,Paramètres!$A$1:$I$89,5,0)</f>
        <v>-8.7434273154940449E-13</v>
      </c>
      <c r="P177" s="14" t="e">
        <f t="shared" si="141"/>
        <v>#NUM!</v>
      </c>
      <c r="Q177" s="22" t="e">
        <f t="shared" si="162"/>
        <v>#NUM!</v>
      </c>
      <c r="R177" s="62" t="e">
        <f t="shared" si="109"/>
        <v>#NUM!</v>
      </c>
      <c r="S177" s="62">
        <f ca="1">AVERAGE(OFFSET($R$3,0,0,'Données projet'!$E$9+1,1))-AVERAGE(OFFSET($H$3,0,0,'Données projet'!$E$9+1,1))</f>
        <v>469.67944008675863</v>
      </c>
      <c r="T177" s="62">
        <f t="shared" si="142"/>
        <v>266.11908070867173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0</v>
      </c>
      <c r="AA177" s="23">
        <f>EXP(-LN(2)/25)*AA176+(1-EXP(-LN(2)/25))/(LN(2)/25)*Calculateur!V177*Calculateur!X177*VLOOKUP('Données projet'!$B$9,Paramètres!$A$1:$I$89,3,0)*0.475*44/12</f>
        <v>0</v>
      </c>
      <c r="AB177" s="23">
        <f>EXP(-LN(2)/2)*AB176+(1-EXP(-LN(2)/2))/(LN(2)/2)*V177*Y177*VLOOKUP('Données projet'!$B$9,Paramètres!$A$1:$I$89,3,0)*0.475*44/12</f>
        <v>0</v>
      </c>
      <c r="AC177" s="24">
        <f t="shared" si="163"/>
        <v>0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0</v>
      </c>
      <c r="AJ177" s="14">
        <f>AI177*VLOOKUP('Données projet'!$B$10,Paramètres!$A$1:$I$89,3,0)*VLOOKUP('Données projet'!$B$10,Paramètres!$A$1:$I$89,5,0)</f>
        <v>0</v>
      </c>
      <c r="AK177" s="14" t="e">
        <f t="shared" si="164"/>
        <v>#NUM!</v>
      </c>
      <c r="AL177" s="22" t="e">
        <f t="shared" si="165"/>
        <v>#NUM!</v>
      </c>
      <c r="AM177" s="62" t="e">
        <f t="shared" si="113"/>
        <v>#NUM!</v>
      </c>
      <c r="AN177" s="62">
        <f ca="1">AVERAGE(OFFSET($AM$3,0,0,'Données projet'!$E$10+1,1))-AVERAGE(OFFSET($H$3,0,0,'Données projet'!$E$10+1,1))</f>
        <v>400.48230125343474</v>
      </c>
      <c r="AO177" s="62">
        <f t="shared" si="144"/>
        <v>275.67023303885048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0</v>
      </c>
      <c r="AV177" s="23">
        <f>EXP(-LN(2)/25)*AV176+(1-EXP(-LN(2)/25))/(LN(2)/25)*Calculateur!AQ177*Calculateur!AS177*VLOOKUP('Données projet'!$B$10,Paramètres!$A$1:$I$89,3,0)*0.475*44/12</f>
        <v>0</v>
      </c>
      <c r="AW177" s="23">
        <f>EXP(-LN(2)/2)*AW176+(1-EXP(-LN(2)/2))/(LN(2)/2)*AQ177*AT177*VLOOKUP('Données projet'!$B$10,Paramètres!$A$1:$I$89,3,0)*0.475*44/12</f>
        <v>0</v>
      </c>
      <c r="AX177" s="23">
        <f t="shared" si="166"/>
        <v>0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-9.6633812063373625E-13</v>
      </c>
      <c r="BE177" s="14">
        <f>BD177*VLOOKUP('Données projet'!$B$11,Paramètres!$A$1:$I$89,3,0)*VLOOKUP('Données projet'!$B$11,Paramètres!$A$1:$I$89,5,0)</f>
        <v>-9.3464223027694966E-13</v>
      </c>
      <c r="BF177" s="14" t="e">
        <f t="shared" si="167"/>
        <v>#NUM!</v>
      </c>
      <c r="BG177" s="22" t="e">
        <f t="shared" si="168"/>
        <v>#NUM!</v>
      </c>
      <c r="BH177" s="62" t="e">
        <f t="shared" si="116"/>
        <v>#NUM!</v>
      </c>
      <c r="BI177" s="62">
        <f ca="1">AVERAGE(OFFSET($BH$3,0,0,'Données projet'!$E$11+1,1))-AVERAGE(OFFSET($H$3,0,0,'Données projet'!$E$11+1,1))</f>
        <v>496.33873798282525</v>
      </c>
      <c r="BJ177" s="62">
        <f t="shared" si="146"/>
        <v>280.25465074992246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>
        <f>EXP(-LN(2)/35)*BP176+(1-EXP(-LN(2)/35))/(LN(2)/35)*BL177*BM177*VLOOKUP('Données projet'!$B$11,Paramètres!$A$1:$I$89,3,0)*0.475*44/12</f>
        <v>0</v>
      </c>
      <c r="BQ177" s="23">
        <f>EXP(-LN(2)/25)*BQ176+(1-EXP(-LN(2)/25))/(LN(2)/25)*Calculateur!BL177*Calculateur!BN177*VLOOKUP('Données projet'!$B$11,Paramètres!$A$1:$I$89,3,0)*0.475*44/12</f>
        <v>0</v>
      </c>
      <c r="BR177" s="23">
        <f>EXP(-LN(2)/2)*BR176+(1-EXP(-LN(2)/2))/(LN(2)/2)*BL177*BO177*VLOOKUP('Données projet'!$B$11,Paramètres!$A$1:$I$89,3,0)*0.475*44/12</f>
        <v>0</v>
      </c>
      <c r="BS177" s="24">
        <f t="shared" si="169"/>
        <v>0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-1.1368683772161603E-13</v>
      </c>
      <c r="BZ177" s="14">
        <f>BY177*VLOOKUP('Données projet'!$B$12,Paramètres!$A$1:$I$89,3,0)*VLOOKUP('Données projet'!$B$12,Paramètres!$A$1:$I$89,5,0)</f>
        <v>-9.9316821433603781E-14</v>
      </c>
      <c r="CA177" s="14" t="e">
        <f t="shared" si="170"/>
        <v>#NUM!</v>
      </c>
      <c r="CB177" s="22" t="e">
        <f t="shared" si="171"/>
        <v>#NUM!</v>
      </c>
      <c r="CC177" s="62" t="e">
        <f t="shared" si="119"/>
        <v>#NUM!</v>
      </c>
      <c r="CD177" s="62">
        <f ca="1">AVERAGE(OFFSET($CC$3,0,0,'Données projet'!$E$12+1,1))-AVERAGE(OFFSET($H$3,0,0,'Données projet'!$E$12+1,1))</f>
        <v>298.56812743477741</v>
      </c>
      <c r="CE177" s="62">
        <f t="shared" si="148"/>
        <v>276.01618888357268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>
        <f>EXP(-LN(2)/35)*CK176+(1-EXP(-LN(2)/35))/(LN(2)/35)*CG177*CH177*VLOOKUP('Données projet'!$B$12,Paramètres!$A$1:$I$89,3,0)*0.475*44/12</f>
        <v>0</v>
      </c>
      <c r="CL177" s="23">
        <f>EXP(-LN(2)/25)*CL176+(1-EXP(-LN(2)/25))/(LN(2)/25)*Calculateur!CG177*Calculateur!CI177*VLOOKUP('Données projet'!$B$12,Paramètres!$A$1:$I$89,3,0)*0.475*44/12</f>
        <v>0</v>
      </c>
      <c r="CM177" s="23">
        <f>EXP(-LN(2)/2)*CM176+(1-EXP(-LN(2)/2))/(LN(2)/2)*CG177*CJ177*VLOOKUP('Données projet'!$B$12,Paramètres!$A$1:$I$89,3,0)*0.475*44/12</f>
        <v>0</v>
      </c>
      <c r="CN177" s="24">
        <f t="shared" si="172"/>
        <v>0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2.2737367544323206E-13</v>
      </c>
      <c r="CU177" s="18">
        <f>CT177*VLOOKUP('Données projet'!$B$13,Paramètres!$A$1:$I$89,3,0)*VLOOKUP('Données projet'!$B$13,Paramètres!$A$1:$I$89,5,0)</f>
        <v>1.5252226148732008E-13</v>
      </c>
      <c r="CV177" s="14">
        <f t="shared" si="173"/>
        <v>2.1814502464536512E-12</v>
      </c>
      <c r="CW177" s="22">
        <f t="shared" si="174"/>
        <v>4.0650021179971913E-12</v>
      </c>
      <c r="CX177" s="62">
        <f t="shared" si="122"/>
        <v>288.97033806781383</v>
      </c>
      <c r="CY177" s="62">
        <f ca="1">AVERAGE(OFFSET($CX$3,0,0,'Données projet'!$E$13+1,1))-AVERAGE(OFFSET($H$3,0,0,'Données projet'!$E$13+1,1))</f>
        <v>346.82725381974132</v>
      </c>
      <c r="CZ177" s="62">
        <f t="shared" si="150"/>
        <v>254.09787950201044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>
        <f>EXP(-LN(2)/35)*DF176+(1-EXP(-LN(2)/35))/(LN(2)/35)*DB177*DC177*VLOOKUP('Données projet'!$B$13,Paramètres!$A$1:$I$89,3,0)*0.475*44/12</f>
        <v>0</v>
      </c>
      <c r="DG177" s="23">
        <f>EXP(-LN(2)/25)*DG176+(1-EXP(-LN(2)/25))/(LN(2)/25)*Calculateur!DB177*Calculateur!DD177*VLOOKUP('Données projet'!$B$13,Paramètres!$A$1:$I$89,3,0)*0.475*44/12</f>
        <v>0</v>
      </c>
      <c r="DH177" s="23">
        <f>EXP(-LN(2)/2)*DH176+(1-EXP(-LN(2)/2))/(LN(2)/2)*DB177*DE177*VLOOKUP('Données projet'!$B$13,Paramètres!$A$1:$I$89,3,0)*0.475*44/12</f>
        <v>0</v>
      </c>
      <c r="DI177" s="24">
        <f t="shared" si="175"/>
        <v>0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5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2">
        <f t="shared" si="140"/>
        <v>0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18.333333333333332</v>
      </c>
      <c r="H178" s="70">
        <f t="shared" si="110"/>
        <v>183.33333333333334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-9.6633812063373625E-13</v>
      </c>
      <c r="O178" s="14">
        <f>N178*VLOOKUP('Données projet'!$B$9,Paramètres!$A$1:$I$89,3,0)*VLOOKUP('Données projet'!$B$9,Paramètres!$A$1:$I$89,5,0)</f>
        <v>-8.7434273154940449E-13</v>
      </c>
      <c r="P178" s="14" t="e">
        <f t="shared" si="141"/>
        <v>#NUM!</v>
      </c>
      <c r="Q178" s="22" t="e">
        <f t="shared" si="162"/>
        <v>#NUM!</v>
      </c>
      <c r="R178" s="62" t="e">
        <f t="shared" si="109"/>
        <v>#NUM!</v>
      </c>
      <c r="S178" s="62">
        <f ca="1">AVERAGE(OFFSET($R$3,0,0,'Données projet'!$E$9+1,1))-AVERAGE(OFFSET($H$3,0,0,'Données projet'!$E$9+1,1))</f>
        <v>469.67944008675863</v>
      </c>
      <c r="T178" s="62">
        <f t="shared" si="142"/>
        <v>266.11908070867173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0</v>
      </c>
      <c r="AA178" s="23">
        <f>EXP(-LN(2)/25)*AA177+(1-EXP(-LN(2)/25))/(LN(2)/25)*Calculateur!V178*Calculateur!X178*VLOOKUP('Données projet'!$B$9,Paramètres!$A$1:$I$89,3,0)*0.475*44/12</f>
        <v>0</v>
      </c>
      <c r="AB178" s="23">
        <f>EXP(-LN(2)/2)*AB177+(1-EXP(-LN(2)/2))/(LN(2)/2)*V178*Y178*VLOOKUP('Données projet'!$B$9,Paramètres!$A$1:$I$89,3,0)*0.475*44/12</f>
        <v>0</v>
      </c>
      <c r="AC178" s="24">
        <f t="shared" si="163"/>
        <v>0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0</v>
      </c>
      <c r="AJ178" s="14">
        <f>AI178*VLOOKUP('Données projet'!$B$10,Paramètres!$A$1:$I$89,3,0)*VLOOKUP('Données projet'!$B$10,Paramètres!$A$1:$I$89,5,0)</f>
        <v>0</v>
      </c>
      <c r="AK178" s="14" t="e">
        <f t="shared" si="164"/>
        <v>#NUM!</v>
      </c>
      <c r="AL178" s="22" t="e">
        <f t="shared" si="165"/>
        <v>#NUM!</v>
      </c>
      <c r="AM178" s="62" t="e">
        <f t="shared" si="113"/>
        <v>#NUM!</v>
      </c>
      <c r="AN178" s="62">
        <f ca="1">AVERAGE(OFFSET($AM$3,0,0,'Données projet'!$E$10+1,1))-AVERAGE(OFFSET($H$3,0,0,'Données projet'!$E$10+1,1))</f>
        <v>400.48230125343474</v>
      </c>
      <c r="AO178" s="62">
        <f t="shared" si="144"/>
        <v>275.67023303885048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0</v>
      </c>
      <c r="AV178" s="23">
        <f>EXP(-LN(2)/25)*AV177+(1-EXP(-LN(2)/25))/(LN(2)/25)*Calculateur!AQ178*Calculateur!AS178*VLOOKUP('Données projet'!$B$10,Paramètres!$A$1:$I$89,3,0)*0.475*44/12</f>
        <v>0</v>
      </c>
      <c r="AW178" s="23">
        <f>EXP(-LN(2)/2)*AW177+(1-EXP(-LN(2)/2))/(LN(2)/2)*AQ178*AT178*VLOOKUP('Données projet'!$B$10,Paramètres!$A$1:$I$89,3,0)*0.475*44/12</f>
        <v>0</v>
      </c>
      <c r="AX178" s="23">
        <f t="shared" si="166"/>
        <v>0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-9.6633812063373625E-13</v>
      </c>
      <c r="BE178" s="14">
        <f>BD178*VLOOKUP('Données projet'!$B$11,Paramètres!$A$1:$I$89,3,0)*VLOOKUP('Données projet'!$B$11,Paramètres!$A$1:$I$89,5,0)</f>
        <v>-9.3464223027694966E-13</v>
      </c>
      <c r="BF178" s="14" t="e">
        <f t="shared" si="167"/>
        <v>#NUM!</v>
      </c>
      <c r="BG178" s="22" t="e">
        <f t="shared" si="168"/>
        <v>#NUM!</v>
      </c>
      <c r="BH178" s="62" t="e">
        <f t="shared" si="116"/>
        <v>#NUM!</v>
      </c>
      <c r="BI178" s="62">
        <f ca="1">AVERAGE(OFFSET($BH$3,0,0,'Données projet'!$E$11+1,1))-AVERAGE(OFFSET($H$3,0,0,'Données projet'!$E$11+1,1))</f>
        <v>496.33873798282525</v>
      </c>
      <c r="BJ178" s="62">
        <f t="shared" si="146"/>
        <v>280.25465074992246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>
        <f>EXP(-LN(2)/35)*BP177+(1-EXP(-LN(2)/35))/(LN(2)/35)*BL178*BM178*VLOOKUP('Données projet'!$B$11,Paramètres!$A$1:$I$89,3,0)*0.475*44/12</f>
        <v>0</v>
      </c>
      <c r="BQ178" s="23">
        <f>EXP(-LN(2)/25)*BQ177+(1-EXP(-LN(2)/25))/(LN(2)/25)*Calculateur!BL178*Calculateur!BN178*VLOOKUP('Données projet'!$B$11,Paramètres!$A$1:$I$89,3,0)*0.475*44/12</f>
        <v>0</v>
      </c>
      <c r="BR178" s="23">
        <f>EXP(-LN(2)/2)*BR177+(1-EXP(-LN(2)/2))/(LN(2)/2)*BL178*BO178*VLOOKUP('Données projet'!$B$11,Paramètres!$A$1:$I$89,3,0)*0.475*44/12</f>
        <v>0</v>
      </c>
      <c r="BS178" s="24">
        <f t="shared" si="169"/>
        <v>0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-1.1368683772161603E-13</v>
      </c>
      <c r="BZ178" s="14">
        <f>BY178*VLOOKUP('Données projet'!$B$12,Paramètres!$A$1:$I$89,3,0)*VLOOKUP('Données projet'!$B$12,Paramètres!$A$1:$I$89,5,0)</f>
        <v>-9.9316821433603781E-14</v>
      </c>
      <c r="CA178" s="14" t="e">
        <f t="shared" si="170"/>
        <v>#NUM!</v>
      </c>
      <c r="CB178" s="22" t="e">
        <f t="shared" si="171"/>
        <v>#NUM!</v>
      </c>
      <c r="CC178" s="62" t="e">
        <f t="shared" si="119"/>
        <v>#NUM!</v>
      </c>
      <c r="CD178" s="62">
        <f ca="1">AVERAGE(OFFSET($CC$3,0,0,'Données projet'!$E$12+1,1))-AVERAGE(OFFSET($H$3,0,0,'Données projet'!$E$12+1,1))</f>
        <v>298.56812743477741</v>
      </c>
      <c r="CE178" s="62">
        <f t="shared" si="148"/>
        <v>276.01618888357268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>
        <f>EXP(-LN(2)/35)*CK177+(1-EXP(-LN(2)/35))/(LN(2)/35)*CG178*CH178*VLOOKUP('Données projet'!$B$12,Paramètres!$A$1:$I$89,3,0)*0.475*44/12</f>
        <v>0</v>
      </c>
      <c r="CL178" s="23">
        <f>EXP(-LN(2)/25)*CL177+(1-EXP(-LN(2)/25))/(LN(2)/25)*Calculateur!CG178*Calculateur!CI178*VLOOKUP('Données projet'!$B$12,Paramètres!$A$1:$I$89,3,0)*0.475*44/12</f>
        <v>0</v>
      </c>
      <c r="CM178" s="23">
        <f>EXP(-LN(2)/2)*CM177+(1-EXP(-LN(2)/2))/(LN(2)/2)*CG178*CJ178*VLOOKUP('Données projet'!$B$12,Paramètres!$A$1:$I$89,3,0)*0.475*44/12</f>
        <v>0</v>
      </c>
      <c r="CN178" s="24">
        <f t="shared" si="172"/>
        <v>0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2.2737367544323206E-13</v>
      </c>
      <c r="CU178" s="18">
        <f>CT178*VLOOKUP('Données projet'!$B$13,Paramètres!$A$1:$I$89,3,0)*VLOOKUP('Données projet'!$B$13,Paramètres!$A$1:$I$89,5,0)</f>
        <v>1.5252226148732008E-13</v>
      </c>
      <c r="CV178" s="14">
        <f t="shared" si="173"/>
        <v>2.1814502464536512E-12</v>
      </c>
      <c r="CW178" s="22">
        <f t="shared" si="174"/>
        <v>4.0650021179971913E-12</v>
      </c>
      <c r="CX178" s="62">
        <f t="shared" si="122"/>
        <v>289.0460262814745</v>
      </c>
      <c r="CY178" s="62">
        <f ca="1">AVERAGE(OFFSET($CX$3,0,0,'Données projet'!$E$13+1,1))-AVERAGE(OFFSET($H$3,0,0,'Données projet'!$E$13+1,1))</f>
        <v>346.82725381974132</v>
      </c>
      <c r="CZ178" s="62">
        <f t="shared" si="150"/>
        <v>254.09787950201044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>
        <f>EXP(-LN(2)/35)*DF177+(1-EXP(-LN(2)/35))/(LN(2)/35)*DB178*DC178*VLOOKUP('Données projet'!$B$13,Paramètres!$A$1:$I$89,3,0)*0.475*44/12</f>
        <v>0</v>
      </c>
      <c r="DG178" s="23">
        <f>EXP(-LN(2)/25)*DG177+(1-EXP(-LN(2)/25))/(LN(2)/25)*Calculateur!DB178*Calculateur!DD178*VLOOKUP('Données projet'!$B$13,Paramètres!$A$1:$I$89,3,0)*0.475*44/12</f>
        <v>0</v>
      </c>
      <c r="DH178" s="23">
        <f>EXP(-LN(2)/2)*DH177+(1-EXP(-LN(2)/2))/(LN(2)/2)*DB178*DE178*VLOOKUP('Données projet'!$B$13,Paramètres!$A$1:$I$89,3,0)*0.475*44/12</f>
        <v>0</v>
      </c>
      <c r="DI178" s="24">
        <f t="shared" si="175"/>
        <v>0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5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2">
        <f t="shared" si="140"/>
        <v>0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18.333333333333332</v>
      </c>
      <c r="H179" s="70">
        <f t="shared" si="110"/>
        <v>183.33333333333334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-9.6633812063373625E-13</v>
      </c>
      <c r="O179" s="14">
        <f>N179*VLOOKUP('Données projet'!$B$9,Paramètres!$A$1:$I$89,3,0)*VLOOKUP('Données projet'!$B$9,Paramètres!$A$1:$I$89,5,0)</f>
        <v>-8.7434273154940449E-13</v>
      </c>
      <c r="P179" s="14" t="e">
        <f t="shared" si="141"/>
        <v>#NUM!</v>
      </c>
      <c r="Q179" s="22" t="e">
        <f t="shared" si="162"/>
        <v>#NUM!</v>
      </c>
      <c r="R179" s="62" t="e">
        <f t="shared" si="109"/>
        <v>#NUM!</v>
      </c>
      <c r="S179" s="62">
        <f ca="1">AVERAGE(OFFSET($R$3,0,0,'Données projet'!$E$9+1,1))-AVERAGE(OFFSET($H$3,0,0,'Données projet'!$E$9+1,1))</f>
        <v>469.67944008675863</v>
      </c>
      <c r="T179" s="62">
        <f t="shared" si="142"/>
        <v>266.11908070867173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0</v>
      </c>
      <c r="AA179" s="23">
        <f>EXP(-LN(2)/25)*AA178+(1-EXP(-LN(2)/25))/(LN(2)/25)*Calculateur!V179*Calculateur!X179*VLOOKUP('Données projet'!$B$9,Paramètres!$A$1:$I$89,3,0)*0.475*44/12</f>
        <v>0</v>
      </c>
      <c r="AB179" s="23">
        <f>EXP(-LN(2)/2)*AB178+(1-EXP(-LN(2)/2))/(LN(2)/2)*V179*Y179*VLOOKUP('Données projet'!$B$9,Paramètres!$A$1:$I$89,3,0)*0.475*44/12</f>
        <v>0</v>
      </c>
      <c r="AC179" s="24">
        <f t="shared" si="163"/>
        <v>0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0</v>
      </c>
      <c r="AJ179" s="14">
        <f>AI179*VLOOKUP('Données projet'!$B$10,Paramètres!$A$1:$I$89,3,0)*VLOOKUP('Données projet'!$B$10,Paramètres!$A$1:$I$89,5,0)</f>
        <v>0</v>
      </c>
      <c r="AK179" s="14" t="e">
        <f t="shared" si="164"/>
        <v>#NUM!</v>
      </c>
      <c r="AL179" s="22" t="e">
        <f t="shared" si="165"/>
        <v>#NUM!</v>
      </c>
      <c r="AM179" s="62" t="e">
        <f t="shared" si="113"/>
        <v>#NUM!</v>
      </c>
      <c r="AN179" s="62">
        <f ca="1">AVERAGE(OFFSET($AM$3,0,0,'Données projet'!$E$10+1,1))-AVERAGE(OFFSET($H$3,0,0,'Données projet'!$E$10+1,1))</f>
        <v>400.48230125343474</v>
      </c>
      <c r="AO179" s="62">
        <f t="shared" si="144"/>
        <v>275.67023303885048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0</v>
      </c>
      <c r="AV179" s="23">
        <f>EXP(-LN(2)/25)*AV178+(1-EXP(-LN(2)/25))/(LN(2)/25)*Calculateur!AQ179*Calculateur!AS179*VLOOKUP('Données projet'!$B$10,Paramètres!$A$1:$I$89,3,0)*0.475*44/12</f>
        <v>0</v>
      </c>
      <c r="AW179" s="23">
        <f>EXP(-LN(2)/2)*AW178+(1-EXP(-LN(2)/2))/(LN(2)/2)*AQ179*AT179*VLOOKUP('Données projet'!$B$10,Paramètres!$A$1:$I$89,3,0)*0.475*44/12</f>
        <v>0</v>
      </c>
      <c r="AX179" s="23">
        <f t="shared" si="166"/>
        <v>0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-9.6633812063373625E-13</v>
      </c>
      <c r="BE179" s="14">
        <f>BD179*VLOOKUP('Données projet'!$B$11,Paramètres!$A$1:$I$89,3,0)*VLOOKUP('Données projet'!$B$11,Paramètres!$A$1:$I$89,5,0)</f>
        <v>-9.3464223027694966E-13</v>
      </c>
      <c r="BF179" s="14" t="e">
        <f t="shared" si="167"/>
        <v>#NUM!</v>
      </c>
      <c r="BG179" s="22" t="e">
        <f t="shared" si="168"/>
        <v>#NUM!</v>
      </c>
      <c r="BH179" s="62" t="e">
        <f t="shared" si="116"/>
        <v>#NUM!</v>
      </c>
      <c r="BI179" s="62">
        <f ca="1">AVERAGE(OFFSET($BH$3,0,0,'Données projet'!$E$11+1,1))-AVERAGE(OFFSET($H$3,0,0,'Données projet'!$E$11+1,1))</f>
        <v>496.33873798282525</v>
      </c>
      <c r="BJ179" s="62">
        <f t="shared" si="146"/>
        <v>280.25465074992246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>
        <f>EXP(-LN(2)/35)*BP178+(1-EXP(-LN(2)/35))/(LN(2)/35)*BL179*BM179*VLOOKUP('Données projet'!$B$11,Paramètres!$A$1:$I$89,3,0)*0.475*44/12</f>
        <v>0</v>
      </c>
      <c r="BQ179" s="23">
        <f>EXP(-LN(2)/25)*BQ178+(1-EXP(-LN(2)/25))/(LN(2)/25)*Calculateur!BL179*Calculateur!BN179*VLOOKUP('Données projet'!$B$11,Paramètres!$A$1:$I$89,3,0)*0.475*44/12</f>
        <v>0</v>
      </c>
      <c r="BR179" s="23">
        <f>EXP(-LN(2)/2)*BR178+(1-EXP(-LN(2)/2))/(LN(2)/2)*BL179*BO179*VLOOKUP('Données projet'!$B$11,Paramètres!$A$1:$I$89,3,0)*0.475*44/12</f>
        <v>0</v>
      </c>
      <c r="BS179" s="24">
        <f t="shared" si="169"/>
        <v>0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-1.1368683772161603E-13</v>
      </c>
      <c r="BZ179" s="14">
        <f>BY179*VLOOKUP('Données projet'!$B$12,Paramètres!$A$1:$I$89,3,0)*VLOOKUP('Données projet'!$B$12,Paramètres!$A$1:$I$89,5,0)</f>
        <v>-9.9316821433603781E-14</v>
      </c>
      <c r="CA179" s="14" t="e">
        <f t="shared" si="170"/>
        <v>#NUM!</v>
      </c>
      <c r="CB179" s="22" t="e">
        <f t="shared" si="171"/>
        <v>#NUM!</v>
      </c>
      <c r="CC179" s="62" t="e">
        <f t="shared" si="119"/>
        <v>#NUM!</v>
      </c>
      <c r="CD179" s="62">
        <f ca="1">AVERAGE(OFFSET($CC$3,0,0,'Données projet'!$E$12+1,1))-AVERAGE(OFFSET($H$3,0,0,'Données projet'!$E$12+1,1))</f>
        <v>298.56812743477741</v>
      </c>
      <c r="CE179" s="62">
        <f t="shared" si="148"/>
        <v>276.01618888357268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>
        <f>EXP(-LN(2)/35)*CK178+(1-EXP(-LN(2)/35))/(LN(2)/35)*CG179*CH179*VLOOKUP('Données projet'!$B$12,Paramètres!$A$1:$I$89,3,0)*0.475*44/12</f>
        <v>0</v>
      </c>
      <c r="CL179" s="23">
        <f>EXP(-LN(2)/25)*CL178+(1-EXP(-LN(2)/25))/(LN(2)/25)*Calculateur!CG179*Calculateur!CI179*VLOOKUP('Données projet'!$B$12,Paramètres!$A$1:$I$89,3,0)*0.475*44/12</f>
        <v>0</v>
      </c>
      <c r="CM179" s="23">
        <f>EXP(-LN(2)/2)*CM178+(1-EXP(-LN(2)/2))/(LN(2)/2)*CG179*CJ179*VLOOKUP('Données projet'!$B$12,Paramètres!$A$1:$I$89,3,0)*0.475*44/12</f>
        <v>0</v>
      </c>
      <c r="CN179" s="24">
        <f t="shared" si="172"/>
        <v>0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2.2737367544323206E-13</v>
      </c>
      <c r="CU179" s="18">
        <f>CT179*VLOOKUP('Données projet'!$B$13,Paramètres!$A$1:$I$89,3,0)*VLOOKUP('Données projet'!$B$13,Paramètres!$A$1:$I$89,5,0)</f>
        <v>1.5252226148732008E-13</v>
      </c>
      <c r="CV179" s="14">
        <f t="shared" si="173"/>
        <v>2.1814502464536512E-12</v>
      </c>
      <c r="CW179" s="22">
        <f t="shared" si="174"/>
        <v>4.0650021179971913E-12</v>
      </c>
      <c r="CX179" s="62">
        <f t="shared" si="122"/>
        <v>289.1204014738417</v>
      </c>
      <c r="CY179" s="62">
        <f ca="1">AVERAGE(OFFSET($CX$3,0,0,'Données projet'!$E$13+1,1))-AVERAGE(OFFSET($H$3,0,0,'Données projet'!$E$13+1,1))</f>
        <v>346.82725381974132</v>
      </c>
      <c r="CZ179" s="62">
        <f t="shared" si="150"/>
        <v>254.09787950201044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>
        <f>EXP(-LN(2)/35)*DF178+(1-EXP(-LN(2)/35))/(LN(2)/35)*DB179*DC179*VLOOKUP('Données projet'!$B$13,Paramètres!$A$1:$I$89,3,0)*0.475*44/12</f>
        <v>0</v>
      </c>
      <c r="DG179" s="23">
        <f>EXP(-LN(2)/25)*DG178+(1-EXP(-LN(2)/25))/(LN(2)/25)*Calculateur!DB179*Calculateur!DD179*VLOOKUP('Données projet'!$B$13,Paramètres!$A$1:$I$89,3,0)*0.475*44/12</f>
        <v>0</v>
      </c>
      <c r="DH179" s="23">
        <f>EXP(-LN(2)/2)*DH178+(1-EXP(-LN(2)/2))/(LN(2)/2)*DB179*DE179*VLOOKUP('Données projet'!$B$13,Paramètres!$A$1:$I$89,3,0)*0.475*44/12</f>
        <v>0</v>
      </c>
      <c r="DI179" s="24">
        <f t="shared" si="175"/>
        <v>0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5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2">
        <f t="shared" si="140"/>
        <v>0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18.333333333333332</v>
      </c>
      <c r="H180" s="70">
        <f t="shared" si="110"/>
        <v>183.33333333333334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-9.6633812063373625E-13</v>
      </c>
      <c r="O180" s="14">
        <f>N180*VLOOKUP('Données projet'!$B$9,Paramètres!$A$1:$I$89,3,0)*VLOOKUP('Données projet'!$B$9,Paramètres!$A$1:$I$89,5,0)</f>
        <v>-8.7434273154940449E-13</v>
      </c>
      <c r="P180" s="14" t="e">
        <f t="shared" si="141"/>
        <v>#NUM!</v>
      </c>
      <c r="Q180" s="22" t="e">
        <f t="shared" si="162"/>
        <v>#NUM!</v>
      </c>
      <c r="R180" s="62" t="e">
        <f t="shared" si="109"/>
        <v>#NUM!</v>
      </c>
      <c r="S180" s="62">
        <f ca="1">AVERAGE(OFFSET($R$3,0,0,'Données projet'!$E$9+1,1))-AVERAGE(OFFSET($H$3,0,0,'Données projet'!$E$9+1,1))</f>
        <v>469.67944008675863</v>
      </c>
      <c r="T180" s="62">
        <f t="shared" si="142"/>
        <v>266.11908070867173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0</v>
      </c>
      <c r="AA180" s="23">
        <f>EXP(-LN(2)/25)*AA179+(1-EXP(-LN(2)/25))/(LN(2)/25)*Calculateur!V180*Calculateur!X180*VLOOKUP('Données projet'!$B$9,Paramètres!$A$1:$I$89,3,0)*0.475*44/12</f>
        <v>0</v>
      </c>
      <c r="AB180" s="23">
        <f>EXP(-LN(2)/2)*AB179+(1-EXP(-LN(2)/2))/(LN(2)/2)*V180*Y180*VLOOKUP('Données projet'!$B$9,Paramètres!$A$1:$I$89,3,0)*0.475*44/12</f>
        <v>0</v>
      </c>
      <c r="AC180" s="24">
        <f t="shared" si="163"/>
        <v>0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0</v>
      </c>
      <c r="AJ180" s="14">
        <f>AI180*VLOOKUP('Données projet'!$B$10,Paramètres!$A$1:$I$89,3,0)*VLOOKUP('Données projet'!$B$10,Paramètres!$A$1:$I$89,5,0)</f>
        <v>0</v>
      </c>
      <c r="AK180" s="14" t="e">
        <f t="shared" si="164"/>
        <v>#NUM!</v>
      </c>
      <c r="AL180" s="22" t="e">
        <f t="shared" si="165"/>
        <v>#NUM!</v>
      </c>
      <c r="AM180" s="62" t="e">
        <f t="shared" si="113"/>
        <v>#NUM!</v>
      </c>
      <c r="AN180" s="62">
        <f ca="1">AVERAGE(OFFSET($AM$3,0,0,'Données projet'!$E$10+1,1))-AVERAGE(OFFSET($H$3,0,0,'Données projet'!$E$10+1,1))</f>
        <v>400.48230125343474</v>
      </c>
      <c r="AO180" s="62">
        <f t="shared" si="144"/>
        <v>275.67023303885048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0</v>
      </c>
      <c r="AV180" s="23">
        <f>EXP(-LN(2)/25)*AV179+(1-EXP(-LN(2)/25))/(LN(2)/25)*Calculateur!AQ180*Calculateur!AS180*VLOOKUP('Données projet'!$B$10,Paramètres!$A$1:$I$89,3,0)*0.475*44/12</f>
        <v>0</v>
      </c>
      <c r="AW180" s="23">
        <f>EXP(-LN(2)/2)*AW179+(1-EXP(-LN(2)/2))/(LN(2)/2)*AQ180*AT180*VLOOKUP('Données projet'!$B$10,Paramètres!$A$1:$I$89,3,0)*0.475*44/12</f>
        <v>0</v>
      </c>
      <c r="AX180" s="23">
        <f t="shared" si="166"/>
        <v>0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-9.6633812063373625E-13</v>
      </c>
      <c r="BE180" s="14">
        <f>BD180*VLOOKUP('Données projet'!$B$11,Paramètres!$A$1:$I$89,3,0)*VLOOKUP('Données projet'!$B$11,Paramètres!$A$1:$I$89,5,0)</f>
        <v>-9.3464223027694966E-13</v>
      </c>
      <c r="BF180" s="14" t="e">
        <f t="shared" si="167"/>
        <v>#NUM!</v>
      </c>
      <c r="BG180" s="22" t="e">
        <f t="shared" si="168"/>
        <v>#NUM!</v>
      </c>
      <c r="BH180" s="62" t="e">
        <f t="shared" si="116"/>
        <v>#NUM!</v>
      </c>
      <c r="BI180" s="62">
        <f ca="1">AVERAGE(OFFSET($BH$3,0,0,'Données projet'!$E$11+1,1))-AVERAGE(OFFSET($H$3,0,0,'Données projet'!$E$11+1,1))</f>
        <v>496.33873798282525</v>
      </c>
      <c r="BJ180" s="62">
        <f t="shared" si="146"/>
        <v>280.25465074992246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>
        <f>EXP(-LN(2)/35)*BP179+(1-EXP(-LN(2)/35))/(LN(2)/35)*BL180*BM180*VLOOKUP('Données projet'!$B$11,Paramètres!$A$1:$I$89,3,0)*0.475*44/12</f>
        <v>0</v>
      </c>
      <c r="BQ180" s="23">
        <f>EXP(-LN(2)/25)*BQ179+(1-EXP(-LN(2)/25))/(LN(2)/25)*Calculateur!BL180*Calculateur!BN180*VLOOKUP('Données projet'!$B$11,Paramètres!$A$1:$I$89,3,0)*0.475*44/12</f>
        <v>0</v>
      </c>
      <c r="BR180" s="23">
        <f>EXP(-LN(2)/2)*BR179+(1-EXP(-LN(2)/2))/(LN(2)/2)*BL180*BO180*VLOOKUP('Données projet'!$B$11,Paramètres!$A$1:$I$89,3,0)*0.475*44/12</f>
        <v>0</v>
      </c>
      <c r="BS180" s="24">
        <f t="shared" si="169"/>
        <v>0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-1.1368683772161603E-13</v>
      </c>
      <c r="BZ180" s="14">
        <f>BY180*VLOOKUP('Données projet'!$B$12,Paramètres!$A$1:$I$89,3,0)*VLOOKUP('Données projet'!$B$12,Paramètres!$A$1:$I$89,5,0)</f>
        <v>-9.9316821433603781E-14</v>
      </c>
      <c r="CA180" s="14" t="e">
        <f t="shared" si="170"/>
        <v>#NUM!</v>
      </c>
      <c r="CB180" s="22" t="e">
        <f t="shared" si="171"/>
        <v>#NUM!</v>
      </c>
      <c r="CC180" s="62" t="e">
        <f t="shared" si="119"/>
        <v>#NUM!</v>
      </c>
      <c r="CD180" s="62">
        <f ca="1">AVERAGE(OFFSET($CC$3,0,0,'Données projet'!$E$12+1,1))-AVERAGE(OFFSET($H$3,0,0,'Données projet'!$E$12+1,1))</f>
        <v>298.56812743477741</v>
      </c>
      <c r="CE180" s="62">
        <f t="shared" si="148"/>
        <v>276.01618888357268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>
        <f>EXP(-LN(2)/35)*CK179+(1-EXP(-LN(2)/35))/(LN(2)/35)*CG180*CH180*VLOOKUP('Données projet'!$B$12,Paramètres!$A$1:$I$89,3,0)*0.475*44/12</f>
        <v>0</v>
      </c>
      <c r="CL180" s="23">
        <f>EXP(-LN(2)/25)*CL179+(1-EXP(-LN(2)/25))/(LN(2)/25)*Calculateur!CG180*Calculateur!CI180*VLOOKUP('Données projet'!$B$12,Paramètres!$A$1:$I$89,3,0)*0.475*44/12</f>
        <v>0</v>
      </c>
      <c r="CM180" s="23">
        <f>EXP(-LN(2)/2)*CM179+(1-EXP(-LN(2)/2))/(LN(2)/2)*CG180*CJ180*VLOOKUP('Données projet'!$B$12,Paramètres!$A$1:$I$89,3,0)*0.475*44/12</f>
        <v>0</v>
      </c>
      <c r="CN180" s="24">
        <f t="shared" si="172"/>
        <v>0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2.2737367544323206E-13</v>
      </c>
      <c r="CU180" s="18">
        <f>CT180*VLOOKUP('Données projet'!$B$13,Paramètres!$A$1:$I$89,3,0)*VLOOKUP('Données projet'!$B$13,Paramètres!$A$1:$I$89,5,0)</f>
        <v>1.5252226148732008E-13</v>
      </c>
      <c r="CV180" s="14">
        <f t="shared" si="173"/>
        <v>2.1814502464536512E-12</v>
      </c>
      <c r="CW180" s="22">
        <f t="shared" si="174"/>
        <v>4.0650021179971913E-12</v>
      </c>
      <c r="CX180" s="62">
        <f t="shared" si="122"/>
        <v>289.19348642289935</v>
      </c>
      <c r="CY180" s="62">
        <f ca="1">AVERAGE(OFFSET($CX$3,0,0,'Données projet'!$E$13+1,1))-AVERAGE(OFFSET($H$3,0,0,'Données projet'!$E$13+1,1))</f>
        <v>346.82725381974132</v>
      </c>
      <c r="CZ180" s="62">
        <f t="shared" si="150"/>
        <v>254.09787950201044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>
        <f>EXP(-LN(2)/35)*DF179+(1-EXP(-LN(2)/35))/(LN(2)/35)*DB180*DC180*VLOOKUP('Données projet'!$B$13,Paramètres!$A$1:$I$89,3,0)*0.475*44/12</f>
        <v>0</v>
      </c>
      <c r="DG180" s="23">
        <f>EXP(-LN(2)/25)*DG179+(1-EXP(-LN(2)/25))/(LN(2)/25)*Calculateur!DB180*Calculateur!DD180*VLOOKUP('Données projet'!$B$13,Paramètres!$A$1:$I$89,3,0)*0.475*44/12</f>
        <v>0</v>
      </c>
      <c r="DH180" s="23">
        <f>EXP(-LN(2)/2)*DH179+(1-EXP(-LN(2)/2))/(LN(2)/2)*DB180*DE180*VLOOKUP('Données projet'!$B$13,Paramètres!$A$1:$I$89,3,0)*0.475*44/12</f>
        <v>0</v>
      </c>
      <c r="DI180" s="24">
        <f t="shared" si="175"/>
        <v>0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5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2">
        <f t="shared" si="140"/>
        <v>0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18.333333333333332</v>
      </c>
      <c r="H181" s="70">
        <f t="shared" si="110"/>
        <v>183.33333333333334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-9.6633812063373625E-13</v>
      </c>
      <c r="O181" s="14">
        <f>N181*VLOOKUP('Données projet'!$B$9,Paramètres!$A$1:$I$89,3,0)*VLOOKUP('Données projet'!$B$9,Paramètres!$A$1:$I$89,5,0)</f>
        <v>-8.7434273154940449E-13</v>
      </c>
      <c r="P181" s="14" t="e">
        <f t="shared" si="141"/>
        <v>#NUM!</v>
      </c>
      <c r="Q181" s="22" t="e">
        <f t="shared" si="162"/>
        <v>#NUM!</v>
      </c>
      <c r="R181" s="62" t="e">
        <f t="shared" si="109"/>
        <v>#NUM!</v>
      </c>
      <c r="S181" s="62">
        <f ca="1">AVERAGE(OFFSET($R$3,0,0,'Données projet'!$E$9+1,1))-AVERAGE(OFFSET($H$3,0,0,'Données projet'!$E$9+1,1))</f>
        <v>469.67944008675863</v>
      </c>
      <c r="T181" s="62">
        <f t="shared" si="142"/>
        <v>266.11908070867173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0</v>
      </c>
      <c r="AA181" s="23">
        <f>EXP(-LN(2)/25)*AA180+(1-EXP(-LN(2)/25))/(LN(2)/25)*Calculateur!V181*Calculateur!X181*VLOOKUP('Données projet'!$B$9,Paramètres!$A$1:$I$89,3,0)*0.475*44/12</f>
        <v>0</v>
      </c>
      <c r="AB181" s="23">
        <f>EXP(-LN(2)/2)*AB180+(1-EXP(-LN(2)/2))/(LN(2)/2)*V181*Y181*VLOOKUP('Données projet'!$B$9,Paramètres!$A$1:$I$89,3,0)*0.475*44/12</f>
        <v>0</v>
      </c>
      <c r="AC181" s="24">
        <f t="shared" si="163"/>
        <v>0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0</v>
      </c>
      <c r="AJ181" s="14">
        <f>AI181*VLOOKUP('Données projet'!$B$10,Paramètres!$A$1:$I$89,3,0)*VLOOKUP('Données projet'!$B$10,Paramètres!$A$1:$I$89,5,0)</f>
        <v>0</v>
      </c>
      <c r="AK181" s="14" t="e">
        <f t="shared" si="164"/>
        <v>#NUM!</v>
      </c>
      <c r="AL181" s="22" t="e">
        <f t="shared" si="165"/>
        <v>#NUM!</v>
      </c>
      <c r="AM181" s="62" t="e">
        <f t="shared" si="113"/>
        <v>#NUM!</v>
      </c>
      <c r="AN181" s="62">
        <f ca="1">AVERAGE(OFFSET($AM$3,0,0,'Données projet'!$E$10+1,1))-AVERAGE(OFFSET($H$3,0,0,'Données projet'!$E$10+1,1))</f>
        <v>400.48230125343474</v>
      </c>
      <c r="AO181" s="62">
        <f t="shared" si="144"/>
        <v>275.67023303885048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0</v>
      </c>
      <c r="AV181" s="23">
        <f>EXP(-LN(2)/25)*AV180+(1-EXP(-LN(2)/25))/(LN(2)/25)*Calculateur!AQ181*Calculateur!AS181*VLOOKUP('Données projet'!$B$10,Paramètres!$A$1:$I$89,3,0)*0.475*44/12</f>
        <v>0</v>
      </c>
      <c r="AW181" s="23">
        <f>EXP(-LN(2)/2)*AW180+(1-EXP(-LN(2)/2))/(LN(2)/2)*AQ181*AT181*VLOOKUP('Données projet'!$B$10,Paramètres!$A$1:$I$89,3,0)*0.475*44/12</f>
        <v>0</v>
      </c>
      <c r="AX181" s="23">
        <f t="shared" si="166"/>
        <v>0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-9.6633812063373625E-13</v>
      </c>
      <c r="BE181" s="14">
        <f>BD181*VLOOKUP('Données projet'!$B$11,Paramètres!$A$1:$I$89,3,0)*VLOOKUP('Données projet'!$B$11,Paramètres!$A$1:$I$89,5,0)</f>
        <v>-9.3464223027694966E-13</v>
      </c>
      <c r="BF181" s="14" t="e">
        <f t="shared" si="167"/>
        <v>#NUM!</v>
      </c>
      <c r="BG181" s="22" t="e">
        <f t="shared" si="168"/>
        <v>#NUM!</v>
      </c>
      <c r="BH181" s="62" t="e">
        <f t="shared" si="116"/>
        <v>#NUM!</v>
      </c>
      <c r="BI181" s="62">
        <f ca="1">AVERAGE(OFFSET($BH$3,0,0,'Données projet'!$E$11+1,1))-AVERAGE(OFFSET($H$3,0,0,'Données projet'!$E$11+1,1))</f>
        <v>496.33873798282525</v>
      </c>
      <c r="BJ181" s="62">
        <f t="shared" si="146"/>
        <v>280.25465074992246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>
        <f>EXP(-LN(2)/35)*BP180+(1-EXP(-LN(2)/35))/(LN(2)/35)*BL181*BM181*VLOOKUP('Données projet'!$B$11,Paramètres!$A$1:$I$89,3,0)*0.475*44/12</f>
        <v>0</v>
      </c>
      <c r="BQ181" s="23">
        <f>EXP(-LN(2)/25)*BQ180+(1-EXP(-LN(2)/25))/(LN(2)/25)*Calculateur!BL181*Calculateur!BN181*VLOOKUP('Données projet'!$B$11,Paramètres!$A$1:$I$89,3,0)*0.475*44/12</f>
        <v>0</v>
      </c>
      <c r="BR181" s="23">
        <f>EXP(-LN(2)/2)*BR180+(1-EXP(-LN(2)/2))/(LN(2)/2)*BL181*BO181*VLOOKUP('Données projet'!$B$11,Paramètres!$A$1:$I$89,3,0)*0.475*44/12</f>
        <v>0</v>
      </c>
      <c r="BS181" s="24">
        <f t="shared" si="169"/>
        <v>0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-1.1368683772161603E-13</v>
      </c>
      <c r="BZ181" s="14">
        <f>BY181*VLOOKUP('Données projet'!$B$12,Paramètres!$A$1:$I$89,3,0)*VLOOKUP('Données projet'!$B$12,Paramètres!$A$1:$I$89,5,0)</f>
        <v>-9.9316821433603781E-14</v>
      </c>
      <c r="CA181" s="14" t="e">
        <f t="shared" si="170"/>
        <v>#NUM!</v>
      </c>
      <c r="CB181" s="22" t="e">
        <f t="shared" si="171"/>
        <v>#NUM!</v>
      </c>
      <c r="CC181" s="62" t="e">
        <f t="shared" si="119"/>
        <v>#NUM!</v>
      </c>
      <c r="CD181" s="62">
        <f ca="1">AVERAGE(OFFSET($CC$3,0,0,'Données projet'!$E$12+1,1))-AVERAGE(OFFSET($H$3,0,0,'Données projet'!$E$12+1,1))</f>
        <v>298.56812743477741</v>
      </c>
      <c r="CE181" s="62">
        <f t="shared" si="148"/>
        <v>276.01618888357268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>
        <f>EXP(-LN(2)/35)*CK180+(1-EXP(-LN(2)/35))/(LN(2)/35)*CG181*CH181*VLOOKUP('Données projet'!$B$12,Paramètres!$A$1:$I$89,3,0)*0.475*44/12</f>
        <v>0</v>
      </c>
      <c r="CL181" s="23">
        <f>EXP(-LN(2)/25)*CL180+(1-EXP(-LN(2)/25))/(LN(2)/25)*Calculateur!CG181*Calculateur!CI181*VLOOKUP('Données projet'!$B$12,Paramètres!$A$1:$I$89,3,0)*0.475*44/12</f>
        <v>0</v>
      </c>
      <c r="CM181" s="23">
        <f>EXP(-LN(2)/2)*CM180+(1-EXP(-LN(2)/2))/(LN(2)/2)*CG181*CJ181*VLOOKUP('Données projet'!$B$12,Paramètres!$A$1:$I$89,3,0)*0.475*44/12</f>
        <v>0</v>
      </c>
      <c r="CN181" s="24">
        <f t="shared" si="172"/>
        <v>0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2.2737367544323206E-13</v>
      </c>
      <c r="CU181" s="18">
        <f>CT181*VLOOKUP('Données projet'!$B$13,Paramètres!$A$1:$I$89,3,0)*VLOOKUP('Données projet'!$B$13,Paramètres!$A$1:$I$89,5,0)</f>
        <v>1.5252226148732008E-13</v>
      </c>
      <c r="CV181" s="14">
        <f t="shared" si="173"/>
        <v>2.1814502464536512E-12</v>
      </c>
      <c r="CW181" s="22">
        <f t="shared" si="174"/>
        <v>4.0650021179971913E-12</v>
      </c>
      <c r="CX181" s="62">
        <f t="shared" si="122"/>
        <v>289.26530351148426</v>
      </c>
      <c r="CY181" s="62">
        <f ca="1">AVERAGE(OFFSET($CX$3,0,0,'Données projet'!$E$13+1,1))-AVERAGE(OFFSET($H$3,0,0,'Données projet'!$E$13+1,1))</f>
        <v>346.82725381974132</v>
      </c>
      <c r="CZ181" s="62">
        <f t="shared" si="150"/>
        <v>254.09787950201044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>
        <f>EXP(-LN(2)/35)*DF180+(1-EXP(-LN(2)/35))/(LN(2)/35)*DB181*DC181*VLOOKUP('Données projet'!$B$13,Paramètres!$A$1:$I$89,3,0)*0.475*44/12</f>
        <v>0</v>
      </c>
      <c r="DG181" s="23">
        <f>EXP(-LN(2)/25)*DG180+(1-EXP(-LN(2)/25))/(LN(2)/25)*Calculateur!DB181*Calculateur!DD181*VLOOKUP('Données projet'!$B$13,Paramètres!$A$1:$I$89,3,0)*0.475*44/12</f>
        <v>0</v>
      </c>
      <c r="DH181" s="23">
        <f>EXP(-LN(2)/2)*DH180+(1-EXP(-LN(2)/2))/(LN(2)/2)*DB181*DE181*VLOOKUP('Données projet'!$B$13,Paramètres!$A$1:$I$89,3,0)*0.475*44/12</f>
        <v>0</v>
      </c>
      <c r="DI181" s="24">
        <f t="shared" si="175"/>
        <v>0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5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2">
        <f t="shared" si="140"/>
        <v>0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18.333333333333332</v>
      </c>
      <c r="H182" s="70">
        <f t="shared" si="110"/>
        <v>183.33333333333334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-9.6633812063373625E-13</v>
      </c>
      <c r="O182" s="14">
        <f>N182*VLOOKUP('Données projet'!$B$9,Paramètres!$A$1:$I$89,3,0)*VLOOKUP('Données projet'!$B$9,Paramètres!$A$1:$I$89,5,0)</f>
        <v>-8.7434273154940449E-13</v>
      </c>
      <c r="P182" s="14" t="e">
        <f t="shared" si="141"/>
        <v>#NUM!</v>
      </c>
      <c r="Q182" s="22" t="e">
        <f t="shared" si="162"/>
        <v>#NUM!</v>
      </c>
      <c r="R182" s="62" t="e">
        <f t="shared" si="109"/>
        <v>#NUM!</v>
      </c>
      <c r="S182" s="62">
        <f ca="1">AVERAGE(OFFSET($R$3,0,0,'Données projet'!$E$9+1,1))-AVERAGE(OFFSET($H$3,0,0,'Données projet'!$E$9+1,1))</f>
        <v>469.67944008675863</v>
      </c>
      <c r="T182" s="62">
        <f t="shared" si="142"/>
        <v>266.11908070867173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0</v>
      </c>
      <c r="AA182" s="23">
        <f>EXP(-LN(2)/25)*AA181+(1-EXP(-LN(2)/25))/(LN(2)/25)*Calculateur!V182*Calculateur!X182*VLOOKUP('Données projet'!$B$9,Paramètres!$A$1:$I$89,3,0)*0.475*44/12</f>
        <v>0</v>
      </c>
      <c r="AB182" s="23">
        <f>EXP(-LN(2)/2)*AB181+(1-EXP(-LN(2)/2))/(LN(2)/2)*V182*Y182*VLOOKUP('Données projet'!$B$9,Paramètres!$A$1:$I$89,3,0)*0.475*44/12</f>
        <v>0</v>
      </c>
      <c r="AC182" s="24">
        <f t="shared" si="163"/>
        <v>0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0</v>
      </c>
      <c r="AJ182" s="14">
        <f>AI182*VLOOKUP('Données projet'!$B$10,Paramètres!$A$1:$I$89,3,0)*VLOOKUP('Données projet'!$B$10,Paramètres!$A$1:$I$89,5,0)</f>
        <v>0</v>
      </c>
      <c r="AK182" s="14" t="e">
        <f t="shared" si="164"/>
        <v>#NUM!</v>
      </c>
      <c r="AL182" s="22" t="e">
        <f t="shared" si="165"/>
        <v>#NUM!</v>
      </c>
      <c r="AM182" s="62" t="e">
        <f t="shared" si="113"/>
        <v>#NUM!</v>
      </c>
      <c r="AN182" s="62">
        <f ca="1">AVERAGE(OFFSET($AM$3,0,0,'Données projet'!$E$10+1,1))-AVERAGE(OFFSET($H$3,0,0,'Données projet'!$E$10+1,1))</f>
        <v>400.48230125343474</v>
      </c>
      <c r="AO182" s="62">
        <f t="shared" si="144"/>
        <v>275.67023303885048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0</v>
      </c>
      <c r="AV182" s="23">
        <f>EXP(-LN(2)/25)*AV181+(1-EXP(-LN(2)/25))/(LN(2)/25)*Calculateur!AQ182*Calculateur!AS182*VLOOKUP('Données projet'!$B$10,Paramètres!$A$1:$I$89,3,0)*0.475*44/12</f>
        <v>0</v>
      </c>
      <c r="AW182" s="23">
        <f>EXP(-LN(2)/2)*AW181+(1-EXP(-LN(2)/2))/(LN(2)/2)*AQ182*AT182*VLOOKUP('Données projet'!$B$10,Paramètres!$A$1:$I$89,3,0)*0.475*44/12</f>
        <v>0</v>
      </c>
      <c r="AX182" s="23">
        <f t="shared" si="166"/>
        <v>0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-9.6633812063373625E-13</v>
      </c>
      <c r="BE182" s="14">
        <f>BD182*VLOOKUP('Données projet'!$B$11,Paramètres!$A$1:$I$89,3,0)*VLOOKUP('Données projet'!$B$11,Paramètres!$A$1:$I$89,5,0)</f>
        <v>-9.3464223027694966E-13</v>
      </c>
      <c r="BF182" s="14" t="e">
        <f t="shared" si="167"/>
        <v>#NUM!</v>
      </c>
      <c r="BG182" s="22" t="e">
        <f t="shared" si="168"/>
        <v>#NUM!</v>
      </c>
      <c r="BH182" s="62" t="e">
        <f t="shared" si="116"/>
        <v>#NUM!</v>
      </c>
      <c r="BI182" s="62">
        <f ca="1">AVERAGE(OFFSET($BH$3,0,0,'Données projet'!$E$11+1,1))-AVERAGE(OFFSET($H$3,0,0,'Données projet'!$E$11+1,1))</f>
        <v>496.33873798282525</v>
      </c>
      <c r="BJ182" s="62">
        <f t="shared" si="146"/>
        <v>280.25465074992246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>
        <f>EXP(-LN(2)/35)*BP181+(1-EXP(-LN(2)/35))/(LN(2)/35)*BL182*BM182*VLOOKUP('Données projet'!$B$11,Paramètres!$A$1:$I$89,3,0)*0.475*44/12</f>
        <v>0</v>
      </c>
      <c r="BQ182" s="23">
        <f>EXP(-LN(2)/25)*BQ181+(1-EXP(-LN(2)/25))/(LN(2)/25)*Calculateur!BL182*Calculateur!BN182*VLOOKUP('Données projet'!$B$11,Paramètres!$A$1:$I$89,3,0)*0.475*44/12</f>
        <v>0</v>
      </c>
      <c r="BR182" s="23">
        <f>EXP(-LN(2)/2)*BR181+(1-EXP(-LN(2)/2))/(LN(2)/2)*BL182*BO182*VLOOKUP('Données projet'!$B$11,Paramètres!$A$1:$I$89,3,0)*0.475*44/12</f>
        <v>0</v>
      </c>
      <c r="BS182" s="24">
        <f t="shared" si="169"/>
        <v>0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-1.1368683772161603E-13</v>
      </c>
      <c r="BZ182" s="14">
        <f>BY182*VLOOKUP('Données projet'!$B$12,Paramètres!$A$1:$I$89,3,0)*VLOOKUP('Données projet'!$B$12,Paramètres!$A$1:$I$89,5,0)</f>
        <v>-9.9316821433603781E-14</v>
      </c>
      <c r="CA182" s="14" t="e">
        <f t="shared" si="170"/>
        <v>#NUM!</v>
      </c>
      <c r="CB182" s="22" t="e">
        <f t="shared" si="171"/>
        <v>#NUM!</v>
      </c>
      <c r="CC182" s="62" t="e">
        <f t="shared" si="119"/>
        <v>#NUM!</v>
      </c>
      <c r="CD182" s="62">
        <f ca="1">AVERAGE(OFFSET($CC$3,0,0,'Données projet'!$E$12+1,1))-AVERAGE(OFFSET($H$3,0,0,'Données projet'!$E$12+1,1))</f>
        <v>298.56812743477741</v>
      </c>
      <c r="CE182" s="62">
        <f t="shared" si="148"/>
        <v>276.01618888357268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>
        <f>EXP(-LN(2)/35)*CK181+(1-EXP(-LN(2)/35))/(LN(2)/35)*CG182*CH182*VLOOKUP('Données projet'!$B$12,Paramètres!$A$1:$I$89,3,0)*0.475*44/12</f>
        <v>0</v>
      </c>
      <c r="CL182" s="23">
        <f>EXP(-LN(2)/25)*CL181+(1-EXP(-LN(2)/25))/(LN(2)/25)*Calculateur!CG182*Calculateur!CI182*VLOOKUP('Données projet'!$B$12,Paramètres!$A$1:$I$89,3,0)*0.475*44/12</f>
        <v>0</v>
      </c>
      <c r="CM182" s="23">
        <f>EXP(-LN(2)/2)*CM181+(1-EXP(-LN(2)/2))/(LN(2)/2)*CG182*CJ182*VLOOKUP('Données projet'!$B$12,Paramètres!$A$1:$I$89,3,0)*0.475*44/12</f>
        <v>0</v>
      </c>
      <c r="CN182" s="24">
        <f t="shared" si="172"/>
        <v>0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2.2737367544323206E-13</v>
      </c>
      <c r="CU182" s="18">
        <f>CT182*VLOOKUP('Données projet'!$B$13,Paramètres!$A$1:$I$89,3,0)*VLOOKUP('Données projet'!$B$13,Paramètres!$A$1:$I$89,5,0)</f>
        <v>1.5252226148732008E-13</v>
      </c>
      <c r="CV182" s="14">
        <f t="shared" si="173"/>
        <v>2.1814502464536512E-12</v>
      </c>
      <c r="CW182" s="22">
        <f t="shared" si="174"/>
        <v>4.0650021179971913E-12</v>
      </c>
      <c r="CX182" s="62">
        <f t="shared" si="122"/>
        <v>289.33587473414121</v>
      </c>
      <c r="CY182" s="62">
        <f ca="1">AVERAGE(OFFSET($CX$3,0,0,'Données projet'!$E$13+1,1))-AVERAGE(OFFSET($H$3,0,0,'Données projet'!$E$13+1,1))</f>
        <v>346.82725381974132</v>
      </c>
      <c r="CZ182" s="62">
        <f t="shared" si="150"/>
        <v>254.09787950201044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>
        <f>EXP(-LN(2)/35)*DF181+(1-EXP(-LN(2)/35))/(LN(2)/35)*DB182*DC182*VLOOKUP('Données projet'!$B$13,Paramètres!$A$1:$I$89,3,0)*0.475*44/12</f>
        <v>0</v>
      </c>
      <c r="DG182" s="23">
        <f>EXP(-LN(2)/25)*DG181+(1-EXP(-LN(2)/25))/(LN(2)/25)*Calculateur!DB182*Calculateur!DD182*VLOOKUP('Données projet'!$B$13,Paramètres!$A$1:$I$89,3,0)*0.475*44/12</f>
        <v>0</v>
      </c>
      <c r="DH182" s="23">
        <f>EXP(-LN(2)/2)*DH181+(1-EXP(-LN(2)/2))/(LN(2)/2)*DB182*DE182*VLOOKUP('Données projet'!$B$13,Paramètres!$A$1:$I$89,3,0)*0.475*44/12</f>
        <v>0</v>
      </c>
      <c r="DI182" s="24">
        <f t="shared" si="175"/>
        <v>0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5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2">
        <f t="shared" si="140"/>
        <v>0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18.333333333333332</v>
      </c>
      <c r="H183" s="70">
        <f t="shared" si="110"/>
        <v>183.33333333333334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-9.6633812063373625E-13</v>
      </c>
      <c r="O183" s="14">
        <f>N183*VLOOKUP('Données projet'!$B$9,Paramètres!$A$1:$I$89,3,0)*VLOOKUP('Données projet'!$B$9,Paramètres!$A$1:$I$89,5,0)</f>
        <v>-8.7434273154940449E-13</v>
      </c>
      <c r="P183" s="14" t="e">
        <f t="shared" si="141"/>
        <v>#NUM!</v>
      </c>
      <c r="Q183" s="22" t="e">
        <f t="shared" si="162"/>
        <v>#NUM!</v>
      </c>
      <c r="R183" s="62" t="e">
        <f t="shared" si="109"/>
        <v>#NUM!</v>
      </c>
      <c r="S183" s="62">
        <f ca="1">AVERAGE(OFFSET($R$3,0,0,'Données projet'!$E$9+1,1))-AVERAGE(OFFSET($H$3,0,0,'Données projet'!$E$9+1,1))</f>
        <v>469.67944008675863</v>
      </c>
      <c r="T183" s="62">
        <f t="shared" si="142"/>
        <v>266.11908070867173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0</v>
      </c>
      <c r="AA183" s="23">
        <f>EXP(-LN(2)/25)*AA182+(1-EXP(-LN(2)/25))/(LN(2)/25)*Calculateur!V183*Calculateur!X183*VLOOKUP('Données projet'!$B$9,Paramètres!$A$1:$I$89,3,0)*0.475*44/12</f>
        <v>0</v>
      </c>
      <c r="AB183" s="23">
        <f>EXP(-LN(2)/2)*AB182+(1-EXP(-LN(2)/2))/(LN(2)/2)*V183*Y183*VLOOKUP('Données projet'!$B$9,Paramètres!$A$1:$I$89,3,0)*0.475*44/12</f>
        <v>0</v>
      </c>
      <c r="AC183" s="24">
        <f t="shared" si="163"/>
        <v>0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0</v>
      </c>
      <c r="AJ183" s="14">
        <f>AI183*VLOOKUP('Données projet'!$B$10,Paramètres!$A$1:$I$89,3,0)*VLOOKUP('Données projet'!$B$10,Paramètres!$A$1:$I$89,5,0)</f>
        <v>0</v>
      </c>
      <c r="AK183" s="14" t="e">
        <f t="shared" si="164"/>
        <v>#NUM!</v>
      </c>
      <c r="AL183" s="22" t="e">
        <f t="shared" si="165"/>
        <v>#NUM!</v>
      </c>
      <c r="AM183" s="62" t="e">
        <f t="shared" si="113"/>
        <v>#NUM!</v>
      </c>
      <c r="AN183" s="62">
        <f ca="1">AVERAGE(OFFSET($AM$3,0,0,'Données projet'!$E$10+1,1))-AVERAGE(OFFSET($H$3,0,0,'Données projet'!$E$10+1,1))</f>
        <v>400.48230125343474</v>
      </c>
      <c r="AO183" s="62">
        <f t="shared" si="144"/>
        <v>275.67023303885048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0</v>
      </c>
      <c r="AV183" s="23">
        <f>EXP(-LN(2)/25)*AV182+(1-EXP(-LN(2)/25))/(LN(2)/25)*Calculateur!AQ183*Calculateur!AS183*VLOOKUP('Données projet'!$B$10,Paramètres!$A$1:$I$89,3,0)*0.475*44/12</f>
        <v>0</v>
      </c>
      <c r="AW183" s="23">
        <f>EXP(-LN(2)/2)*AW182+(1-EXP(-LN(2)/2))/(LN(2)/2)*AQ183*AT183*VLOOKUP('Données projet'!$B$10,Paramètres!$A$1:$I$89,3,0)*0.475*44/12</f>
        <v>0</v>
      </c>
      <c r="AX183" s="23">
        <f t="shared" si="166"/>
        <v>0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-9.6633812063373625E-13</v>
      </c>
      <c r="BE183" s="14">
        <f>BD183*VLOOKUP('Données projet'!$B$11,Paramètres!$A$1:$I$89,3,0)*VLOOKUP('Données projet'!$B$11,Paramètres!$A$1:$I$89,5,0)</f>
        <v>-9.3464223027694966E-13</v>
      </c>
      <c r="BF183" s="14" t="e">
        <f t="shared" si="167"/>
        <v>#NUM!</v>
      </c>
      <c r="BG183" s="22" t="e">
        <f t="shared" si="168"/>
        <v>#NUM!</v>
      </c>
      <c r="BH183" s="62" t="e">
        <f t="shared" si="116"/>
        <v>#NUM!</v>
      </c>
      <c r="BI183" s="62">
        <f ca="1">AVERAGE(OFFSET($BH$3,0,0,'Données projet'!$E$11+1,1))-AVERAGE(OFFSET($H$3,0,0,'Données projet'!$E$11+1,1))</f>
        <v>496.33873798282525</v>
      </c>
      <c r="BJ183" s="62">
        <f t="shared" si="146"/>
        <v>280.25465074992246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>
        <f>EXP(-LN(2)/35)*BP182+(1-EXP(-LN(2)/35))/(LN(2)/35)*BL183*BM183*VLOOKUP('Données projet'!$B$11,Paramètres!$A$1:$I$89,3,0)*0.475*44/12</f>
        <v>0</v>
      </c>
      <c r="BQ183" s="23">
        <f>EXP(-LN(2)/25)*BQ182+(1-EXP(-LN(2)/25))/(LN(2)/25)*Calculateur!BL183*Calculateur!BN183*VLOOKUP('Données projet'!$B$11,Paramètres!$A$1:$I$89,3,0)*0.475*44/12</f>
        <v>0</v>
      </c>
      <c r="BR183" s="23">
        <f>EXP(-LN(2)/2)*BR182+(1-EXP(-LN(2)/2))/(LN(2)/2)*BL183*BO183*VLOOKUP('Données projet'!$B$11,Paramètres!$A$1:$I$89,3,0)*0.475*44/12</f>
        <v>0</v>
      </c>
      <c r="BS183" s="24">
        <f t="shared" si="169"/>
        <v>0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-1.1368683772161603E-13</v>
      </c>
      <c r="BZ183" s="14">
        <f>BY183*VLOOKUP('Données projet'!$B$12,Paramètres!$A$1:$I$89,3,0)*VLOOKUP('Données projet'!$B$12,Paramètres!$A$1:$I$89,5,0)</f>
        <v>-9.9316821433603781E-14</v>
      </c>
      <c r="CA183" s="14" t="e">
        <f t="shared" si="170"/>
        <v>#NUM!</v>
      </c>
      <c r="CB183" s="22" t="e">
        <f t="shared" si="171"/>
        <v>#NUM!</v>
      </c>
      <c r="CC183" s="62" t="e">
        <f t="shared" si="119"/>
        <v>#NUM!</v>
      </c>
      <c r="CD183" s="62">
        <f ca="1">AVERAGE(OFFSET($CC$3,0,0,'Données projet'!$E$12+1,1))-AVERAGE(OFFSET($H$3,0,0,'Données projet'!$E$12+1,1))</f>
        <v>298.56812743477741</v>
      </c>
      <c r="CE183" s="62">
        <f t="shared" si="148"/>
        <v>276.01618888357268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>
        <f>EXP(-LN(2)/35)*CK182+(1-EXP(-LN(2)/35))/(LN(2)/35)*CG183*CH183*VLOOKUP('Données projet'!$B$12,Paramètres!$A$1:$I$89,3,0)*0.475*44/12</f>
        <v>0</v>
      </c>
      <c r="CL183" s="23">
        <f>EXP(-LN(2)/25)*CL182+(1-EXP(-LN(2)/25))/(LN(2)/25)*Calculateur!CG183*Calculateur!CI183*VLOOKUP('Données projet'!$B$12,Paramètres!$A$1:$I$89,3,0)*0.475*44/12</f>
        <v>0</v>
      </c>
      <c r="CM183" s="23">
        <f>EXP(-LN(2)/2)*CM182+(1-EXP(-LN(2)/2))/(LN(2)/2)*CG183*CJ183*VLOOKUP('Données projet'!$B$12,Paramètres!$A$1:$I$89,3,0)*0.475*44/12</f>
        <v>0</v>
      </c>
      <c r="CN183" s="24">
        <f t="shared" si="172"/>
        <v>0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2.2737367544323206E-13</v>
      </c>
      <c r="CU183" s="18">
        <f>CT183*VLOOKUP('Données projet'!$B$13,Paramètres!$A$1:$I$89,3,0)*VLOOKUP('Données projet'!$B$13,Paramètres!$A$1:$I$89,5,0)</f>
        <v>1.5252226148732008E-13</v>
      </c>
      <c r="CV183" s="14">
        <f t="shared" si="173"/>
        <v>2.1814502464536512E-12</v>
      </c>
      <c r="CW183" s="22">
        <f t="shared" si="174"/>
        <v>4.0650021179971913E-12</v>
      </c>
      <c r="CX183" s="62">
        <f t="shared" si="122"/>
        <v>289.40522170385873</v>
      </c>
      <c r="CY183" s="62">
        <f ca="1">AVERAGE(OFFSET($CX$3,0,0,'Données projet'!$E$13+1,1))-AVERAGE(OFFSET($H$3,0,0,'Données projet'!$E$13+1,1))</f>
        <v>346.82725381974132</v>
      </c>
      <c r="CZ183" s="62">
        <f t="shared" si="150"/>
        <v>254.09787950201044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>
        <f>EXP(-LN(2)/35)*DF182+(1-EXP(-LN(2)/35))/(LN(2)/35)*DB183*DC183*VLOOKUP('Données projet'!$B$13,Paramètres!$A$1:$I$89,3,0)*0.475*44/12</f>
        <v>0</v>
      </c>
      <c r="DG183" s="23">
        <f>EXP(-LN(2)/25)*DG182+(1-EXP(-LN(2)/25))/(LN(2)/25)*Calculateur!DB183*Calculateur!DD183*VLOOKUP('Données projet'!$B$13,Paramètres!$A$1:$I$89,3,0)*0.475*44/12</f>
        <v>0</v>
      </c>
      <c r="DH183" s="23">
        <f>EXP(-LN(2)/2)*DH182+(1-EXP(-LN(2)/2))/(LN(2)/2)*DB183*DE183*VLOOKUP('Données projet'!$B$13,Paramètres!$A$1:$I$89,3,0)*0.475*44/12</f>
        <v>0</v>
      </c>
      <c r="DI183" s="24">
        <f t="shared" si="175"/>
        <v>0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5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2">
        <f t="shared" si="140"/>
        <v>0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18.333333333333332</v>
      </c>
      <c r="H184" s="70">
        <f t="shared" si="110"/>
        <v>183.33333333333334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-9.6633812063373625E-13</v>
      </c>
      <c r="O184" s="14">
        <f>N184*VLOOKUP('Données projet'!$B$9,Paramètres!$A$1:$I$89,3,0)*VLOOKUP('Données projet'!$B$9,Paramètres!$A$1:$I$89,5,0)</f>
        <v>-8.7434273154940449E-13</v>
      </c>
      <c r="P184" s="14" t="e">
        <f t="shared" si="141"/>
        <v>#NUM!</v>
      </c>
      <c r="Q184" s="22" t="e">
        <f t="shared" si="162"/>
        <v>#NUM!</v>
      </c>
      <c r="R184" s="62" t="e">
        <f t="shared" si="109"/>
        <v>#NUM!</v>
      </c>
      <c r="S184" s="62">
        <f ca="1">AVERAGE(OFFSET($R$3,0,0,'Données projet'!$E$9+1,1))-AVERAGE(OFFSET($H$3,0,0,'Données projet'!$E$9+1,1))</f>
        <v>469.67944008675863</v>
      </c>
      <c r="T184" s="62">
        <f t="shared" si="142"/>
        <v>266.11908070867173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0</v>
      </c>
      <c r="AA184" s="23">
        <f>EXP(-LN(2)/25)*AA183+(1-EXP(-LN(2)/25))/(LN(2)/25)*Calculateur!V184*Calculateur!X184*VLOOKUP('Données projet'!$B$9,Paramètres!$A$1:$I$89,3,0)*0.475*44/12</f>
        <v>0</v>
      </c>
      <c r="AB184" s="23">
        <f>EXP(-LN(2)/2)*AB183+(1-EXP(-LN(2)/2))/(LN(2)/2)*V184*Y184*VLOOKUP('Données projet'!$B$9,Paramètres!$A$1:$I$89,3,0)*0.475*44/12</f>
        <v>0</v>
      </c>
      <c r="AC184" s="24">
        <f t="shared" si="163"/>
        <v>0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0</v>
      </c>
      <c r="AJ184" s="14">
        <f>AI184*VLOOKUP('Données projet'!$B$10,Paramètres!$A$1:$I$89,3,0)*VLOOKUP('Données projet'!$B$10,Paramètres!$A$1:$I$89,5,0)</f>
        <v>0</v>
      </c>
      <c r="AK184" s="14" t="e">
        <f t="shared" si="164"/>
        <v>#NUM!</v>
      </c>
      <c r="AL184" s="22" t="e">
        <f t="shared" si="165"/>
        <v>#NUM!</v>
      </c>
      <c r="AM184" s="62" t="e">
        <f t="shared" si="113"/>
        <v>#NUM!</v>
      </c>
      <c r="AN184" s="62">
        <f ca="1">AVERAGE(OFFSET($AM$3,0,0,'Données projet'!$E$10+1,1))-AVERAGE(OFFSET($H$3,0,0,'Données projet'!$E$10+1,1))</f>
        <v>400.48230125343474</v>
      </c>
      <c r="AO184" s="62">
        <f t="shared" si="144"/>
        <v>275.67023303885048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0</v>
      </c>
      <c r="AV184" s="23">
        <f>EXP(-LN(2)/25)*AV183+(1-EXP(-LN(2)/25))/(LN(2)/25)*Calculateur!AQ184*Calculateur!AS184*VLOOKUP('Données projet'!$B$10,Paramètres!$A$1:$I$89,3,0)*0.475*44/12</f>
        <v>0</v>
      </c>
      <c r="AW184" s="23">
        <f>EXP(-LN(2)/2)*AW183+(1-EXP(-LN(2)/2))/(LN(2)/2)*AQ184*AT184*VLOOKUP('Données projet'!$B$10,Paramètres!$A$1:$I$89,3,0)*0.475*44/12</f>
        <v>0</v>
      </c>
      <c r="AX184" s="23">
        <f t="shared" si="166"/>
        <v>0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-9.6633812063373625E-13</v>
      </c>
      <c r="BE184" s="14">
        <f>BD184*VLOOKUP('Données projet'!$B$11,Paramètres!$A$1:$I$89,3,0)*VLOOKUP('Données projet'!$B$11,Paramètres!$A$1:$I$89,5,0)</f>
        <v>-9.3464223027694966E-13</v>
      </c>
      <c r="BF184" s="14" t="e">
        <f t="shared" si="167"/>
        <v>#NUM!</v>
      </c>
      <c r="BG184" s="22" t="e">
        <f t="shared" si="168"/>
        <v>#NUM!</v>
      </c>
      <c r="BH184" s="62" t="e">
        <f t="shared" si="116"/>
        <v>#NUM!</v>
      </c>
      <c r="BI184" s="62">
        <f ca="1">AVERAGE(OFFSET($BH$3,0,0,'Données projet'!$E$11+1,1))-AVERAGE(OFFSET($H$3,0,0,'Données projet'!$E$11+1,1))</f>
        <v>496.33873798282525</v>
      </c>
      <c r="BJ184" s="62">
        <f t="shared" si="146"/>
        <v>280.25465074992246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>
        <f>EXP(-LN(2)/35)*BP183+(1-EXP(-LN(2)/35))/(LN(2)/35)*BL184*BM184*VLOOKUP('Données projet'!$B$11,Paramètres!$A$1:$I$89,3,0)*0.475*44/12</f>
        <v>0</v>
      </c>
      <c r="BQ184" s="23">
        <f>EXP(-LN(2)/25)*BQ183+(1-EXP(-LN(2)/25))/(LN(2)/25)*Calculateur!BL184*Calculateur!BN184*VLOOKUP('Données projet'!$B$11,Paramètres!$A$1:$I$89,3,0)*0.475*44/12</f>
        <v>0</v>
      </c>
      <c r="BR184" s="23">
        <f>EXP(-LN(2)/2)*BR183+(1-EXP(-LN(2)/2))/(LN(2)/2)*BL184*BO184*VLOOKUP('Données projet'!$B$11,Paramètres!$A$1:$I$89,3,0)*0.475*44/12</f>
        <v>0</v>
      </c>
      <c r="BS184" s="24">
        <f t="shared" si="169"/>
        <v>0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-1.1368683772161603E-13</v>
      </c>
      <c r="BZ184" s="14">
        <f>BY184*VLOOKUP('Données projet'!$B$12,Paramètres!$A$1:$I$89,3,0)*VLOOKUP('Données projet'!$B$12,Paramètres!$A$1:$I$89,5,0)</f>
        <v>-9.9316821433603781E-14</v>
      </c>
      <c r="CA184" s="14" t="e">
        <f t="shared" si="170"/>
        <v>#NUM!</v>
      </c>
      <c r="CB184" s="22" t="e">
        <f t="shared" si="171"/>
        <v>#NUM!</v>
      </c>
      <c r="CC184" s="62" t="e">
        <f t="shared" si="119"/>
        <v>#NUM!</v>
      </c>
      <c r="CD184" s="62">
        <f ca="1">AVERAGE(OFFSET($CC$3,0,0,'Données projet'!$E$12+1,1))-AVERAGE(OFFSET($H$3,0,0,'Données projet'!$E$12+1,1))</f>
        <v>298.56812743477741</v>
      </c>
      <c r="CE184" s="62">
        <f t="shared" si="148"/>
        <v>276.01618888357268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>
        <f>EXP(-LN(2)/35)*CK183+(1-EXP(-LN(2)/35))/(LN(2)/35)*CG184*CH184*VLOOKUP('Données projet'!$B$12,Paramètres!$A$1:$I$89,3,0)*0.475*44/12</f>
        <v>0</v>
      </c>
      <c r="CL184" s="23">
        <f>EXP(-LN(2)/25)*CL183+(1-EXP(-LN(2)/25))/(LN(2)/25)*Calculateur!CG184*Calculateur!CI184*VLOOKUP('Données projet'!$B$12,Paramètres!$A$1:$I$89,3,0)*0.475*44/12</f>
        <v>0</v>
      </c>
      <c r="CM184" s="23">
        <f>EXP(-LN(2)/2)*CM183+(1-EXP(-LN(2)/2))/(LN(2)/2)*CG184*CJ184*VLOOKUP('Données projet'!$B$12,Paramètres!$A$1:$I$89,3,0)*0.475*44/12</f>
        <v>0</v>
      </c>
      <c r="CN184" s="24">
        <f t="shared" si="172"/>
        <v>0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2.2737367544323206E-13</v>
      </c>
      <c r="CU184" s="18">
        <f>CT184*VLOOKUP('Données projet'!$B$13,Paramètres!$A$1:$I$89,3,0)*VLOOKUP('Données projet'!$B$13,Paramètres!$A$1:$I$89,5,0)</f>
        <v>1.5252226148732008E-13</v>
      </c>
      <c r="CV184" s="14">
        <f t="shared" si="173"/>
        <v>2.1814502464536512E-12</v>
      </c>
      <c r="CW184" s="22">
        <f t="shared" si="174"/>
        <v>4.0650021179971913E-12</v>
      </c>
      <c r="CX184" s="62">
        <f t="shared" si="122"/>
        <v>289.47336565868818</v>
      </c>
      <c r="CY184" s="62">
        <f ca="1">AVERAGE(OFFSET($CX$3,0,0,'Données projet'!$E$13+1,1))-AVERAGE(OFFSET($H$3,0,0,'Données projet'!$E$13+1,1))</f>
        <v>346.82725381974132</v>
      </c>
      <c r="CZ184" s="62">
        <f t="shared" si="150"/>
        <v>254.09787950201044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>
        <f>EXP(-LN(2)/35)*DF183+(1-EXP(-LN(2)/35))/(LN(2)/35)*DB184*DC184*VLOOKUP('Données projet'!$B$13,Paramètres!$A$1:$I$89,3,0)*0.475*44/12</f>
        <v>0</v>
      </c>
      <c r="DG184" s="23">
        <f>EXP(-LN(2)/25)*DG183+(1-EXP(-LN(2)/25))/(LN(2)/25)*Calculateur!DB184*Calculateur!DD184*VLOOKUP('Données projet'!$B$13,Paramètres!$A$1:$I$89,3,0)*0.475*44/12</f>
        <v>0</v>
      </c>
      <c r="DH184" s="23">
        <f>EXP(-LN(2)/2)*DH183+(1-EXP(-LN(2)/2))/(LN(2)/2)*DB184*DE184*VLOOKUP('Données projet'!$B$13,Paramètres!$A$1:$I$89,3,0)*0.475*44/12</f>
        <v>0</v>
      </c>
      <c r="DI184" s="24">
        <f t="shared" si="175"/>
        <v>0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5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2">
        <f t="shared" si="140"/>
        <v>0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18.333333333333332</v>
      </c>
      <c r="H185" s="70">
        <f t="shared" si="110"/>
        <v>183.33333333333334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-9.6633812063373625E-13</v>
      </c>
      <c r="O185" s="14">
        <f>N185*VLOOKUP('Données projet'!$B$9,Paramètres!$A$1:$I$89,3,0)*VLOOKUP('Données projet'!$B$9,Paramètres!$A$1:$I$89,5,0)</f>
        <v>-8.7434273154940449E-13</v>
      </c>
      <c r="P185" s="14" t="e">
        <f t="shared" si="141"/>
        <v>#NUM!</v>
      </c>
      <c r="Q185" s="22" t="e">
        <f t="shared" si="162"/>
        <v>#NUM!</v>
      </c>
      <c r="R185" s="62" t="e">
        <f t="shared" si="109"/>
        <v>#NUM!</v>
      </c>
      <c r="S185" s="62">
        <f ca="1">AVERAGE(OFFSET($R$3,0,0,'Données projet'!$E$9+1,1))-AVERAGE(OFFSET($H$3,0,0,'Données projet'!$E$9+1,1))</f>
        <v>469.67944008675863</v>
      </c>
      <c r="T185" s="62">
        <f t="shared" si="142"/>
        <v>266.11908070867173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0</v>
      </c>
      <c r="AA185" s="23">
        <f>EXP(-LN(2)/25)*AA184+(1-EXP(-LN(2)/25))/(LN(2)/25)*Calculateur!V185*Calculateur!X185*VLOOKUP('Données projet'!$B$9,Paramètres!$A$1:$I$89,3,0)*0.475*44/12</f>
        <v>0</v>
      </c>
      <c r="AB185" s="23">
        <f>EXP(-LN(2)/2)*AB184+(1-EXP(-LN(2)/2))/(LN(2)/2)*V185*Y185*VLOOKUP('Données projet'!$B$9,Paramètres!$A$1:$I$89,3,0)*0.475*44/12</f>
        <v>0</v>
      </c>
      <c r="AC185" s="24">
        <f t="shared" si="163"/>
        <v>0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0</v>
      </c>
      <c r="AJ185" s="14">
        <f>AI185*VLOOKUP('Données projet'!$B$10,Paramètres!$A$1:$I$89,3,0)*VLOOKUP('Données projet'!$B$10,Paramètres!$A$1:$I$89,5,0)</f>
        <v>0</v>
      </c>
      <c r="AK185" s="14" t="e">
        <f t="shared" si="164"/>
        <v>#NUM!</v>
      </c>
      <c r="AL185" s="22" t="e">
        <f t="shared" si="165"/>
        <v>#NUM!</v>
      </c>
      <c r="AM185" s="62" t="e">
        <f t="shared" si="113"/>
        <v>#NUM!</v>
      </c>
      <c r="AN185" s="62">
        <f ca="1">AVERAGE(OFFSET($AM$3,0,0,'Données projet'!$E$10+1,1))-AVERAGE(OFFSET($H$3,0,0,'Données projet'!$E$10+1,1))</f>
        <v>400.48230125343474</v>
      </c>
      <c r="AO185" s="62">
        <f t="shared" si="144"/>
        <v>275.67023303885048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0</v>
      </c>
      <c r="AV185" s="23">
        <f>EXP(-LN(2)/25)*AV184+(1-EXP(-LN(2)/25))/(LN(2)/25)*Calculateur!AQ185*Calculateur!AS185*VLOOKUP('Données projet'!$B$10,Paramètres!$A$1:$I$89,3,0)*0.475*44/12</f>
        <v>0</v>
      </c>
      <c r="AW185" s="23">
        <f>EXP(-LN(2)/2)*AW184+(1-EXP(-LN(2)/2))/(LN(2)/2)*AQ185*AT185*VLOOKUP('Données projet'!$B$10,Paramètres!$A$1:$I$89,3,0)*0.475*44/12</f>
        <v>0</v>
      </c>
      <c r="AX185" s="23">
        <f t="shared" si="166"/>
        <v>0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-9.6633812063373625E-13</v>
      </c>
      <c r="BE185" s="14">
        <f>BD185*VLOOKUP('Données projet'!$B$11,Paramètres!$A$1:$I$89,3,0)*VLOOKUP('Données projet'!$B$11,Paramètres!$A$1:$I$89,5,0)</f>
        <v>-9.3464223027694966E-13</v>
      </c>
      <c r="BF185" s="14" t="e">
        <f t="shared" si="167"/>
        <v>#NUM!</v>
      </c>
      <c r="BG185" s="22" t="e">
        <f t="shared" si="168"/>
        <v>#NUM!</v>
      </c>
      <c r="BH185" s="62" t="e">
        <f t="shared" si="116"/>
        <v>#NUM!</v>
      </c>
      <c r="BI185" s="62">
        <f ca="1">AVERAGE(OFFSET($BH$3,0,0,'Données projet'!$E$11+1,1))-AVERAGE(OFFSET($H$3,0,0,'Données projet'!$E$11+1,1))</f>
        <v>496.33873798282525</v>
      </c>
      <c r="BJ185" s="62">
        <f t="shared" si="146"/>
        <v>280.25465074992246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>
        <f>EXP(-LN(2)/35)*BP184+(1-EXP(-LN(2)/35))/(LN(2)/35)*BL185*BM185*VLOOKUP('Données projet'!$B$11,Paramètres!$A$1:$I$89,3,0)*0.475*44/12</f>
        <v>0</v>
      </c>
      <c r="BQ185" s="23">
        <f>EXP(-LN(2)/25)*BQ184+(1-EXP(-LN(2)/25))/(LN(2)/25)*Calculateur!BL185*Calculateur!BN185*VLOOKUP('Données projet'!$B$11,Paramètres!$A$1:$I$89,3,0)*0.475*44/12</f>
        <v>0</v>
      </c>
      <c r="BR185" s="23">
        <f>EXP(-LN(2)/2)*BR184+(1-EXP(-LN(2)/2))/(LN(2)/2)*BL185*BO185*VLOOKUP('Données projet'!$B$11,Paramètres!$A$1:$I$89,3,0)*0.475*44/12</f>
        <v>0</v>
      </c>
      <c r="BS185" s="24">
        <f t="shared" si="169"/>
        <v>0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-1.1368683772161603E-13</v>
      </c>
      <c r="BZ185" s="14">
        <f>BY185*VLOOKUP('Données projet'!$B$12,Paramètres!$A$1:$I$89,3,0)*VLOOKUP('Données projet'!$B$12,Paramètres!$A$1:$I$89,5,0)</f>
        <v>-9.9316821433603781E-14</v>
      </c>
      <c r="CA185" s="14" t="e">
        <f t="shared" si="170"/>
        <v>#NUM!</v>
      </c>
      <c r="CB185" s="22" t="e">
        <f t="shared" si="171"/>
        <v>#NUM!</v>
      </c>
      <c r="CC185" s="62" t="e">
        <f t="shared" si="119"/>
        <v>#NUM!</v>
      </c>
      <c r="CD185" s="62">
        <f ca="1">AVERAGE(OFFSET($CC$3,0,0,'Données projet'!$E$12+1,1))-AVERAGE(OFFSET($H$3,0,0,'Données projet'!$E$12+1,1))</f>
        <v>298.56812743477741</v>
      </c>
      <c r="CE185" s="62">
        <f t="shared" si="148"/>
        <v>276.01618888357268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>
        <f>EXP(-LN(2)/35)*CK184+(1-EXP(-LN(2)/35))/(LN(2)/35)*CG185*CH185*VLOOKUP('Données projet'!$B$12,Paramètres!$A$1:$I$89,3,0)*0.475*44/12</f>
        <v>0</v>
      </c>
      <c r="CL185" s="23">
        <f>EXP(-LN(2)/25)*CL184+(1-EXP(-LN(2)/25))/(LN(2)/25)*Calculateur!CG185*Calculateur!CI185*VLOOKUP('Données projet'!$B$12,Paramètres!$A$1:$I$89,3,0)*0.475*44/12</f>
        <v>0</v>
      </c>
      <c r="CM185" s="23">
        <f>EXP(-LN(2)/2)*CM184+(1-EXP(-LN(2)/2))/(LN(2)/2)*CG185*CJ185*VLOOKUP('Données projet'!$B$12,Paramètres!$A$1:$I$89,3,0)*0.475*44/12</f>
        <v>0</v>
      </c>
      <c r="CN185" s="24">
        <f t="shared" si="172"/>
        <v>0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2.2737367544323206E-13</v>
      </c>
      <c r="CU185" s="18">
        <f>CT185*VLOOKUP('Données projet'!$B$13,Paramètres!$A$1:$I$89,3,0)*VLOOKUP('Données projet'!$B$13,Paramètres!$A$1:$I$89,5,0)</f>
        <v>1.5252226148732008E-13</v>
      </c>
      <c r="CV185" s="14">
        <f t="shared" si="173"/>
        <v>2.1814502464536512E-12</v>
      </c>
      <c r="CW185" s="22">
        <f t="shared" si="174"/>
        <v>4.0650021179971913E-12</v>
      </c>
      <c r="CX185" s="62">
        <f t="shared" si="122"/>
        <v>289.54032746824851</v>
      </c>
      <c r="CY185" s="62">
        <f ca="1">AVERAGE(OFFSET($CX$3,0,0,'Données projet'!$E$13+1,1))-AVERAGE(OFFSET($H$3,0,0,'Données projet'!$E$13+1,1))</f>
        <v>346.82725381974132</v>
      </c>
      <c r="CZ185" s="62">
        <f t="shared" si="150"/>
        <v>254.09787950201044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>
        <f>EXP(-LN(2)/35)*DF184+(1-EXP(-LN(2)/35))/(LN(2)/35)*DB185*DC185*VLOOKUP('Données projet'!$B$13,Paramètres!$A$1:$I$89,3,0)*0.475*44/12</f>
        <v>0</v>
      </c>
      <c r="DG185" s="23">
        <f>EXP(-LN(2)/25)*DG184+(1-EXP(-LN(2)/25))/(LN(2)/25)*Calculateur!DB185*Calculateur!DD185*VLOOKUP('Données projet'!$B$13,Paramètres!$A$1:$I$89,3,0)*0.475*44/12</f>
        <v>0</v>
      </c>
      <c r="DH185" s="23">
        <f>EXP(-LN(2)/2)*DH184+(1-EXP(-LN(2)/2))/(LN(2)/2)*DB185*DE185*VLOOKUP('Données projet'!$B$13,Paramètres!$A$1:$I$89,3,0)*0.475*44/12</f>
        <v>0</v>
      </c>
      <c r="DI185" s="24">
        <f t="shared" si="175"/>
        <v>0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5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2">
        <f t="shared" si="140"/>
        <v>0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18.333333333333332</v>
      </c>
      <c r="H186" s="70">
        <f t="shared" si="110"/>
        <v>183.33333333333334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-9.6633812063373625E-13</v>
      </c>
      <c r="O186" s="14">
        <f>N186*VLOOKUP('Données projet'!$B$9,Paramètres!$A$1:$I$89,3,0)*VLOOKUP('Données projet'!$B$9,Paramètres!$A$1:$I$89,5,0)</f>
        <v>-8.7434273154940449E-13</v>
      </c>
      <c r="P186" s="14" t="e">
        <f t="shared" si="141"/>
        <v>#NUM!</v>
      </c>
      <c r="Q186" s="22" t="e">
        <f t="shared" si="162"/>
        <v>#NUM!</v>
      </c>
      <c r="R186" s="62" t="e">
        <f t="shared" si="109"/>
        <v>#NUM!</v>
      </c>
      <c r="S186" s="62">
        <f ca="1">AVERAGE(OFFSET($R$3,0,0,'Données projet'!$E$9+1,1))-AVERAGE(OFFSET($H$3,0,0,'Données projet'!$E$9+1,1))</f>
        <v>469.67944008675863</v>
      </c>
      <c r="T186" s="62">
        <f t="shared" si="142"/>
        <v>266.11908070867173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0</v>
      </c>
      <c r="AA186" s="23">
        <f>EXP(-LN(2)/25)*AA185+(1-EXP(-LN(2)/25))/(LN(2)/25)*Calculateur!V186*Calculateur!X186*VLOOKUP('Données projet'!$B$9,Paramètres!$A$1:$I$89,3,0)*0.475*44/12</f>
        <v>0</v>
      </c>
      <c r="AB186" s="23">
        <f>EXP(-LN(2)/2)*AB185+(1-EXP(-LN(2)/2))/(LN(2)/2)*V186*Y186*VLOOKUP('Données projet'!$B$9,Paramètres!$A$1:$I$89,3,0)*0.475*44/12</f>
        <v>0</v>
      </c>
      <c r="AC186" s="24">
        <f t="shared" si="163"/>
        <v>0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0</v>
      </c>
      <c r="AJ186" s="14">
        <f>AI186*VLOOKUP('Données projet'!$B$10,Paramètres!$A$1:$I$89,3,0)*VLOOKUP('Données projet'!$B$10,Paramètres!$A$1:$I$89,5,0)</f>
        <v>0</v>
      </c>
      <c r="AK186" s="14" t="e">
        <f t="shared" si="164"/>
        <v>#NUM!</v>
      </c>
      <c r="AL186" s="22" t="e">
        <f t="shared" si="165"/>
        <v>#NUM!</v>
      </c>
      <c r="AM186" s="62" t="e">
        <f t="shared" si="113"/>
        <v>#NUM!</v>
      </c>
      <c r="AN186" s="62">
        <f ca="1">AVERAGE(OFFSET($AM$3,0,0,'Données projet'!$E$10+1,1))-AVERAGE(OFFSET($H$3,0,0,'Données projet'!$E$10+1,1))</f>
        <v>400.48230125343474</v>
      </c>
      <c r="AO186" s="62">
        <f t="shared" si="144"/>
        <v>275.67023303885048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0</v>
      </c>
      <c r="AV186" s="23">
        <f>EXP(-LN(2)/25)*AV185+(1-EXP(-LN(2)/25))/(LN(2)/25)*Calculateur!AQ186*Calculateur!AS186*VLOOKUP('Données projet'!$B$10,Paramètres!$A$1:$I$89,3,0)*0.475*44/12</f>
        <v>0</v>
      </c>
      <c r="AW186" s="23">
        <f>EXP(-LN(2)/2)*AW185+(1-EXP(-LN(2)/2))/(LN(2)/2)*AQ186*AT186*VLOOKUP('Données projet'!$B$10,Paramètres!$A$1:$I$89,3,0)*0.475*44/12</f>
        <v>0</v>
      </c>
      <c r="AX186" s="23">
        <f t="shared" si="166"/>
        <v>0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-9.6633812063373625E-13</v>
      </c>
      <c r="BE186" s="14">
        <f>BD186*VLOOKUP('Données projet'!$B$11,Paramètres!$A$1:$I$89,3,0)*VLOOKUP('Données projet'!$B$11,Paramètres!$A$1:$I$89,5,0)</f>
        <v>-9.3464223027694966E-13</v>
      </c>
      <c r="BF186" s="14" t="e">
        <f t="shared" si="167"/>
        <v>#NUM!</v>
      </c>
      <c r="BG186" s="22" t="e">
        <f t="shared" si="168"/>
        <v>#NUM!</v>
      </c>
      <c r="BH186" s="62" t="e">
        <f t="shared" si="116"/>
        <v>#NUM!</v>
      </c>
      <c r="BI186" s="62">
        <f ca="1">AVERAGE(OFFSET($BH$3,0,0,'Données projet'!$E$11+1,1))-AVERAGE(OFFSET($H$3,0,0,'Données projet'!$E$11+1,1))</f>
        <v>496.33873798282525</v>
      </c>
      <c r="BJ186" s="62">
        <f t="shared" si="146"/>
        <v>280.25465074992246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>
        <f>EXP(-LN(2)/35)*BP185+(1-EXP(-LN(2)/35))/(LN(2)/35)*BL186*BM186*VLOOKUP('Données projet'!$B$11,Paramètres!$A$1:$I$89,3,0)*0.475*44/12</f>
        <v>0</v>
      </c>
      <c r="BQ186" s="23">
        <f>EXP(-LN(2)/25)*BQ185+(1-EXP(-LN(2)/25))/(LN(2)/25)*Calculateur!BL186*Calculateur!BN186*VLOOKUP('Données projet'!$B$11,Paramètres!$A$1:$I$89,3,0)*0.475*44/12</f>
        <v>0</v>
      </c>
      <c r="BR186" s="23">
        <f>EXP(-LN(2)/2)*BR185+(1-EXP(-LN(2)/2))/(LN(2)/2)*BL186*BO186*VLOOKUP('Données projet'!$B$11,Paramètres!$A$1:$I$89,3,0)*0.475*44/12</f>
        <v>0</v>
      </c>
      <c r="BS186" s="24">
        <f t="shared" si="169"/>
        <v>0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-1.1368683772161603E-13</v>
      </c>
      <c r="BZ186" s="14">
        <f>BY186*VLOOKUP('Données projet'!$B$12,Paramètres!$A$1:$I$89,3,0)*VLOOKUP('Données projet'!$B$12,Paramètres!$A$1:$I$89,5,0)</f>
        <v>-9.9316821433603781E-14</v>
      </c>
      <c r="CA186" s="14" t="e">
        <f t="shared" si="170"/>
        <v>#NUM!</v>
      </c>
      <c r="CB186" s="22" t="e">
        <f t="shared" si="171"/>
        <v>#NUM!</v>
      </c>
      <c r="CC186" s="62" t="e">
        <f t="shared" si="119"/>
        <v>#NUM!</v>
      </c>
      <c r="CD186" s="62">
        <f ca="1">AVERAGE(OFFSET($CC$3,0,0,'Données projet'!$E$12+1,1))-AVERAGE(OFFSET($H$3,0,0,'Données projet'!$E$12+1,1))</f>
        <v>298.56812743477741</v>
      </c>
      <c r="CE186" s="62">
        <f t="shared" si="148"/>
        <v>276.01618888357268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>
        <f>EXP(-LN(2)/35)*CK185+(1-EXP(-LN(2)/35))/(LN(2)/35)*CG186*CH186*VLOOKUP('Données projet'!$B$12,Paramètres!$A$1:$I$89,3,0)*0.475*44/12</f>
        <v>0</v>
      </c>
      <c r="CL186" s="23">
        <f>EXP(-LN(2)/25)*CL185+(1-EXP(-LN(2)/25))/(LN(2)/25)*Calculateur!CG186*Calculateur!CI186*VLOOKUP('Données projet'!$B$12,Paramètres!$A$1:$I$89,3,0)*0.475*44/12</f>
        <v>0</v>
      </c>
      <c r="CM186" s="23">
        <f>EXP(-LN(2)/2)*CM185+(1-EXP(-LN(2)/2))/(LN(2)/2)*CG186*CJ186*VLOOKUP('Données projet'!$B$12,Paramètres!$A$1:$I$89,3,0)*0.475*44/12</f>
        <v>0</v>
      </c>
      <c r="CN186" s="24">
        <f t="shared" si="172"/>
        <v>0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2.2737367544323206E-13</v>
      </c>
      <c r="CU186" s="18">
        <f>CT186*VLOOKUP('Données projet'!$B$13,Paramètres!$A$1:$I$89,3,0)*VLOOKUP('Données projet'!$B$13,Paramètres!$A$1:$I$89,5,0)</f>
        <v>1.5252226148732008E-13</v>
      </c>
      <c r="CV186" s="14">
        <f t="shared" si="173"/>
        <v>2.1814502464536512E-12</v>
      </c>
      <c r="CW186" s="22">
        <f t="shared" si="174"/>
        <v>4.0650021179971913E-12</v>
      </c>
      <c r="CX186" s="62">
        <f t="shared" si="122"/>
        <v>289.60612764011705</v>
      </c>
      <c r="CY186" s="62">
        <f ca="1">AVERAGE(OFFSET($CX$3,0,0,'Données projet'!$E$13+1,1))-AVERAGE(OFFSET($H$3,0,0,'Données projet'!$E$13+1,1))</f>
        <v>346.82725381974132</v>
      </c>
      <c r="CZ186" s="62">
        <f t="shared" si="150"/>
        <v>254.09787950201044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>
        <f>EXP(-LN(2)/35)*DF185+(1-EXP(-LN(2)/35))/(LN(2)/35)*DB186*DC186*VLOOKUP('Données projet'!$B$13,Paramètres!$A$1:$I$89,3,0)*0.475*44/12</f>
        <v>0</v>
      </c>
      <c r="DG186" s="23">
        <f>EXP(-LN(2)/25)*DG185+(1-EXP(-LN(2)/25))/(LN(2)/25)*Calculateur!DB186*Calculateur!DD186*VLOOKUP('Données projet'!$B$13,Paramètres!$A$1:$I$89,3,0)*0.475*44/12</f>
        <v>0</v>
      </c>
      <c r="DH186" s="23">
        <f>EXP(-LN(2)/2)*DH185+(1-EXP(-LN(2)/2))/(LN(2)/2)*DB186*DE186*VLOOKUP('Données projet'!$B$13,Paramètres!$A$1:$I$89,3,0)*0.475*44/12</f>
        <v>0</v>
      </c>
      <c r="DI186" s="24">
        <f t="shared" si="175"/>
        <v>0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5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2">
        <f t="shared" si="140"/>
        <v>0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18.333333333333332</v>
      </c>
      <c r="H187" s="70">
        <f t="shared" si="110"/>
        <v>183.33333333333334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-9.6633812063373625E-13</v>
      </c>
      <c r="O187" s="14">
        <f>N187*VLOOKUP('Données projet'!$B$9,Paramètres!$A$1:$I$89,3,0)*VLOOKUP('Données projet'!$B$9,Paramètres!$A$1:$I$89,5,0)</f>
        <v>-8.7434273154940449E-13</v>
      </c>
      <c r="P187" s="14" t="e">
        <f t="shared" si="141"/>
        <v>#NUM!</v>
      </c>
      <c r="Q187" s="22" t="e">
        <f t="shared" si="162"/>
        <v>#NUM!</v>
      </c>
      <c r="R187" s="62" t="e">
        <f t="shared" si="109"/>
        <v>#NUM!</v>
      </c>
      <c r="S187" s="62">
        <f ca="1">AVERAGE(OFFSET($R$3,0,0,'Données projet'!$E$9+1,1))-AVERAGE(OFFSET($H$3,0,0,'Données projet'!$E$9+1,1))</f>
        <v>469.67944008675863</v>
      </c>
      <c r="T187" s="62">
        <f t="shared" si="142"/>
        <v>266.11908070867173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0</v>
      </c>
      <c r="AA187" s="23">
        <f>EXP(-LN(2)/25)*AA186+(1-EXP(-LN(2)/25))/(LN(2)/25)*Calculateur!V187*Calculateur!X187*VLOOKUP('Données projet'!$B$9,Paramètres!$A$1:$I$89,3,0)*0.475*44/12</f>
        <v>0</v>
      </c>
      <c r="AB187" s="23">
        <f>EXP(-LN(2)/2)*AB186+(1-EXP(-LN(2)/2))/(LN(2)/2)*V187*Y187*VLOOKUP('Données projet'!$B$9,Paramètres!$A$1:$I$89,3,0)*0.475*44/12</f>
        <v>0</v>
      </c>
      <c r="AC187" s="24">
        <f t="shared" si="163"/>
        <v>0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0</v>
      </c>
      <c r="AJ187" s="14">
        <f>AI187*VLOOKUP('Données projet'!$B$10,Paramètres!$A$1:$I$89,3,0)*VLOOKUP('Données projet'!$B$10,Paramètres!$A$1:$I$89,5,0)</f>
        <v>0</v>
      </c>
      <c r="AK187" s="14" t="e">
        <f t="shared" si="164"/>
        <v>#NUM!</v>
      </c>
      <c r="AL187" s="22" t="e">
        <f t="shared" si="165"/>
        <v>#NUM!</v>
      </c>
      <c r="AM187" s="62" t="e">
        <f t="shared" si="113"/>
        <v>#NUM!</v>
      </c>
      <c r="AN187" s="62">
        <f ca="1">AVERAGE(OFFSET($AM$3,0,0,'Données projet'!$E$10+1,1))-AVERAGE(OFFSET($H$3,0,0,'Données projet'!$E$10+1,1))</f>
        <v>400.48230125343474</v>
      </c>
      <c r="AO187" s="62">
        <f t="shared" si="144"/>
        <v>275.67023303885048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0</v>
      </c>
      <c r="AV187" s="23">
        <f>EXP(-LN(2)/25)*AV186+(1-EXP(-LN(2)/25))/(LN(2)/25)*Calculateur!AQ187*Calculateur!AS187*VLOOKUP('Données projet'!$B$10,Paramètres!$A$1:$I$89,3,0)*0.475*44/12</f>
        <v>0</v>
      </c>
      <c r="AW187" s="23">
        <f>EXP(-LN(2)/2)*AW186+(1-EXP(-LN(2)/2))/(LN(2)/2)*AQ187*AT187*VLOOKUP('Données projet'!$B$10,Paramètres!$A$1:$I$89,3,0)*0.475*44/12</f>
        <v>0</v>
      </c>
      <c r="AX187" s="23">
        <f t="shared" si="166"/>
        <v>0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-9.6633812063373625E-13</v>
      </c>
      <c r="BE187" s="14">
        <f>BD187*VLOOKUP('Données projet'!$B$11,Paramètres!$A$1:$I$89,3,0)*VLOOKUP('Données projet'!$B$11,Paramètres!$A$1:$I$89,5,0)</f>
        <v>-9.3464223027694966E-13</v>
      </c>
      <c r="BF187" s="14" t="e">
        <f t="shared" si="167"/>
        <v>#NUM!</v>
      </c>
      <c r="BG187" s="22" t="e">
        <f t="shared" si="168"/>
        <v>#NUM!</v>
      </c>
      <c r="BH187" s="62" t="e">
        <f t="shared" si="116"/>
        <v>#NUM!</v>
      </c>
      <c r="BI187" s="62">
        <f ca="1">AVERAGE(OFFSET($BH$3,0,0,'Données projet'!$E$11+1,1))-AVERAGE(OFFSET($H$3,0,0,'Données projet'!$E$11+1,1))</f>
        <v>496.33873798282525</v>
      </c>
      <c r="BJ187" s="62">
        <f t="shared" si="146"/>
        <v>280.25465074992246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>
        <f>EXP(-LN(2)/35)*BP186+(1-EXP(-LN(2)/35))/(LN(2)/35)*BL187*BM187*VLOOKUP('Données projet'!$B$11,Paramètres!$A$1:$I$89,3,0)*0.475*44/12</f>
        <v>0</v>
      </c>
      <c r="BQ187" s="23">
        <f>EXP(-LN(2)/25)*BQ186+(1-EXP(-LN(2)/25))/(LN(2)/25)*Calculateur!BL187*Calculateur!BN187*VLOOKUP('Données projet'!$B$11,Paramètres!$A$1:$I$89,3,0)*0.475*44/12</f>
        <v>0</v>
      </c>
      <c r="BR187" s="23">
        <f>EXP(-LN(2)/2)*BR186+(1-EXP(-LN(2)/2))/(LN(2)/2)*BL187*BO187*VLOOKUP('Données projet'!$B$11,Paramètres!$A$1:$I$89,3,0)*0.475*44/12</f>
        <v>0</v>
      </c>
      <c r="BS187" s="24">
        <f t="shared" si="169"/>
        <v>0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-1.1368683772161603E-13</v>
      </c>
      <c r="BZ187" s="14">
        <f>BY187*VLOOKUP('Données projet'!$B$12,Paramètres!$A$1:$I$89,3,0)*VLOOKUP('Données projet'!$B$12,Paramètres!$A$1:$I$89,5,0)</f>
        <v>-9.9316821433603781E-14</v>
      </c>
      <c r="CA187" s="14" t="e">
        <f t="shared" si="170"/>
        <v>#NUM!</v>
      </c>
      <c r="CB187" s="22" t="e">
        <f t="shared" si="171"/>
        <v>#NUM!</v>
      </c>
      <c r="CC187" s="62" t="e">
        <f t="shared" si="119"/>
        <v>#NUM!</v>
      </c>
      <c r="CD187" s="62">
        <f ca="1">AVERAGE(OFFSET($CC$3,0,0,'Données projet'!$E$12+1,1))-AVERAGE(OFFSET($H$3,0,0,'Données projet'!$E$12+1,1))</f>
        <v>298.56812743477741</v>
      </c>
      <c r="CE187" s="62">
        <f t="shared" si="148"/>
        <v>276.01618888357268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>
        <f>EXP(-LN(2)/35)*CK186+(1-EXP(-LN(2)/35))/(LN(2)/35)*CG187*CH187*VLOOKUP('Données projet'!$B$12,Paramètres!$A$1:$I$89,3,0)*0.475*44/12</f>
        <v>0</v>
      </c>
      <c r="CL187" s="23">
        <f>EXP(-LN(2)/25)*CL186+(1-EXP(-LN(2)/25))/(LN(2)/25)*Calculateur!CG187*Calculateur!CI187*VLOOKUP('Données projet'!$B$12,Paramètres!$A$1:$I$89,3,0)*0.475*44/12</f>
        <v>0</v>
      </c>
      <c r="CM187" s="23">
        <f>EXP(-LN(2)/2)*CM186+(1-EXP(-LN(2)/2))/(LN(2)/2)*CG187*CJ187*VLOOKUP('Données projet'!$B$12,Paramètres!$A$1:$I$89,3,0)*0.475*44/12</f>
        <v>0</v>
      </c>
      <c r="CN187" s="24">
        <f t="shared" si="172"/>
        <v>0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2.2737367544323206E-13</v>
      </c>
      <c r="CU187" s="18">
        <f>CT187*VLOOKUP('Données projet'!$B$13,Paramètres!$A$1:$I$89,3,0)*VLOOKUP('Données projet'!$B$13,Paramètres!$A$1:$I$89,5,0)</f>
        <v>1.5252226148732008E-13</v>
      </c>
      <c r="CV187" s="14">
        <f t="shared" si="173"/>
        <v>2.1814502464536512E-12</v>
      </c>
      <c r="CW187" s="22">
        <f t="shared" si="174"/>
        <v>4.0650021179971913E-12</v>
      </c>
      <c r="CX187" s="62">
        <f t="shared" si="122"/>
        <v>289.67078632611083</v>
      </c>
      <c r="CY187" s="62">
        <f ca="1">AVERAGE(OFFSET($CX$3,0,0,'Données projet'!$E$13+1,1))-AVERAGE(OFFSET($H$3,0,0,'Données projet'!$E$13+1,1))</f>
        <v>346.82725381974132</v>
      </c>
      <c r="CZ187" s="62">
        <f t="shared" si="150"/>
        <v>254.09787950201044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>
        <f>EXP(-LN(2)/35)*DF186+(1-EXP(-LN(2)/35))/(LN(2)/35)*DB187*DC187*VLOOKUP('Données projet'!$B$13,Paramètres!$A$1:$I$89,3,0)*0.475*44/12</f>
        <v>0</v>
      </c>
      <c r="DG187" s="23">
        <f>EXP(-LN(2)/25)*DG186+(1-EXP(-LN(2)/25))/(LN(2)/25)*Calculateur!DB187*Calculateur!DD187*VLOOKUP('Données projet'!$B$13,Paramètres!$A$1:$I$89,3,0)*0.475*44/12</f>
        <v>0</v>
      </c>
      <c r="DH187" s="23">
        <f>EXP(-LN(2)/2)*DH186+(1-EXP(-LN(2)/2))/(LN(2)/2)*DB187*DE187*VLOOKUP('Données projet'!$B$13,Paramètres!$A$1:$I$89,3,0)*0.475*44/12</f>
        <v>0</v>
      </c>
      <c r="DI187" s="24">
        <f t="shared" si="175"/>
        <v>0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5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2">
        <f t="shared" si="140"/>
        <v>0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18.333333333333332</v>
      </c>
      <c r="H188" s="70">
        <f t="shared" si="110"/>
        <v>183.33333333333334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-9.6633812063373625E-13</v>
      </c>
      <c r="O188" s="14">
        <f>N188*VLOOKUP('Données projet'!$B$9,Paramètres!$A$1:$I$89,3,0)*VLOOKUP('Données projet'!$B$9,Paramètres!$A$1:$I$89,5,0)</f>
        <v>-8.7434273154940449E-13</v>
      </c>
      <c r="P188" s="14" t="e">
        <f t="shared" si="141"/>
        <v>#NUM!</v>
      </c>
      <c r="Q188" s="22" t="e">
        <f t="shared" si="162"/>
        <v>#NUM!</v>
      </c>
      <c r="R188" s="62" t="e">
        <f t="shared" si="109"/>
        <v>#NUM!</v>
      </c>
      <c r="S188" s="62">
        <f ca="1">AVERAGE(OFFSET($R$3,0,0,'Données projet'!$E$9+1,1))-AVERAGE(OFFSET($H$3,0,0,'Données projet'!$E$9+1,1))</f>
        <v>469.67944008675863</v>
      </c>
      <c r="T188" s="62">
        <f t="shared" si="142"/>
        <v>266.11908070867173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0</v>
      </c>
      <c r="AA188" s="23">
        <f>EXP(-LN(2)/25)*AA187+(1-EXP(-LN(2)/25))/(LN(2)/25)*Calculateur!V188*Calculateur!X188*VLOOKUP('Données projet'!$B$9,Paramètres!$A$1:$I$89,3,0)*0.475*44/12</f>
        <v>0</v>
      </c>
      <c r="AB188" s="23">
        <f>EXP(-LN(2)/2)*AB187+(1-EXP(-LN(2)/2))/(LN(2)/2)*V188*Y188*VLOOKUP('Données projet'!$B$9,Paramètres!$A$1:$I$89,3,0)*0.475*44/12</f>
        <v>0</v>
      </c>
      <c r="AC188" s="24">
        <f t="shared" si="163"/>
        <v>0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0</v>
      </c>
      <c r="AJ188" s="14">
        <f>AI188*VLOOKUP('Données projet'!$B$10,Paramètres!$A$1:$I$89,3,0)*VLOOKUP('Données projet'!$B$10,Paramètres!$A$1:$I$89,5,0)</f>
        <v>0</v>
      </c>
      <c r="AK188" s="14" t="e">
        <f t="shared" si="164"/>
        <v>#NUM!</v>
      </c>
      <c r="AL188" s="22" t="e">
        <f t="shared" si="165"/>
        <v>#NUM!</v>
      </c>
      <c r="AM188" s="62" t="e">
        <f t="shared" si="113"/>
        <v>#NUM!</v>
      </c>
      <c r="AN188" s="62">
        <f ca="1">AVERAGE(OFFSET($AM$3,0,0,'Données projet'!$E$10+1,1))-AVERAGE(OFFSET($H$3,0,0,'Données projet'!$E$10+1,1))</f>
        <v>400.48230125343474</v>
      </c>
      <c r="AO188" s="62">
        <f t="shared" si="144"/>
        <v>275.67023303885048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0</v>
      </c>
      <c r="AV188" s="23">
        <f>EXP(-LN(2)/25)*AV187+(1-EXP(-LN(2)/25))/(LN(2)/25)*Calculateur!AQ188*Calculateur!AS188*VLOOKUP('Données projet'!$B$10,Paramètres!$A$1:$I$89,3,0)*0.475*44/12</f>
        <v>0</v>
      </c>
      <c r="AW188" s="23">
        <f>EXP(-LN(2)/2)*AW187+(1-EXP(-LN(2)/2))/(LN(2)/2)*AQ188*AT188*VLOOKUP('Données projet'!$B$10,Paramètres!$A$1:$I$89,3,0)*0.475*44/12</f>
        <v>0</v>
      </c>
      <c r="AX188" s="23">
        <f t="shared" si="166"/>
        <v>0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-9.6633812063373625E-13</v>
      </c>
      <c r="BE188" s="14">
        <f>BD188*VLOOKUP('Données projet'!$B$11,Paramètres!$A$1:$I$89,3,0)*VLOOKUP('Données projet'!$B$11,Paramètres!$A$1:$I$89,5,0)</f>
        <v>-9.3464223027694966E-13</v>
      </c>
      <c r="BF188" s="14" t="e">
        <f t="shared" si="167"/>
        <v>#NUM!</v>
      </c>
      <c r="BG188" s="22" t="e">
        <f t="shared" si="168"/>
        <v>#NUM!</v>
      </c>
      <c r="BH188" s="62" t="e">
        <f t="shared" si="116"/>
        <v>#NUM!</v>
      </c>
      <c r="BI188" s="62">
        <f ca="1">AVERAGE(OFFSET($BH$3,0,0,'Données projet'!$E$11+1,1))-AVERAGE(OFFSET($H$3,0,0,'Données projet'!$E$11+1,1))</f>
        <v>496.33873798282525</v>
      </c>
      <c r="BJ188" s="62">
        <f t="shared" si="146"/>
        <v>280.25465074992246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>
        <f>EXP(-LN(2)/35)*BP187+(1-EXP(-LN(2)/35))/(LN(2)/35)*BL188*BM188*VLOOKUP('Données projet'!$B$11,Paramètres!$A$1:$I$89,3,0)*0.475*44/12</f>
        <v>0</v>
      </c>
      <c r="BQ188" s="23">
        <f>EXP(-LN(2)/25)*BQ187+(1-EXP(-LN(2)/25))/(LN(2)/25)*Calculateur!BL188*Calculateur!BN188*VLOOKUP('Données projet'!$B$11,Paramètres!$A$1:$I$89,3,0)*0.475*44/12</f>
        <v>0</v>
      </c>
      <c r="BR188" s="23">
        <f>EXP(-LN(2)/2)*BR187+(1-EXP(-LN(2)/2))/(LN(2)/2)*BL188*BO188*VLOOKUP('Données projet'!$B$11,Paramètres!$A$1:$I$89,3,0)*0.475*44/12</f>
        <v>0</v>
      </c>
      <c r="BS188" s="24">
        <f t="shared" si="169"/>
        <v>0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-1.1368683772161603E-13</v>
      </c>
      <c r="BZ188" s="14">
        <f>BY188*VLOOKUP('Données projet'!$B$12,Paramètres!$A$1:$I$89,3,0)*VLOOKUP('Données projet'!$B$12,Paramètres!$A$1:$I$89,5,0)</f>
        <v>-9.9316821433603781E-14</v>
      </c>
      <c r="CA188" s="14" t="e">
        <f t="shared" si="170"/>
        <v>#NUM!</v>
      </c>
      <c r="CB188" s="22" t="e">
        <f t="shared" si="171"/>
        <v>#NUM!</v>
      </c>
      <c r="CC188" s="62" t="e">
        <f t="shared" si="119"/>
        <v>#NUM!</v>
      </c>
      <c r="CD188" s="62">
        <f ca="1">AVERAGE(OFFSET($CC$3,0,0,'Données projet'!$E$12+1,1))-AVERAGE(OFFSET($H$3,0,0,'Données projet'!$E$12+1,1))</f>
        <v>298.56812743477741</v>
      </c>
      <c r="CE188" s="62">
        <f t="shared" si="148"/>
        <v>276.01618888357268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>
        <f>EXP(-LN(2)/35)*CK187+(1-EXP(-LN(2)/35))/(LN(2)/35)*CG188*CH188*VLOOKUP('Données projet'!$B$12,Paramètres!$A$1:$I$89,3,0)*0.475*44/12</f>
        <v>0</v>
      </c>
      <c r="CL188" s="23">
        <f>EXP(-LN(2)/25)*CL187+(1-EXP(-LN(2)/25))/(LN(2)/25)*Calculateur!CG188*Calculateur!CI188*VLOOKUP('Données projet'!$B$12,Paramètres!$A$1:$I$89,3,0)*0.475*44/12</f>
        <v>0</v>
      </c>
      <c r="CM188" s="23">
        <f>EXP(-LN(2)/2)*CM187+(1-EXP(-LN(2)/2))/(LN(2)/2)*CG188*CJ188*VLOOKUP('Données projet'!$B$12,Paramètres!$A$1:$I$89,3,0)*0.475*44/12</f>
        <v>0</v>
      </c>
      <c r="CN188" s="24">
        <f t="shared" si="172"/>
        <v>0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2.2737367544323206E-13</v>
      </c>
      <c r="CU188" s="18">
        <f>CT188*VLOOKUP('Données projet'!$B$13,Paramètres!$A$1:$I$89,3,0)*VLOOKUP('Données projet'!$B$13,Paramètres!$A$1:$I$89,5,0)</f>
        <v>1.5252226148732008E-13</v>
      </c>
      <c r="CV188" s="14">
        <f t="shared" si="173"/>
        <v>2.1814502464536512E-12</v>
      </c>
      <c r="CW188" s="22">
        <f t="shared" si="174"/>
        <v>4.0650021179971913E-12</v>
      </c>
      <c r="CX188" s="62">
        <f t="shared" si="122"/>
        <v>289.73432332845783</v>
      </c>
      <c r="CY188" s="62">
        <f ca="1">AVERAGE(OFFSET($CX$3,0,0,'Données projet'!$E$13+1,1))-AVERAGE(OFFSET($H$3,0,0,'Données projet'!$E$13+1,1))</f>
        <v>346.82725381974132</v>
      </c>
      <c r="CZ188" s="62">
        <f t="shared" si="150"/>
        <v>254.09787950201044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>
        <f>EXP(-LN(2)/35)*DF187+(1-EXP(-LN(2)/35))/(LN(2)/35)*DB188*DC188*VLOOKUP('Données projet'!$B$13,Paramètres!$A$1:$I$89,3,0)*0.475*44/12</f>
        <v>0</v>
      </c>
      <c r="DG188" s="23">
        <f>EXP(-LN(2)/25)*DG187+(1-EXP(-LN(2)/25))/(LN(2)/25)*Calculateur!DB188*Calculateur!DD188*VLOOKUP('Données projet'!$B$13,Paramètres!$A$1:$I$89,3,0)*0.475*44/12</f>
        <v>0</v>
      </c>
      <c r="DH188" s="23">
        <f>EXP(-LN(2)/2)*DH187+(1-EXP(-LN(2)/2))/(LN(2)/2)*DB188*DE188*VLOOKUP('Données projet'!$B$13,Paramètres!$A$1:$I$89,3,0)*0.475*44/12</f>
        <v>0</v>
      </c>
      <c r="DI188" s="24">
        <f t="shared" si="175"/>
        <v>0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5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2">
        <f t="shared" si="140"/>
        <v>0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18.333333333333332</v>
      </c>
      <c r="H189" s="70">
        <f t="shared" si="110"/>
        <v>183.33333333333334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-9.6633812063373625E-13</v>
      </c>
      <c r="O189" s="14">
        <f>N189*VLOOKUP('Données projet'!$B$9,Paramètres!$A$1:$I$89,3,0)*VLOOKUP('Données projet'!$B$9,Paramètres!$A$1:$I$89,5,0)</f>
        <v>-8.7434273154940449E-13</v>
      </c>
      <c r="P189" s="14" t="e">
        <f t="shared" si="141"/>
        <v>#NUM!</v>
      </c>
      <c r="Q189" s="22" t="e">
        <f t="shared" si="162"/>
        <v>#NUM!</v>
      </c>
      <c r="R189" s="62" t="e">
        <f t="shared" si="109"/>
        <v>#NUM!</v>
      </c>
      <c r="S189" s="62">
        <f ca="1">AVERAGE(OFFSET($R$3,0,0,'Données projet'!$E$9+1,1))-AVERAGE(OFFSET($H$3,0,0,'Données projet'!$E$9+1,1))</f>
        <v>469.67944008675863</v>
      </c>
      <c r="T189" s="62">
        <f t="shared" si="142"/>
        <v>266.11908070867173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0</v>
      </c>
      <c r="AA189" s="23">
        <f>EXP(-LN(2)/25)*AA188+(1-EXP(-LN(2)/25))/(LN(2)/25)*Calculateur!V189*Calculateur!X189*VLOOKUP('Données projet'!$B$9,Paramètres!$A$1:$I$89,3,0)*0.475*44/12</f>
        <v>0</v>
      </c>
      <c r="AB189" s="23">
        <f>EXP(-LN(2)/2)*AB188+(1-EXP(-LN(2)/2))/(LN(2)/2)*V189*Y189*VLOOKUP('Données projet'!$B$9,Paramètres!$A$1:$I$89,3,0)*0.475*44/12</f>
        <v>0</v>
      </c>
      <c r="AC189" s="24">
        <f t="shared" si="163"/>
        <v>0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0</v>
      </c>
      <c r="AJ189" s="14">
        <f>AI189*VLOOKUP('Données projet'!$B$10,Paramètres!$A$1:$I$89,3,0)*VLOOKUP('Données projet'!$B$10,Paramètres!$A$1:$I$89,5,0)</f>
        <v>0</v>
      </c>
      <c r="AK189" s="14" t="e">
        <f t="shared" si="164"/>
        <v>#NUM!</v>
      </c>
      <c r="AL189" s="22" t="e">
        <f t="shared" si="165"/>
        <v>#NUM!</v>
      </c>
      <c r="AM189" s="62" t="e">
        <f t="shared" si="113"/>
        <v>#NUM!</v>
      </c>
      <c r="AN189" s="62">
        <f ca="1">AVERAGE(OFFSET($AM$3,0,0,'Données projet'!$E$10+1,1))-AVERAGE(OFFSET($H$3,0,0,'Données projet'!$E$10+1,1))</f>
        <v>400.48230125343474</v>
      </c>
      <c r="AO189" s="62">
        <f t="shared" si="144"/>
        <v>275.67023303885048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0</v>
      </c>
      <c r="AV189" s="23">
        <f>EXP(-LN(2)/25)*AV188+(1-EXP(-LN(2)/25))/(LN(2)/25)*Calculateur!AQ189*Calculateur!AS189*VLOOKUP('Données projet'!$B$10,Paramètres!$A$1:$I$89,3,0)*0.475*44/12</f>
        <v>0</v>
      </c>
      <c r="AW189" s="23">
        <f>EXP(-LN(2)/2)*AW188+(1-EXP(-LN(2)/2))/(LN(2)/2)*AQ189*AT189*VLOOKUP('Données projet'!$B$10,Paramètres!$A$1:$I$89,3,0)*0.475*44/12</f>
        <v>0</v>
      </c>
      <c r="AX189" s="23">
        <f t="shared" si="166"/>
        <v>0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-9.6633812063373625E-13</v>
      </c>
      <c r="BE189" s="14">
        <f>BD189*VLOOKUP('Données projet'!$B$11,Paramètres!$A$1:$I$89,3,0)*VLOOKUP('Données projet'!$B$11,Paramètres!$A$1:$I$89,5,0)</f>
        <v>-9.3464223027694966E-13</v>
      </c>
      <c r="BF189" s="14" t="e">
        <f t="shared" si="167"/>
        <v>#NUM!</v>
      </c>
      <c r="BG189" s="22" t="e">
        <f t="shared" si="168"/>
        <v>#NUM!</v>
      </c>
      <c r="BH189" s="62" t="e">
        <f t="shared" si="116"/>
        <v>#NUM!</v>
      </c>
      <c r="BI189" s="62">
        <f ca="1">AVERAGE(OFFSET($BH$3,0,0,'Données projet'!$E$11+1,1))-AVERAGE(OFFSET($H$3,0,0,'Données projet'!$E$11+1,1))</f>
        <v>496.33873798282525</v>
      </c>
      <c r="BJ189" s="62">
        <f t="shared" si="146"/>
        <v>280.25465074992246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>
        <f>EXP(-LN(2)/35)*BP188+(1-EXP(-LN(2)/35))/(LN(2)/35)*BL189*BM189*VLOOKUP('Données projet'!$B$11,Paramètres!$A$1:$I$89,3,0)*0.475*44/12</f>
        <v>0</v>
      </c>
      <c r="BQ189" s="23">
        <f>EXP(-LN(2)/25)*BQ188+(1-EXP(-LN(2)/25))/(LN(2)/25)*Calculateur!BL189*Calculateur!BN189*VLOOKUP('Données projet'!$B$11,Paramètres!$A$1:$I$89,3,0)*0.475*44/12</f>
        <v>0</v>
      </c>
      <c r="BR189" s="23">
        <f>EXP(-LN(2)/2)*BR188+(1-EXP(-LN(2)/2))/(LN(2)/2)*BL189*BO189*VLOOKUP('Données projet'!$B$11,Paramètres!$A$1:$I$89,3,0)*0.475*44/12</f>
        <v>0</v>
      </c>
      <c r="BS189" s="24">
        <f t="shared" si="169"/>
        <v>0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-1.1368683772161603E-13</v>
      </c>
      <c r="BZ189" s="14">
        <f>BY189*VLOOKUP('Données projet'!$B$12,Paramètres!$A$1:$I$89,3,0)*VLOOKUP('Données projet'!$B$12,Paramètres!$A$1:$I$89,5,0)</f>
        <v>-9.9316821433603781E-14</v>
      </c>
      <c r="CA189" s="14" t="e">
        <f t="shared" si="170"/>
        <v>#NUM!</v>
      </c>
      <c r="CB189" s="22" t="e">
        <f t="shared" si="171"/>
        <v>#NUM!</v>
      </c>
      <c r="CC189" s="62" t="e">
        <f t="shared" si="119"/>
        <v>#NUM!</v>
      </c>
      <c r="CD189" s="62">
        <f ca="1">AVERAGE(OFFSET($CC$3,0,0,'Données projet'!$E$12+1,1))-AVERAGE(OFFSET($H$3,0,0,'Données projet'!$E$12+1,1))</f>
        <v>298.56812743477741</v>
      </c>
      <c r="CE189" s="62">
        <f t="shared" si="148"/>
        <v>276.01618888357268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>
        <f>EXP(-LN(2)/35)*CK188+(1-EXP(-LN(2)/35))/(LN(2)/35)*CG189*CH189*VLOOKUP('Données projet'!$B$12,Paramètres!$A$1:$I$89,3,0)*0.475*44/12</f>
        <v>0</v>
      </c>
      <c r="CL189" s="23">
        <f>EXP(-LN(2)/25)*CL188+(1-EXP(-LN(2)/25))/(LN(2)/25)*Calculateur!CG189*Calculateur!CI189*VLOOKUP('Données projet'!$B$12,Paramètres!$A$1:$I$89,3,0)*0.475*44/12</f>
        <v>0</v>
      </c>
      <c r="CM189" s="23">
        <f>EXP(-LN(2)/2)*CM188+(1-EXP(-LN(2)/2))/(LN(2)/2)*CG189*CJ189*VLOOKUP('Données projet'!$B$12,Paramètres!$A$1:$I$89,3,0)*0.475*44/12</f>
        <v>0</v>
      </c>
      <c r="CN189" s="24">
        <f t="shared" si="172"/>
        <v>0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2.2737367544323206E-13</v>
      </c>
      <c r="CU189" s="18">
        <f>CT189*VLOOKUP('Données projet'!$B$13,Paramètres!$A$1:$I$89,3,0)*VLOOKUP('Données projet'!$B$13,Paramètres!$A$1:$I$89,5,0)</f>
        <v>1.5252226148732008E-13</v>
      </c>
      <c r="CV189" s="14">
        <f t="shared" si="173"/>
        <v>2.1814502464536512E-12</v>
      </c>
      <c r="CW189" s="22">
        <f t="shared" si="174"/>
        <v>4.0650021179971913E-12</v>
      </c>
      <c r="CX189" s="62">
        <f t="shared" si="122"/>
        <v>289.7967581058615</v>
      </c>
      <c r="CY189" s="62">
        <f ca="1">AVERAGE(OFFSET($CX$3,0,0,'Données projet'!$E$13+1,1))-AVERAGE(OFFSET($H$3,0,0,'Données projet'!$E$13+1,1))</f>
        <v>346.82725381974132</v>
      </c>
      <c r="CZ189" s="62">
        <f t="shared" si="150"/>
        <v>254.09787950201044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>
        <f>EXP(-LN(2)/35)*DF188+(1-EXP(-LN(2)/35))/(LN(2)/35)*DB189*DC189*VLOOKUP('Données projet'!$B$13,Paramètres!$A$1:$I$89,3,0)*0.475*44/12</f>
        <v>0</v>
      </c>
      <c r="DG189" s="23">
        <f>EXP(-LN(2)/25)*DG188+(1-EXP(-LN(2)/25))/(LN(2)/25)*Calculateur!DB189*Calculateur!DD189*VLOOKUP('Données projet'!$B$13,Paramètres!$A$1:$I$89,3,0)*0.475*44/12</f>
        <v>0</v>
      </c>
      <c r="DH189" s="23">
        <f>EXP(-LN(2)/2)*DH188+(1-EXP(-LN(2)/2))/(LN(2)/2)*DB189*DE189*VLOOKUP('Données projet'!$B$13,Paramètres!$A$1:$I$89,3,0)*0.475*44/12</f>
        <v>0</v>
      </c>
      <c r="DI189" s="24">
        <f t="shared" si="175"/>
        <v>0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5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2">
        <f t="shared" si="140"/>
        <v>0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18.333333333333332</v>
      </c>
      <c r="H190" s="70">
        <f t="shared" si="110"/>
        <v>183.33333333333334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-9.6633812063373625E-13</v>
      </c>
      <c r="O190" s="14">
        <f>N190*VLOOKUP('Données projet'!$B$9,Paramètres!$A$1:$I$89,3,0)*VLOOKUP('Données projet'!$B$9,Paramètres!$A$1:$I$89,5,0)</f>
        <v>-8.7434273154940449E-13</v>
      </c>
      <c r="P190" s="14" t="e">
        <f t="shared" si="141"/>
        <v>#NUM!</v>
      </c>
      <c r="Q190" s="22" t="e">
        <f t="shared" si="162"/>
        <v>#NUM!</v>
      </c>
      <c r="R190" s="62" t="e">
        <f t="shared" si="109"/>
        <v>#NUM!</v>
      </c>
      <c r="S190" s="62">
        <f ca="1">AVERAGE(OFFSET($R$3,0,0,'Données projet'!$E$9+1,1))-AVERAGE(OFFSET($H$3,0,0,'Données projet'!$E$9+1,1))</f>
        <v>469.67944008675863</v>
      </c>
      <c r="T190" s="62">
        <f t="shared" si="142"/>
        <v>266.11908070867173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0</v>
      </c>
      <c r="AA190" s="23">
        <f>EXP(-LN(2)/25)*AA189+(1-EXP(-LN(2)/25))/(LN(2)/25)*Calculateur!V190*Calculateur!X190*VLOOKUP('Données projet'!$B$9,Paramètres!$A$1:$I$89,3,0)*0.475*44/12</f>
        <v>0</v>
      </c>
      <c r="AB190" s="23">
        <f>EXP(-LN(2)/2)*AB189+(1-EXP(-LN(2)/2))/(LN(2)/2)*V190*Y190*VLOOKUP('Données projet'!$B$9,Paramètres!$A$1:$I$89,3,0)*0.475*44/12</f>
        <v>0</v>
      </c>
      <c r="AC190" s="24">
        <f t="shared" si="163"/>
        <v>0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0</v>
      </c>
      <c r="AJ190" s="14">
        <f>AI190*VLOOKUP('Données projet'!$B$10,Paramètres!$A$1:$I$89,3,0)*VLOOKUP('Données projet'!$B$10,Paramètres!$A$1:$I$89,5,0)</f>
        <v>0</v>
      </c>
      <c r="AK190" s="14" t="e">
        <f t="shared" si="164"/>
        <v>#NUM!</v>
      </c>
      <c r="AL190" s="22" t="e">
        <f t="shared" si="165"/>
        <v>#NUM!</v>
      </c>
      <c r="AM190" s="62" t="e">
        <f t="shared" si="113"/>
        <v>#NUM!</v>
      </c>
      <c r="AN190" s="62">
        <f ca="1">AVERAGE(OFFSET($AM$3,0,0,'Données projet'!$E$10+1,1))-AVERAGE(OFFSET($H$3,0,0,'Données projet'!$E$10+1,1))</f>
        <v>400.48230125343474</v>
      </c>
      <c r="AO190" s="62">
        <f t="shared" si="144"/>
        <v>275.67023303885048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0</v>
      </c>
      <c r="AV190" s="23">
        <f>EXP(-LN(2)/25)*AV189+(1-EXP(-LN(2)/25))/(LN(2)/25)*Calculateur!AQ190*Calculateur!AS190*VLOOKUP('Données projet'!$B$10,Paramètres!$A$1:$I$89,3,0)*0.475*44/12</f>
        <v>0</v>
      </c>
      <c r="AW190" s="23">
        <f>EXP(-LN(2)/2)*AW189+(1-EXP(-LN(2)/2))/(LN(2)/2)*AQ190*AT190*VLOOKUP('Données projet'!$B$10,Paramètres!$A$1:$I$89,3,0)*0.475*44/12</f>
        <v>0</v>
      </c>
      <c r="AX190" s="23">
        <f t="shared" si="166"/>
        <v>0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-9.6633812063373625E-13</v>
      </c>
      <c r="BE190" s="14">
        <f>BD190*VLOOKUP('Données projet'!$B$11,Paramètres!$A$1:$I$89,3,0)*VLOOKUP('Données projet'!$B$11,Paramètres!$A$1:$I$89,5,0)</f>
        <v>-9.3464223027694966E-13</v>
      </c>
      <c r="BF190" s="14" t="e">
        <f t="shared" si="167"/>
        <v>#NUM!</v>
      </c>
      <c r="BG190" s="22" t="e">
        <f t="shared" si="168"/>
        <v>#NUM!</v>
      </c>
      <c r="BH190" s="62" t="e">
        <f t="shared" si="116"/>
        <v>#NUM!</v>
      </c>
      <c r="BI190" s="62">
        <f ca="1">AVERAGE(OFFSET($BH$3,0,0,'Données projet'!$E$11+1,1))-AVERAGE(OFFSET($H$3,0,0,'Données projet'!$E$11+1,1))</f>
        <v>496.33873798282525</v>
      </c>
      <c r="BJ190" s="62">
        <f t="shared" si="146"/>
        <v>280.25465074992246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>
        <f>EXP(-LN(2)/35)*BP189+(1-EXP(-LN(2)/35))/(LN(2)/35)*BL190*BM190*VLOOKUP('Données projet'!$B$11,Paramètres!$A$1:$I$89,3,0)*0.475*44/12</f>
        <v>0</v>
      </c>
      <c r="BQ190" s="23">
        <f>EXP(-LN(2)/25)*BQ189+(1-EXP(-LN(2)/25))/(LN(2)/25)*Calculateur!BL190*Calculateur!BN190*VLOOKUP('Données projet'!$B$11,Paramètres!$A$1:$I$89,3,0)*0.475*44/12</f>
        <v>0</v>
      </c>
      <c r="BR190" s="23">
        <f>EXP(-LN(2)/2)*BR189+(1-EXP(-LN(2)/2))/(LN(2)/2)*BL190*BO190*VLOOKUP('Données projet'!$B$11,Paramètres!$A$1:$I$89,3,0)*0.475*44/12</f>
        <v>0</v>
      </c>
      <c r="BS190" s="24">
        <f t="shared" si="169"/>
        <v>0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-1.1368683772161603E-13</v>
      </c>
      <c r="BZ190" s="14">
        <f>BY190*VLOOKUP('Données projet'!$B$12,Paramètres!$A$1:$I$89,3,0)*VLOOKUP('Données projet'!$B$12,Paramètres!$A$1:$I$89,5,0)</f>
        <v>-9.9316821433603781E-14</v>
      </c>
      <c r="CA190" s="14" t="e">
        <f t="shared" si="170"/>
        <v>#NUM!</v>
      </c>
      <c r="CB190" s="22" t="e">
        <f t="shared" si="171"/>
        <v>#NUM!</v>
      </c>
      <c r="CC190" s="62" t="e">
        <f t="shared" si="119"/>
        <v>#NUM!</v>
      </c>
      <c r="CD190" s="62">
        <f ca="1">AVERAGE(OFFSET($CC$3,0,0,'Données projet'!$E$12+1,1))-AVERAGE(OFFSET($H$3,0,0,'Données projet'!$E$12+1,1))</f>
        <v>298.56812743477741</v>
      </c>
      <c r="CE190" s="62">
        <f t="shared" si="148"/>
        <v>276.01618888357268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>
        <f>EXP(-LN(2)/35)*CK189+(1-EXP(-LN(2)/35))/(LN(2)/35)*CG190*CH190*VLOOKUP('Données projet'!$B$12,Paramètres!$A$1:$I$89,3,0)*0.475*44/12</f>
        <v>0</v>
      </c>
      <c r="CL190" s="23">
        <f>EXP(-LN(2)/25)*CL189+(1-EXP(-LN(2)/25))/(LN(2)/25)*Calculateur!CG190*Calculateur!CI190*VLOOKUP('Données projet'!$B$12,Paramètres!$A$1:$I$89,3,0)*0.475*44/12</f>
        <v>0</v>
      </c>
      <c r="CM190" s="23">
        <f>EXP(-LN(2)/2)*CM189+(1-EXP(-LN(2)/2))/(LN(2)/2)*CG190*CJ190*VLOOKUP('Données projet'!$B$12,Paramètres!$A$1:$I$89,3,0)*0.475*44/12</f>
        <v>0</v>
      </c>
      <c r="CN190" s="24">
        <f t="shared" si="172"/>
        <v>0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2.2737367544323206E-13</v>
      </c>
      <c r="CU190" s="18">
        <f>CT190*VLOOKUP('Données projet'!$B$13,Paramètres!$A$1:$I$89,3,0)*VLOOKUP('Données projet'!$B$13,Paramètres!$A$1:$I$89,5,0)</f>
        <v>1.5252226148732008E-13</v>
      </c>
      <c r="CV190" s="14">
        <f t="shared" si="173"/>
        <v>2.1814502464536512E-12</v>
      </c>
      <c r="CW190" s="22">
        <f t="shared" si="174"/>
        <v>4.0650021179971913E-12</v>
      </c>
      <c r="CX190" s="62">
        <f t="shared" si="122"/>
        <v>289.85810977946051</v>
      </c>
      <c r="CY190" s="62">
        <f ca="1">AVERAGE(OFFSET($CX$3,0,0,'Données projet'!$E$13+1,1))-AVERAGE(OFFSET($H$3,0,0,'Données projet'!$E$13+1,1))</f>
        <v>346.82725381974132</v>
      </c>
      <c r="CZ190" s="62">
        <f t="shared" si="150"/>
        <v>254.09787950201044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>
        <f>EXP(-LN(2)/35)*DF189+(1-EXP(-LN(2)/35))/(LN(2)/35)*DB190*DC190*VLOOKUP('Données projet'!$B$13,Paramètres!$A$1:$I$89,3,0)*0.475*44/12</f>
        <v>0</v>
      </c>
      <c r="DG190" s="23">
        <f>EXP(-LN(2)/25)*DG189+(1-EXP(-LN(2)/25))/(LN(2)/25)*Calculateur!DB190*Calculateur!DD190*VLOOKUP('Données projet'!$B$13,Paramètres!$A$1:$I$89,3,0)*0.475*44/12</f>
        <v>0</v>
      </c>
      <c r="DH190" s="23">
        <f>EXP(-LN(2)/2)*DH189+(1-EXP(-LN(2)/2))/(LN(2)/2)*DB190*DE190*VLOOKUP('Données projet'!$B$13,Paramètres!$A$1:$I$89,3,0)*0.475*44/12</f>
        <v>0</v>
      </c>
      <c r="DI190" s="24">
        <f t="shared" si="175"/>
        <v>0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5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2">
        <f t="shared" si="140"/>
        <v>0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18.333333333333332</v>
      </c>
      <c r="H191" s="70">
        <f t="shared" si="110"/>
        <v>183.33333333333334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-9.6633812063373625E-13</v>
      </c>
      <c r="O191" s="14">
        <f>N191*VLOOKUP('Données projet'!$B$9,Paramètres!$A$1:$I$89,3,0)*VLOOKUP('Données projet'!$B$9,Paramètres!$A$1:$I$89,5,0)</f>
        <v>-8.7434273154940449E-13</v>
      </c>
      <c r="P191" s="14" t="e">
        <f t="shared" si="141"/>
        <v>#NUM!</v>
      </c>
      <c r="Q191" s="22" t="e">
        <f t="shared" si="162"/>
        <v>#NUM!</v>
      </c>
      <c r="R191" s="62" t="e">
        <f t="shared" si="109"/>
        <v>#NUM!</v>
      </c>
      <c r="S191" s="62">
        <f ca="1">AVERAGE(OFFSET($R$3,0,0,'Données projet'!$E$9+1,1))-AVERAGE(OFFSET($H$3,0,0,'Données projet'!$E$9+1,1))</f>
        <v>469.67944008675863</v>
      </c>
      <c r="T191" s="62">
        <f t="shared" si="142"/>
        <v>266.11908070867173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0</v>
      </c>
      <c r="AA191" s="23">
        <f>EXP(-LN(2)/25)*AA190+(1-EXP(-LN(2)/25))/(LN(2)/25)*Calculateur!V191*Calculateur!X191*VLOOKUP('Données projet'!$B$9,Paramètres!$A$1:$I$89,3,0)*0.475*44/12</f>
        <v>0</v>
      </c>
      <c r="AB191" s="23">
        <f>EXP(-LN(2)/2)*AB190+(1-EXP(-LN(2)/2))/(LN(2)/2)*V191*Y191*VLOOKUP('Données projet'!$B$9,Paramètres!$A$1:$I$89,3,0)*0.475*44/12</f>
        <v>0</v>
      </c>
      <c r="AC191" s="24">
        <f t="shared" si="163"/>
        <v>0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0</v>
      </c>
      <c r="AJ191" s="14">
        <f>AI191*VLOOKUP('Données projet'!$B$10,Paramètres!$A$1:$I$89,3,0)*VLOOKUP('Données projet'!$B$10,Paramètres!$A$1:$I$89,5,0)</f>
        <v>0</v>
      </c>
      <c r="AK191" s="14" t="e">
        <f t="shared" si="164"/>
        <v>#NUM!</v>
      </c>
      <c r="AL191" s="22" t="e">
        <f t="shared" si="165"/>
        <v>#NUM!</v>
      </c>
      <c r="AM191" s="62" t="e">
        <f t="shared" si="113"/>
        <v>#NUM!</v>
      </c>
      <c r="AN191" s="62">
        <f ca="1">AVERAGE(OFFSET($AM$3,0,0,'Données projet'!$E$10+1,1))-AVERAGE(OFFSET($H$3,0,0,'Données projet'!$E$10+1,1))</f>
        <v>400.48230125343474</v>
      </c>
      <c r="AO191" s="62">
        <f t="shared" si="144"/>
        <v>275.67023303885048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0</v>
      </c>
      <c r="AV191" s="23">
        <f>EXP(-LN(2)/25)*AV190+(1-EXP(-LN(2)/25))/(LN(2)/25)*Calculateur!AQ191*Calculateur!AS191*VLOOKUP('Données projet'!$B$10,Paramètres!$A$1:$I$89,3,0)*0.475*44/12</f>
        <v>0</v>
      </c>
      <c r="AW191" s="23">
        <f>EXP(-LN(2)/2)*AW190+(1-EXP(-LN(2)/2))/(LN(2)/2)*AQ191*AT191*VLOOKUP('Données projet'!$B$10,Paramètres!$A$1:$I$89,3,0)*0.475*44/12</f>
        <v>0</v>
      </c>
      <c r="AX191" s="23">
        <f t="shared" si="166"/>
        <v>0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-9.6633812063373625E-13</v>
      </c>
      <c r="BE191" s="14">
        <f>BD191*VLOOKUP('Données projet'!$B$11,Paramètres!$A$1:$I$89,3,0)*VLOOKUP('Données projet'!$B$11,Paramètres!$A$1:$I$89,5,0)</f>
        <v>-9.3464223027694966E-13</v>
      </c>
      <c r="BF191" s="14" t="e">
        <f t="shared" si="167"/>
        <v>#NUM!</v>
      </c>
      <c r="BG191" s="22" t="e">
        <f t="shared" si="168"/>
        <v>#NUM!</v>
      </c>
      <c r="BH191" s="62" t="e">
        <f t="shared" si="116"/>
        <v>#NUM!</v>
      </c>
      <c r="BI191" s="62">
        <f ca="1">AVERAGE(OFFSET($BH$3,0,0,'Données projet'!$E$11+1,1))-AVERAGE(OFFSET($H$3,0,0,'Données projet'!$E$11+1,1))</f>
        <v>496.33873798282525</v>
      </c>
      <c r="BJ191" s="62">
        <f t="shared" si="146"/>
        <v>280.25465074992246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>
        <f>EXP(-LN(2)/35)*BP190+(1-EXP(-LN(2)/35))/(LN(2)/35)*BL191*BM191*VLOOKUP('Données projet'!$B$11,Paramètres!$A$1:$I$89,3,0)*0.475*44/12</f>
        <v>0</v>
      </c>
      <c r="BQ191" s="23">
        <f>EXP(-LN(2)/25)*BQ190+(1-EXP(-LN(2)/25))/(LN(2)/25)*Calculateur!BL191*Calculateur!BN191*VLOOKUP('Données projet'!$B$11,Paramètres!$A$1:$I$89,3,0)*0.475*44/12</f>
        <v>0</v>
      </c>
      <c r="BR191" s="23">
        <f>EXP(-LN(2)/2)*BR190+(1-EXP(-LN(2)/2))/(LN(2)/2)*BL191*BO191*VLOOKUP('Données projet'!$B$11,Paramètres!$A$1:$I$89,3,0)*0.475*44/12</f>
        <v>0</v>
      </c>
      <c r="BS191" s="24">
        <f t="shared" si="169"/>
        <v>0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-1.1368683772161603E-13</v>
      </c>
      <c r="BZ191" s="14">
        <f>BY191*VLOOKUP('Données projet'!$B$12,Paramètres!$A$1:$I$89,3,0)*VLOOKUP('Données projet'!$B$12,Paramètres!$A$1:$I$89,5,0)</f>
        <v>-9.9316821433603781E-14</v>
      </c>
      <c r="CA191" s="14" t="e">
        <f t="shared" si="170"/>
        <v>#NUM!</v>
      </c>
      <c r="CB191" s="22" t="e">
        <f t="shared" si="171"/>
        <v>#NUM!</v>
      </c>
      <c r="CC191" s="62" t="e">
        <f t="shared" si="119"/>
        <v>#NUM!</v>
      </c>
      <c r="CD191" s="62">
        <f ca="1">AVERAGE(OFFSET($CC$3,0,0,'Données projet'!$E$12+1,1))-AVERAGE(OFFSET($H$3,0,0,'Données projet'!$E$12+1,1))</f>
        <v>298.56812743477741</v>
      </c>
      <c r="CE191" s="62">
        <f t="shared" si="148"/>
        <v>276.01618888357268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>
        <f>EXP(-LN(2)/35)*CK190+(1-EXP(-LN(2)/35))/(LN(2)/35)*CG191*CH191*VLOOKUP('Données projet'!$B$12,Paramètres!$A$1:$I$89,3,0)*0.475*44/12</f>
        <v>0</v>
      </c>
      <c r="CL191" s="23">
        <f>EXP(-LN(2)/25)*CL190+(1-EXP(-LN(2)/25))/(LN(2)/25)*Calculateur!CG191*Calculateur!CI191*VLOOKUP('Données projet'!$B$12,Paramètres!$A$1:$I$89,3,0)*0.475*44/12</f>
        <v>0</v>
      </c>
      <c r="CM191" s="23">
        <f>EXP(-LN(2)/2)*CM190+(1-EXP(-LN(2)/2))/(LN(2)/2)*CG191*CJ191*VLOOKUP('Données projet'!$B$12,Paramètres!$A$1:$I$89,3,0)*0.475*44/12</f>
        <v>0</v>
      </c>
      <c r="CN191" s="24">
        <f t="shared" si="172"/>
        <v>0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2.2737367544323206E-13</v>
      </c>
      <c r="CU191" s="18">
        <f>CT191*VLOOKUP('Données projet'!$B$13,Paramètres!$A$1:$I$89,3,0)*VLOOKUP('Données projet'!$B$13,Paramètres!$A$1:$I$89,5,0)</f>
        <v>1.5252226148732008E-13</v>
      </c>
      <c r="CV191" s="14">
        <f t="shared" si="173"/>
        <v>2.1814502464536512E-12</v>
      </c>
      <c r="CW191" s="22">
        <f t="shared" si="174"/>
        <v>4.0650021179971913E-12</v>
      </c>
      <c r="CX191" s="62">
        <f t="shared" si="122"/>
        <v>289.91839713868433</v>
      </c>
      <c r="CY191" s="62">
        <f ca="1">AVERAGE(OFFSET($CX$3,0,0,'Données projet'!$E$13+1,1))-AVERAGE(OFFSET($H$3,0,0,'Données projet'!$E$13+1,1))</f>
        <v>346.82725381974132</v>
      </c>
      <c r="CZ191" s="62">
        <f t="shared" si="150"/>
        <v>254.09787950201044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>
        <f>EXP(-LN(2)/35)*DF190+(1-EXP(-LN(2)/35))/(LN(2)/35)*DB191*DC191*VLOOKUP('Données projet'!$B$13,Paramètres!$A$1:$I$89,3,0)*0.475*44/12</f>
        <v>0</v>
      </c>
      <c r="DG191" s="23">
        <f>EXP(-LN(2)/25)*DG190+(1-EXP(-LN(2)/25))/(LN(2)/25)*Calculateur!DB191*Calculateur!DD191*VLOOKUP('Données projet'!$B$13,Paramètres!$A$1:$I$89,3,0)*0.475*44/12</f>
        <v>0</v>
      </c>
      <c r="DH191" s="23">
        <f>EXP(-LN(2)/2)*DH190+(1-EXP(-LN(2)/2))/(LN(2)/2)*DB191*DE191*VLOOKUP('Données projet'!$B$13,Paramètres!$A$1:$I$89,3,0)*0.475*44/12</f>
        <v>0</v>
      </c>
      <c r="DI191" s="24">
        <f t="shared" si="175"/>
        <v>0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5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2">
        <f t="shared" si="140"/>
        <v>0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18.333333333333332</v>
      </c>
      <c r="H192" s="70">
        <f t="shared" si="110"/>
        <v>183.33333333333334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-9.6633812063373625E-13</v>
      </c>
      <c r="O192" s="14">
        <f>N192*VLOOKUP('Données projet'!$B$9,Paramètres!$A$1:$I$89,3,0)*VLOOKUP('Données projet'!$B$9,Paramètres!$A$1:$I$89,5,0)</f>
        <v>-8.7434273154940449E-13</v>
      </c>
      <c r="P192" s="14" t="e">
        <f t="shared" si="141"/>
        <v>#NUM!</v>
      </c>
      <c r="Q192" s="22" t="e">
        <f t="shared" si="162"/>
        <v>#NUM!</v>
      </c>
      <c r="R192" s="62" t="e">
        <f t="shared" si="109"/>
        <v>#NUM!</v>
      </c>
      <c r="S192" s="62">
        <f ca="1">AVERAGE(OFFSET($R$3,0,0,'Données projet'!$E$9+1,1))-AVERAGE(OFFSET($H$3,0,0,'Données projet'!$E$9+1,1))</f>
        <v>469.67944008675863</v>
      </c>
      <c r="T192" s="62">
        <f t="shared" si="142"/>
        <v>266.11908070867173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0</v>
      </c>
      <c r="AA192" s="23">
        <f>EXP(-LN(2)/25)*AA191+(1-EXP(-LN(2)/25))/(LN(2)/25)*Calculateur!V192*Calculateur!X192*VLOOKUP('Données projet'!$B$9,Paramètres!$A$1:$I$89,3,0)*0.475*44/12</f>
        <v>0</v>
      </c>
      <c r="AB192" s="23">
        <f>EXP(-LN(2)/2)*AB191+(1-EXP(-LN(2)/2))/(LN(2)/2)*V192*Y192*VLOOKUP('Données projet'!$B$9,Paramètres!$A$1:$I$89,3,0)*0.475*44/12</f>
        <v>0</v>
      </c>
      <c r="AC192" s="24">
        <f t="shared" si="163"/>
        <v>0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0</v>
      </c>
      <c r="AJ192" s="14">
        <f>AI192*VLOOKUP('Données projet'!$B$10,Paramètres!$A$1:$I$89,3,0)*VLOOKUP('Données projet'!$B$10,Paramètres!$A$1:$I$89,5,0)</f>
        <v>0</v>
      </c>
      <c r="AK192" s="14" t="e">
        <f t="shared" si="164"/>
        <v>#NUM!</v>
      </c>
      <c r="AL192" s="22" t="e">
        <f t="shared" si="165"/>
        <v>#NUM!</v>
      </c>
      <c r="AM192" s="62" t="e">
        <f t="shared" si="113"/>
        <v>#NUM!</v>
      </c>
      <c r="AN192" s="62">
        <f ca="1">AVERAGE(OFFSET($AM$3,0,0,'Données projet'!$E$10+1,1))-AVERAGE(OFFSET($H$3,0,0,'Données projet'!$E$10+1,1))</f>
        <v>400.48230125343474</v>
      </c>
      <c r="AO192" s="62">
        <f t="shared" si="144"/>
        <v>275.67023303885048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0</v>
      </c>
      <c r="AV192" s="23">
        <f>EXP(-LN(2)/25)*AV191+(1-EXP(-LN(2)/25))/(LN(2)/25)*Calculateur!AQ192*Calculateur!AS192*VLOOKUP('Données projet'!$B$10,Paramètres!$A$1:$I$89,3,0)*0.475*44/12</f>
        <v>0</v>
      </c>
      <c r="AW192" s="23">
        <f>EXP(-LN(2)/2)*AW191+(1-EXP(-LN(2)/2))/(LN(2)/2)*AQ192*AT192*VLOOKUP('Données projet'!$B$10,Paramètres!$A$1:$I$89,3,0)*0.475*44/12</f>
        <v>0</v>
      </c>
      <c r="AX192" s="23">
        <f t="shared" si="166"/>
        <v>0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-9.6633812063373625E-13</v>
      </c>
      <c r="BE192" s="14">
        <f>BD192*VLOOKUP('Données projet'!$B$11,Paramètres!$A$1:$I$89,3,0)*VLOOKUP('Données projet'!$B$11,Paramètres!$A$1:$I$89,5,0)</f>
        <v>-9.3464223027694966E-13</v>
      </c>
      <c r="BF192" s="14" t="e">
        <f t="shared" si="167"/>
        <v>#NUM!</v>
      </c>
      <c r="BG192" s="22" t="e">
        <f t="shared" si="168"/>
        <v>#NUM!</v>
      </c>
      <c r="BH192" s="62" t="e">
        <f t="shared" si="116"/>
        <v>#NUM!</v>
      </c>
      <c r="BI192" s="62">
        <f ca="1">AVERAGE(OFFSET($BH$3,0,0,'Données projet'!$E$11+1,1))-AVERAGE(OFFSET($H$3,0,0,'Données projet'!$E$11+1,1))</f>
        <v>496.33873798282525</v>
      </c>
      <c r="BJ192" s="62">
        <f t="shared" si="146"/>
        <v>280.25465074992246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>
        <f>EXP(-LN(2)/35)*BP191+(1-EXP(-LN(2)/35))/(LN(2)/35)*BL192*BM192*VLOOKUP('Données projet'!$B$11,Paramètres!$A$1:$I$89,3,0)*0.475*44/12</f>
        <v>0</v>
      </c>
      <c r="BQ192" s="23">
        <f>EXP(-LN(2)/25)*BQ191+(1-EXP(-LN(2)/25))/(LN(2)/25)*Calculateur!BL192*Calculateur!BN192*VLOOKUP('Données projet'!$B$11,Paramètres!$A$1:$I$89,3,0)*0.475*44/12</f>
        <v>0</v>
      </c>
      <c r="BR192" s="23">
        <f>EXP(-LN(2)/2)*BR191+(1-EXP(-LN(2)/2))/(LN(2)/2)*BL192*BO192*VLOOKUP('Données projet'!$B$11,Paramètres!$A$1:$I$89,3,0)*0.475*44/12</f>
        <v>0</v>
      </c>
      <c r="BS192" s="24">
        <f t="shared" si="169"/>
        <v>0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-1.1368683772161603E-13</v>
      </c>
      <c r="BZ192" s="14">
        <f>BY192*VLOOKUP('Données projet'!$B$12,Paramètres!$A$1:$I$89,3,0)*VLOOKUP('Données projet'!$B$12,Paramètres!$A$1:$I$89,5,0)</f>
        <v>-9.9316821433603781E-14</v>
      </c>
      <c r="CA192" s="14" t="e">
        <f t="shared" si="170"/>
        <v>#NUM!</v>
      </c>
      <c r="CB192" s="22" t="e">
        <f t="shared" si="171"/>
        <v>#NUM!</v>
      </c>
      <c r="CC192" s="62" t="e">
        <f t="shared" si="119"/>
        <v>#NUM!</v>
      </c>
      <c r="CD192" s="62">
        <f ca="1">AVERAGE(OFFSET($CC$3,0,0,'Données projet'!$E$12+1,1))-AVERAGE(OFFSET($H$3,0,0,'Données projet'!$E$12+1,1))</f>
        <v>298.56812743477741</v>
      </c>
      <c r="CE192" s="62">
        <f t="shared" si="148"/>
        <v>276.01618888357268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>
        <f>EXP(-LN(2)/35)*CK191+(1-EXP(-LN(2)/35))/(LN(2)/35)*CG192*CH192*VLOOKUP('Données projet'!$B$12,Paramètres!$A$1:$I$89,3,0)*0.475*44/12</f>
        <v>0</v>
      </c>
      <c r="CL192" s="23">
        <f>EXP(-LN(2)/25)*CL191+(1-EXP(-LN(2)/25))/(LN(2)/25)*Calculateur!CG192*Calculateur!CI192*VLOOKUP('Données projet'!$B$12,Paramètres!$A$1:$I$89,3,0)*0.475*44/12</f>
        <v>0</v>
      </c>
      <c r="CM192" s="23">
        <f>EXP(-LN(2)/2)*CM191+(1-EXP(-LN(2)/2))/(LN(2)/2)*CG192*CJ192*VLOOKUP('Données projet'!$B$12,Paramètres!$A$1:$I$89,3,0)*0.475*44/12</f>
        <v>0</v>
      </c>
      <c r="CN192" s="24">
        <f t="shared" si="172"/>
        <v>0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2.2737367544323206E-13</v>
      </c>
      <c r="CU192" s="18">
        <f>CT192*VLOOKUP('Données projet'!$B$13,Paramètres!$A$1:$I$89,3,0)*VLOOKUP('Données projet'!$B$13,Paramètres!$A$1:$I$89,5,0)</f>
        <v>1.5252226148732008E-13</v>
      </c>
      <c r="CV192" s="14">
        <f t="shared" si="173"/>
        <v>2.1814502464536512E-12</v>
      </c>
      <c r="CW192" s="22">
        <f t="shared" si="174"/>
        <v>4.0650021179971913E-12</v>
      </c>
      <c r="CX192" s="62">
        <f t="shared" si="122"/>
        <v>289.97763864700795</v>
      </c>
      <c r="CY192" s="62">
        <f ca="1">AVERAGE(OFFSET($CX$3,0,0,'Données projet'!$E$13+1,1))-AVERAGE(OFFSET($H$3,0,0,'Données projet'!$E$13+1,1))</f>
        <v>346.82725381974132</v>
      </c>
      <c r="CZ192" s="62">
        <f t="shared" si="150"/>
        <v>254.09787950201044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>
        <f>EXP(-LN(2)/35)*DF191+(1-EXP(-LN(2)/35))/(LN(2)/35)*DB192*DC192*VLOOKUP('Données projet'!$B$13,Paramètres!$A$1:$I$89,3,0)*0.475*44/12</f>
        <v>0</v>
      </c>
      <c r="DG192" s="23">
        <f>EXP(-LN(2)/25)*DG191+(1-EXP(-LN(2)/25))/(LN(2)/25)*Calculateur!DB192*Calculateur!DD192*VLOOKUP('Données projet'!$B$13,Paramètres!$A$1:$I$89,3,0)*0.475*44/12</f>
        <v>0</v>
      </c>
      <c r="DH192" s="23">
        <f>EXP(-LN(2)/2)*DH191+(1-EXP(-LN(2)/2))/(LN(2)/2)*DB192*DE192*VLOOKUP('Données projet'!$B$13,Paramètres!$A$1:$I$89,3,0)*0.475*44/12</f>
        <v>0</v>
      </c>
      <c r="DI192" s="24">
        <f t="shared" si="175"/>
        <v>0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5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2">
        <f t="shared" si="140"/>
        <v>0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18.333333333333332</v>
      </c>
      <c r="H193" s="70">
        <f t="shared" si="110"/>
        <v>183.33333333333334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-9.6633812063373625E-13</v>
      </c>
      <c r="O193" s="14">
        <f>N193*VLOOKUP('Données projet'!$B$9,Paramètres!$A$1:$I$89,3,0)*VLOOKUP('Données projet'!$B$9,Paramètres!$A$1:$I$89,5,0)</f>
        <v>-8.7434273154940449E-13</v>
      </c>
      <c r="P193" s="14" t="e">
        <f t="shared" si="141"/>
        <v>#NUM!</v>
      </c>
      <c r="Q193" s="22" t="e">
        <f t="shared" si="162"/>
        <v>#NUM!</v>
      </c>
      <c r="R193" s="62" t="e">
        <f t="shared" si="109"/>
        <v>#NUM!</v>
      </c>
      <c r="S193" s="62">
        <f ca="1">AVERAGE(OFFSET($R$3,0,0,'Données projet'!$E$9+1,1))-AVERAGE(OFFSET($H$3,0,0,'Données projet'!$E$9+1,1))</f>
        <v>469.67944008675863</v>
      </c>
      <c r="T193" s="62">
        <f t="shared" si="142"/>
        <v>266.11908070867173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0</v>
      </c>
      <c r="AA193" s="23">
        <f>EXP(-LN(2)/25)*AA192+(1-EXP(-LN(2)/25))/(LN(2)/25)*Calculateur!V193*Calculateur!X193*VLOOKUP('Données projet'!$B$9,Paramètres!$A$1:$I$89,3,0)*0.475*44/12</f>
        <v>0</v>
      </c>
      <c r="AB193" s="23">
        <f>EXP(-LN(2)/2)*AB192+(1-EXP(-LN(2)/2))/(LN(2)/2)*V193*Y193*VLOOKUP('Données projet'!$B$9,Paramètres!$A$1:$I$89,3,0)*0.475*44/12</f>
        <v>0</v>
      </c>
      <c r="AC193" s="24">
        <f t="shared" si="163"/>
        <v>0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0</v>
      </c>
      <c r="AJ193" s="14">
        <f>AI193*VLOOKUP('Données projet'!$B$10,Paramètres!$A$1:$I$89,3,0)*VLOOKUP('Données projet'!$B$10,Paramètres!$A$1:$I$89,5,0)</f>
        <v>0</v>
      </c>
      <c r="AK193" s="14" t="e">
        <f t="shared" si="164"/>
        <v>#NUM!</v>
      </c>
      <c r="AL193" s="22" t="e">
        <f t="shared" si="165"/>
        <v>#NUM!</v>
      </c>
      <c r="AM193" s="62" t="e">
        <f t="shared" si="113"/>
        <v>#NUM!</v>
      </c>
      <c r="AN193" s="62">
        <f ca="1">AVERAGE(OFFSET($AM$3,0,0,'Données projet'!$E$10+1,1))-AVERAGE(OFFSET($H$3,0,0,'Données projet'!$E$10+1,1))</f>
        <v>400.48230125343474</v>
      </c>
      <c r="AO193" s="62">
        <f t="shared" si="144"/>
        <v>275.67023303885048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0</v>
      </c>
      <c r="AV193" s="23">
        <f>EXP(-LN(2)/25)*AV192+(1-EXP(-LN(2)/25))/(LN(2)/25)*Calculateur!AQ193*Calculateur!AS193*VLOOKUP('Données projet'!$B$10,Paramètres!$A$1:$I$89,3,0)*0.475*44/12</f>
        <v>0</v>
      </c>
      <c r="AW193" s="23">
        <f>EXP(-LN(2)/2)*AW192+(1-EXP(-LN(2)/2))/(LN(2)/2)*AQ193*AT193*VLOOKUP('Données projet'!$B$10,Paramètres!$A$1:$I$89,3,0)*0.475*44/12</f>
        <v>0</v>
      </c>
      <c r="AX193" s="23">
        <f t="shared" si="166"/>
        <v>0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-9.6633812063373625E-13</v>
      </c>
      <c r="BE193" s="14">
        <f>BD193*VLOOKUP('Données projet'!$B$11,Paramètres!$A$1:$I$89,3,0)*VLOOKUP('Données projet'!$B$11,Paramètres!$A$1:$I$89,5,0)</f>
        <v>-9.3464223027694966E-13</v>
      </c>
      <c r="BF193" s="14" t="e">
        <f t="shared" si="167"/>
        <v>#NUM!</v>
      </c>
      <c r="BG193" s="22" t="e">
        <f t="shared" si="168"/>
        <v>#NUM!</v>
      </c>
      <c r="BH193" s="62" t="e">
        <f t="shared" si="116"/>
        <v>#NUM!</v>
      </c>
      <c r="BI193" s="62">
        <f ca="1">AVERAGE(OFFSET($BH$3,0,0,'Données projet'!$E$11+1,1))-AVERAGE(OFFSET($H$3,0,0,'Données projet'!$E$11+1,1))</f>
        <v>496.33873798282525</v>
      </c>
      <c r="BJ193" s="62">
        <f t="shared" si="146"/>
        <v>280.25465074992246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>
        <f>EXP(-LN(2)/35)*BP192+(1-EXP(-LN(2)/35))/(LN(2)/35)*BL193*BM193*VLOOKUP('Données projet'!$B$11,Paramètres!$A$1:$I$89,3,0)*0.475*44/12</f>
        <v>0</v>
      </c>
      <c r="BQ193" s="23">
        <f>EXP(-LN(2)/25)*BQ192+(1-EXP(-LN(2)/25))/(LN(2)/25)*Calculateur!BL193*Calculateur!BN193*VLOOKUP('Données projet'!$B$11,Paramètres!$A$1:$I$89,3,0)*0.475*44/12</f>
        <v>0</v>
      </c>
      <c r="BR193" s="23">
        <f>EXP(-LN(2)/2)*BR192+(1-EXP(-LN(2)/2))/(LN(2)/2)*BL193*BO193*VLOOKUP('Données projet'!$B$11,Paramètres!$A$1:$I$89,3,0)*0.475*44/12</f>
        <v>0</v>
      </c>
      <c r="BS193" s="24">
        <f t="shared" si="169"/>
        <v>0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-1.1368683772161603E-13</v>
      </c>
      <c r="BZ193" s="14">
        <f>BY193*VLOOKUP('Données projet'!$B$12,Paramètres!$A$1:$I$89,3,0)*VLOOKUP('Données projet'!$B$12,Paramètres!$A$1:$I$89,5,0)</f>
        <v>-9.9316821433603781E-14</v>
      </c>
      <c r="CA193" s="14" t="e">
        <f t="shared" si="170"/>
        <v>#NUM!</v>
      </c>
      <c r="CB193" s="22" t="e">
        <f t="shared" si="171"/>
        <v>#NUM!</v>
      </c>
      <c r="CC193" s="62" t="e">
        <f t="shared" si="119"/>
        <v>#NUM!</v>
      </c>
      <c r="CD193" s="62">
        <f ca="1">AVERAGE(OFFSET($CC$3,0,0,'Données projet'!$E$12+1,1))-AVERAGE(OFFSET($H$3,0,0,'Données projet'!$E$12+1,1))</f>
        <v>298.56812743477741</v>
      </c>
      <c r="CE193" s="62">
        <f t="shared" si="148"/>
        <v>276.01618888357268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>
        <f>EXP(-LN(2)/35)*CK192+(1-EXP(-LN(2)/35))/(LN(2)/35)*CG193*CH193*VLOOKUP('Données projet'!$B$12,Paramètres!$A$1:$I$89,3,0)*0.475*44/12</f>
        <v>0</v>
      </c>
      <c r="CL193" s="23">
        <f>EXP(-LN(2)/25)*CL192+(1-EXP(-LN(2)/25))/(LN(2)/25)*Calculateur!CG193*Calculateur!CI193*VLOOKUP('Données projet'!$B$12,Paramètres!$A$1:$I$89,3,0)*0.475*44/12</f>
        <v>0</v>
      </c>
      <c r="CM193" s="23">
        <f>EXP(-LN(2)/2)*CM192+(1-EXP(-LN(2)/2))/(LN(2)/2)*CG193*CJ193*VLOOKUP('Données projet'!$B$12,Paramètres!$A$1:$I$89,3,0)*0.475*44/12</f>
        <v>0</v>
      </c>
      <c r="CN193" s="24">
        <f t="shared" si="172"/>
        <v>0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2.2737367544323206E-13</v>
      </c>
      <c r="CU193" s="18">
        <f>CT193*VLOOKUP('Données projet'!$B$13,Paramètres!$A$1:$I$89,3,0)*VLOOKUP('Données projet'!$B$13,Paramètres!$A$1:$I$89,5,0)</f>
        <v>1.5252226148732008E-13</v>
      </c>
      <c r="CV193" s="14">
        <f t="shared" si="173"/>
        <v>2.1814502464536512E-12</v>
      </c>
      <c r="CW193" s="22">
        <f t="shared" si="174"/>
        <v>4.0650021179971913E-12</v>
      </c>
      <c r="CX193" s="62">
        <f t="shared" si="122"/>
        <v>290.03585244760637</v>
      </c>
      <c r="CY193" s="62">
        <f ca="1">AVERAGE(OFFSET($CX$3,0,0,'Données projet'!$E$13+1,1))-AVERAGE(OFFSET($H$3,0,0,'Données projet'!$E$13+1,1))</f>
        <v>346.82725381974132</v>
      </c>
      <c r="CZ193" s="62">
        <f t="shared" si="150"/>
        <v>254.09787950201044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>
        <f>EXP(-LN(2)/35)*DF192+(1-EXP(-LN(2)/35))/(LN(2)/35)*DB193*DC193*VLOOKUP('Données projet'!$B$13,Paramètres!$A$1:$I$89,3,0)*0.475*44/12</f>
        <v>0</v>
      </c>
      <c r="DG193" s="23">
        <f>EXP(-LN(2)/25)*DG192+(1-EXP(-LN(2)/25))/(LN(2)/25)*Calculateur!DB193*Calculateur!DD193*VLOOKUP('Données projet'!$B$13,Paramètres!$A$1:$I$89,3,0)*0.475*44/12</f>
        <v>0</v>
      </c>
      <c r="DH193" s="23">
        <f>EXP(-LN(2)/2)*DH192+(1-EXP(-LN(2)/2))/(LN(2)/2)*DB193*DE193*VLOOKUP('Données projet'!$B$13,Paramètres!$A$1:$I$89,3,0)*0.475*44/12</f>
        <v>0</v>
      </c>
      <c r="DI193" s="24">
        <f t="shared" si="175"/>
        <v>0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5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2">
        <f t="shared" si="140"/>
        <v>0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18.333333333333332</v>
      </c>
      <c r="H194" s="70">
        <f t="shared" si="110"/>
        <v>183.33333333333334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-9.6633812063373625E-13</v>
      </c>
      <c r="O194" s="14">
        <f>N194*VLOOKUP('Données projet'!$B$9,Paramètres!$A$1:$I$89,3,0)*VLOOKUP('Données projet'!$B$9,Paramètres!$A$1:$I$89,5,0)</f>
        <v>-8.7434273154940449E-13</v>
      </c>
      <c r="P194" s="14" t="e">
        <f t="shared" si="141"/>
        <v>#NUM!</v>
      </c>
      <c r="Q194" s="22" t="e">
        <f t="shared" si="162"/>
        <v>#NUM!</v>
      </c>
      <c r="R194" s="62" t="e">
        <f t="shared" si="109"/>
        <v>#NUM!</v>
      </c>
      <c r="S194" s="62">
        <f ca="1">AVERAGE(OFFSET($R$3,0,0,'Données projet'!$E$9+1,1))-AVERAGE(OFFSET($H$3,0,0,'Données projet'!$E$9+1,1))</f>
        <v>469.67944008675863</v>
      </c>
      <c r="T194" s="62">
        <f t="shared" si="142"/>
        <v>266.11908070867173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0</v>
      </c>
      <c r="AA194" s="23">
        <f>EXP(-LN(2)/25)*AA193+(1-EXP(-LN(2)/25))/(LN(2)/25)*Calculateur!V194*Calculateur!X194*VLOOKUP('Données projet'!$B$9,Paramètres!$A$1:$I$89,3,0)*0.475*44/12</f>
        <v>0</v>
      </c>
      <c r="AB194" s="23">
        <f>EXP(-LN(2)/2)*AB193+(1-EXP(-LN(2)/2))/(LN(2)/2)*V194*Y194*VLOOKUP('Données projet'!$B$9,Paramètres!$A$1:$I$89,3,0)*0.475*44/12</f>
        <v>0</v>
      </c>
      <c r="AC194" s="24">
        <f t="shared" si="163"/>
        <v>0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0</v>
      </c>
      <c r="AJ194" s="14">
        <f>AI194*VLOOKUP('Données projet'!$B$10,Paramètres!$A$1:$I$89,3,0)*VLOOKUP('Données projet'!$B$10,Paramètres!$A$1:$I$89,5,0)</f>
        <v>0</v>
      </c>
      <c r="AK194" s="14" t="e">
        <f t="shared" si="164"/>
        <v>#NUM!</v>
      </c>
      <c r="AL194" s="22" t="e">
        <f t="shared" si="165"/>
        <v>#NUM!</v>
      </c>
      <c r="AM194" s="62" t="e">
        <f t="shared" si="113"/>
        <v>#NUM!</v>
      </c>
      <c r="AN194" s="62">
        <f ca="1">AVERAGE(OFFSET($AM$3,0,0,'Données projet'!$E$10+1,1))-AVERAGE(OFFSET($H$3,0,0,'Données projet'!$E$10+1,1))</f>
        <v>400.48230125343474</v>
      </c>
      <c r="AO194" s="62">
        <f t="shared" si="144"/>
        <v>275.67023303885048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0</v>
      </c>
      <c r="AV194" s="23">
        <f>EXP(-LN(2)/25)*AV193+(1-EXP(-LN(2)/25))/(LN(2)/25)*Calculateur!AQ194*Calculateur!AS194*VLOOKUP('Données projet'!$B$10,Paramètres!$A$1:$I$89,3,0)*0.475*44/12</f>
        <v>0</v>
      </c>
      <c r="AW194" s="23">
        <f>EXP(-LN(2)/2)*AW193+(1-EXP(-LN(2)/2))/(LN(2)/2)*AQ194*AT194*VLOOKUP('Données projet'!$B$10,Paramètres!$A$1:$I$89,3,0)*0.475*44/12</f>
        <v>0</v>
      </c>
      <c r="AX194" s="23">
        <f t="shared" si="166"/>
        <v>0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-9.6633812063373625E-13</v>
      </c>
      <c r="BE194" s="14">
        <f>BD194*VLOOKUP('Données projet'!$B$11,Paramètres!$A$1:$I$89,3,0)*VLOOKUP('Données projet'!$B$11,Paramètres!$A$1:$I$89,5,0)</f>
        <v>-9.3464223027694966E-13</v>
      </c>
      <c r="BF194" s="14" t="e">
        <f t="shared" si="167"/>
        <v>#NUM!</v>
      </c>
      <c r="BG194" s="22" t="e">
        <f t="shared" si="168"/>
        <v>#NUM!</v>
      </c>
      <c r="BH194" s="62" t="e">
        <f t="shared" si="116"/>
        <v>#NUM!</v>
      </c>
      <c r="BI194" s="62">
        <f ca="1">AVERAGE(OFFSET($BH$3,0,0,'Données projet'!$E$11+1,1))-AVERAGE(OFFSET($H$3,0,0,'Données projet'!$E$11+1,1))</f>
        <v>496.33873798282525</v>
      </c>
      <c r="BJ194" s="62">
        <f t="shared" si="146"/>
        <v>280.25465074992246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>
        <f>EXP(-LN(2)/35)*BP193+(1-EXP(-LN(2)/35))/(LN(2)/35)*BL194*BM194*VLOOKUP('Données projet'!$B$11,Paramètres!$A$1:$I$89,3,0)*0.475*44/12</f>
        <v>0</v>
      </c>
      <c r="BQ194" s="23">
        <f>EXP(-LN(2)/25)*BQ193+(1-EXP(-LN(2)/25))/(LN(2)/25)*Calculateur!BL194*Calculateur!BN194*VLOOKUP('Données projet'!$B$11,Paramètres!$A$1:$I$89,3,0)*0.475*44/12</f>
        <v>0</v>
      </c>
      <c r="BR194" s="23">
        <f>EXP(-LN(2)/2)*BR193+(1-EXP(-LN(2)/2))/(LN(2)/2)*BL194*BO194*VLOOKUP('Données projet'!$B$11,Paramètres!$A$1:$I$89,3,0)*0.475*44/12</f>
        <v>0</v>
      </c>
      <c r="BS194" s="24">
        <f t="shared" si="169"/>
        <v>0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-1.1368683772161603E-13</v>
      </c>
      <c r="BZ194" s="14">
        <f>BY194*VLOOKUP('Données projet'!$B$12,Paramètres!$A$1:$I$89,3,0)*VLOOKUP('Données projet'!$B$12,Paramètres!$A$1:$I$89,5,0)</f>
        <v>-9.9316821433603781E-14</v>
      </c>
      <c r="CA194" s="14" t="e">
        <f t="shared" si="170"/>
        <v>#NUM!</v>
      </c>
      <c r="CB194" s="22" t="e">
        <f t="shared" si="171"/>
        <v>#NUM!</v>
      </c>
      <c r="CC194" s="62" t="e">
        <f t="shared" si="119"/>
        <v>#NUM!</v>
      </c>
      <c r="CD194" s="62">
        <f ca="1">AVERAGE(OFFSET($CC$3,0,0,'Données projet'!$E$12+1,1))-AVERAGE(OFFSET($H$3,0,0,'Données projet'!$E$12+1,1))</f>
        <v>298.56812743477741</v>
      </c>
      <c r="CE194" s="62">
        <f t="shared" si="148"/>
        <v>276.01618888357268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>
        <f>EXP(-LN(2)/35)*CK193+(1-EXP(-LN(2)/35))/(LN(2)/35)*CG194*CH194*VLOOKUP('Données projet'!$B$12,Paramètres!$A$1:$I$89,3,0)*0.475*44/12</f>
        <v>0</v>
      </c>
      <c r="CL194" s="23">
        <f>EXP(-LN(2)/25)*CL193+(1-EXP(-LN(2)/25))/(LN(2)/25)*Calculateur!CG194*Calculateur!CI194*VLOOKUP('Données projet'!$B$12,Paramètres!$A$1:$I$89,3,0)*0.475*44/12</f>
        <v>0</v>
      </c>
      <c r="CM194" s="23">
        <f>EXP(-LN(2)/2)*CM193+(1-EXP(-LN(2)/2))/(LN(2)/2)*CG194*CJ194*VLOOKUP('Données projet'!$B$12,Paramètres!$A$1:$I$89,3,0)*0.475*44/12</f>
        <v>0</v>
      </c>
      <c r="CN194" s="24">
        <f t="shared" si="172"/>
        <v>0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2.2737367544323206E-13</v>
      </c>
      <c r="CU194" s="18">
        <f>CT194*VLOOKUP('Données projet'!$B$13,Paramètres!$A$1:$I$89,3,0)*VLOOKUP('Données projet'!$B$13,Paramètres!$A$1:$I$89,5,0)</f>
        <v>1.5252226148732008E-13</v>
      </c>
      <c r="CV194" s="14">
        <f t="shared" si="173"/>
        <v>2.1814502464536512E-12</v>
      </c>
      <c r="CW194" s="22">
        <f t="shared" si="174"/>
        <v>4.0650021179971913E-12</v>
      </c>
      <c r="CX194" s="62">
        <f t="shared" si="122"/>
        <v>290.09305636891094</v>
      </c>
      <c r="CY194" s="62">
        <f ca="1">AVERAGE(OFFSET($CX$3,0,0,'Données projet'!$E$13+1,1))-AVERAGE(OFFSET($H$3,0,0,'Données projet'!$E$13+1,1))</f>
        <v>346.82725381974132</v>
      </c>
      <c r="CZ194" s="62">
        <f t="shared" si="150"/>
        <v>254.09787950201044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>
        <f>EXP(-LN(2)/35)*DF193+(1-EXP(-LN(2)/35))/(LN(2)/35)*DB194*DC194*VLOOKUP('Données projet'!$B$13,Paramètres!$A$1:$I$89,3,0)*0.475*44/12</f>
        <v>0</v>
      </c>
      <c r="DG194" s="23">
        <f>EXP(-LN(2)/25)*DG193+(1-EXP(-LN(2)/25))/(LN(2)/25)*Calculateur!DB194*Calculateur!DD194*VLOOKUP('Données projet'!$B$13,Paramètres!$A$1:$I$89,3,0)*0.475*44/12</f>
        <v>0</v>
      </c>
      <c r="DH194" s="23">
        <f>EXP(-LN(2)/2)*DH193+(1-EXP(-LN(2)/2))/(LN(2)/2)*DB194*DE194*VLOOKUP('Données projet'!$B$13,Paramètres!$A$1:$I$89,3,0)*0.475*44/12</f>
        <v>0</v>
      </c>
      <c r="DI194" s="24">
        <f t="shared" si="175"/>
        <v>0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5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2">
        <f t="shared" si="140"/>
        <v>0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18.333333333333332</v>
      </c>
      <c r="H195" s="70">
        <f t="shared" si="110"/>
        <v>183.33333333333334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-9.6633812063373625E-13</v>
      </c>
      <c r="O195" s="14">
        <f>N195*VLOOKUP('Données projet'!$B$9,Paramètres!$A$1:$I$89,3,0)*VLOOKUP('Données projet'!$B$9,Paramètres!$A$1:$I$89,5,0)</f>
        <v>-8.7434273154940449E-13</v>
      </c>
      <c r="P195" s="14" t="e">
        <f t="shared" si="141"/>
        <v>#NUM!</v>
      </c>
      <c r="Q195" s="22" t="e">
        <f t="shared" si="162"/>
        <v>#NUM!</v>
      </c>
      <c r="R195" s="62" t="e">
        <f t="shared" ref="R195:R203" si="191">Q195+(I195+J195)*44/12</f>
        <v>#NUM!</v>
      </c>
      <c r="S195" s="62">
        <f ca="1">AVERAGE(OFFSET($R$3,0,0,'Données projet'!$E$9+1,1))-AVERAGE(OFFSET($H$3,0,0,'Données projet'!$E$9+1,1))</f>
        <v>469.67944008675863</v>
      </c>
      <c r="T195" s="62">
        <f t="shared" si="142"/>
        <v>266.11908070867173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0</v>
      </c>
      <c r="AA195" s="23">
        <f>EXP(-LN(2)/25)*AA194+(1-EXP(-LN(2)/25))/(LN(2)/25)*Calculateur!V195*Calculateur!X195*VLOOKUP('Données projet'!$B$9,Paramètres!$A$1:$I$89,3,0)*0.475*44/12</f>
        <v>0</v>
      </c>
      <c r="AB195" s="23">
        <f>EXP(-LN(2)/2)*AB194+(1-EXP(-LN(2)/2))/(LN(2)/2)*V195*Y195*VLOOKUP('Données projet'!$B$9,Paramètres!$A$1:$I$89,3,0)*0.475*44/12</f>
        <v>0</v>
      </c>
      <c r="AC195" s="24">
        <f t="shared" si="163"/>
        <v>0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0</v>
      </c>
      <c r="AJ195" s="14">
        <f>AI195*VLOOKUP('Données projet'!$B$10,Paramètres!$A$1:$I$89,3,0)*VLOOKUP('Données projet'!$B$10,Paramètres!$A$1:$I$89,5,0)</f>
        <v>0</v>
      </c>
      <c r="AK195" s="14" t="e">
        <f t="shared" si="164"/>
        <v>#NUM!</v>
      </c>
      <c r="AL195" s="22" t="e">
        <f t="shared" si="165"/>
        <v>#NUM!</v>
      </c>
      <c r="AM195" s="62" t="e">
        <f t="shared" si="113"/>
        <v>#NUM!</v>
      </c>
      <c r="AN195" s="62">
        <f ca="1">AVERAGE(OFFSET($AM$3,0,0,'Données projet'!$E$10+1,1))-AVERAGE(OFFSET($H$3,0,0,'Données projet'!$E$10+1,1))</f>
        <v>400.48230125343474</v>
      </c>
      <c r="AO195" s="62">
        <f t="shared" si="144"/>
        <v>275.67023303885048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0</v>
      </c>
      <c r="AV195" s="23">
        <f>EXP(-LN(2)/25)*AV194+(1-EXP(-LN(2)/25))/(LN(2)/25)*Calculateur!AQ195*Calculateur!AS195*VLOOKUP('Données projet'!$B$10,Paramètres!$A$1:$I$89,3,0)*0.475*44/12</f>
        <v>0</v>
      </c>
      <c r="AW195" s="23">
        <f>EXP(-LN(2)/2)*AW194+(1-EXP(-LN(2)/2))/(LN(2)/2)*AQ195*AT195*VLOOKUP('Données projet'!$B$10,Paramètres!$A$1:$I$89,3,0)*0.475*44/12</f>
        <v>0</v>
      </c>
      <c r="AX195" s="23">
        <f t="shared" si="166"/>
        <v>0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-9.6633812063373625E-13</v>
      </c>
      <c r="BE195" s="14">
        <f>BD195*VLOOKUP('Données projet'!$B$11,Paramètres!$A$1:$I$89,3,0)*VLOOKUP('Données projet'!$B$11,Paramètres!$A$1:$I$89,5,0)</f>
        <v>-9.3464223027694966E-13</v>
      </c>
      <c r="BF195" s="14" t="e">
        <f t="shared" si="167"/>
        <v>#NUM!</v>
      </c>
      <c r="BG195" s="22" t="e">
        <f t="shared" si="168"/>
        <v>#NUM!</v>
      </c>
      <c r="BH195" s="62" t="e">
        <f t="shared" si="116"/>
        <v>#NUM!</v>
      </c>
      <c r="BI195" s="62">
        <f ca="1">AVERAGE(OFFSET($BH$3,0,0,'Données projet'!$E$11+1,1))-AVERAGE(OFFSET($H$3,0,0,'Données projet'!$E$11+1,1))</f>
        <v>496.33873798282525</v>
      </c>
      <c r="BJ195" s="62">
        <f t="shared" si="146"/>
        <v>280.25465074992246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>
        <f>EXP(-LN(2)/35)*BP194+(1-EXP(-LN(2)/35))/(LN(2)/35)*BL195*BM195*VLOOKUP('Données projet'!$B$11,Paramètres!$A$1:$I$89,3,0)*0.475*44/12</f>
        <v>0</v>
      </c>
      <c r="BQ195" s="23">
        <f>EXP(-LN(2)/25)*BQ194+(1-EXP(-LN(2)/25))/(LN(2)/25)*Calculateur!BL195*Calculateur!BN195*VLOOKUP('Données projet'!$B$11,Paramètres!$A$1:$I$89,3,0)*0.475*44/12</f>
        <v>0</v>
      </c>
      <c r="BR195" s="23">
        <f>EXP(-LN(2)/2)*BR194+(1-EXP(-LN(2)/2))/(LN(2)/2)*BL195*BO195*VLOOKUP('Données projet'!$B$11,Paramètres!$A$1:$I$89,3,0)*0.475*44/12</f>
        <v>0</v>
      </c>
      <c r="BS195" s="24">
        <f t="shared" si="169"/>
        <v>0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-1.1368683772161603E-13</v>
      </c>
      <c r="BZ195" s="14">
        <f>BY195*VLOOKUP('Données projet'!$B$12,Paramètres!$A$1:$I$89,3,0)*VLOOKUP('Données projet'!$B$12,Paramètres!$A$1:$I$89,5,0)</f>
        <v>-9.9316821433603781E-14</v>
      </c>
      <c r="CA195" s="14" t="e">
        <f t="shared" si="170"/>
        <v>#NUM!</v>
      </c>
      <c r="CB195" s="22" t="e">
        <f t="shared" si="171"/>
        <v>#NUM!</v>
      </c>
      <c r="CC195" s="62" t="e">
        <f t="shared" si="119"/>
        <v>#NUM!</v>
      </c>
      <c r="CD195" s="62">
        <f ca="1">AVERAGE(OFFSET($CC$3,0,0,'Données projet'!$E$12+1,1))-AVERAGE(OFFSET($H$3,0,0,'Données projet'!$E$12+1,1))</f>
        <v>298.56812743477741</v>
      </c>
      <c r="CE195" s="62">
        <f t="shared" si="148"/>
        <v>276.01618888357268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>
        <f>EXP(-LN(2)/35)*CK194+(1-EXP(-LN(2)/35))/(LN(2)/35)*CG195*CH195*VLOOKUP('Données projet'!$B$12,Paramètres!$A$1:$I$89,3,0)*0.475*44/12</f>
        <v>0</v>
      </c>
      <c r="CL195" s="23">
        <f>EXP(-LN(2)/25)*CL194+(1-EXP(-LN(2)/25))/(LN(2)/25)*Calculateur!CG195*Calculateur!CI195*VLOOKUP('Données projet'!$B$12,Paramètres!$A$1:$I$89,3,0)*0.475*44/12</f>
        <v>0</v>
      </c>
      <c r="CM195" s="23">
        <f>EXP(-LN(2)/2)*CM194+(1-EXP(-LN(2)/2))/(LN(2)/2)*CG195*CJ195*VLOOKUP('Données projet'!$B$12,Paramètres!$A$1:$I$89,3,0)*0.475*44/12</f>
        <v>0</v>
      </c>
      <c r="CN195" s="24">
        <f t="shared" si="172"/>
        <v>0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2.2737367544323206E-13</v>
      </c>
      <c r="CU195" s="18">
        <f>CT195*VLOOKUP('Données projet'!$B$13,Paramètres!$A$1:$I$89,3,0)*VLOOKUP('Données projet'!$B$13,Paramètres!$A$1:$I$89,5,0)</f>
        <v>1.5252226148732008E-13</v>
      </c>
      <c r="CV195" s="14">
        <f t="shared" si="173"/>
        <v>2.1814502464536512E-12</v>
      </c>
      <c r="CW195" s="22">
        <f t="shared" si="174"/>
        <v>4.0650021179971913E-12</v>
      </c>
      <c r="CX195" s="62">
        <f t="shared" si="122"/>
        <v>290.14926793006975</v>
      </c>
      <c r="CY195" s="62">
        <f ca="1">AVERAGE(OFFSET($CX$3,0,0,'Données projet'!$E$13+1,1))-AVERAGE(OFFSET($H$3,0,0,'Données projet'!$E$13+1,1))</f>
        <v>346.82725381974132</v>
      </c>
      <c r="CZ195" s="62">
        <f t="shared" si="150"/>
        <v>254.09787950201044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>
        <f>EXP(-LN(2)/35)*DF194+(1-EXP(-LN(2)/35))/(LN(2)/35)*DB195*DC195*VLOOKUP('Données projet'!$B$13,Paramètres!$A$1:$I$89,3,0)*0.475*44/12</f>
        <v>0</v>
      </c>
      <c r="DG195" s="23">
        <f>EXP(-LN(2)/25)*DG194+(1-EXP(-LN(2)/25))/(LN(2)/25)*Calculateur!DB195*Calculateur!DD195*VLOOKUP('Données projet'!$B$13,Paramètres!$A$1:$I$89,3,0)*0.475*44/12</f>
        <v>0</v>
      </c>
      <c r="DH195" s="23">
        <f>EXP(-LN(2)/2)*DH194+(1-EXP(-LN(2)/2))/(LN(2)/2)*DB195*DE195*VLOOKUP('Données projet'!$B$13,Paramètres!$A$1:$I$89,3,0)*0.475*44/12</f>
        <v>0</v>
      </c>
      <c r="DI195" s="24">
        <f t="shared" si="175"/>
        <v>0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5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2">
        <f t="shared" si="140"/>
        <v>0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18.333333333333332</v>
      </c>
      <c r="H196" s="70">
        <f t="shared" ref="H196:H203" si="192">(B196+E196+F196)*44/12+(C196+D196)*0.475*44/12</f>
        <v>183.33333333333334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-9.6633812063373625E-13</v>
      </c>
      <c r="O196" s="14">
        <f>N196*VLOOKUP('Données projet'!$B$9,Paramètres!$A$1:$I$89,3,0)*VLOOKUP('Données projet'!$B$9,Paramètres!$A$1:$I$89,5,0)</f>
        <v>-8.7434273154940449E-13</v>
      </c>
      <c r="P196" s="14" t="e">
        <f t="shared" si="141"/>
        <v>#NUM!</v>
      </c>
      <c r="Q196" s="22" t="e">
        <f t="shared" si="162"/>
        <v>#NUM!</v>
      </c>
      <c r="R196" s="62" t="e">
        <f t="shared" si="191"/>
        <v>#NUM!</v>
      </c>
      <c r="S196" s="62">
        <f ca="1">AVERAGE(OFFSET($R$3,0,0,'Données projet'!$E$9+1,1))-AVERAGE(OFFSET($H$3,0,0,'Données projet'!$E$9+1,1))</f>
        <v>469.67944008675863</v>
      </c>
      <c r="T196" s="62">
        <f t="shared" si="142"/>
        <v>266.11908070867173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0</v>
      </c>
      <c r="AA196" s="23">
        <f>EXP(-LN(2)/25)*AA195+(1-EXP(-LN(2)/25))/(LN(2)/25)*Calculateur!V196*Calculateur!X196*VLOOKUP('Données projet'!$B$9,Paramètres!$A$1:$I$89,3,0)*0.475*44/12</f>
        <v>0</v>
      </c>
      <c r="AB196" s="23">
        <f>EXP(-LN(2)/2)*AB195+(1-EXP(-LN(2)/2))/(LN(2)/2)*V196*Y196*VLOOKUP('Données projet'!$B$9,Paramètres!$A$1:$I$89,3,0)*0.475*44/12</f>
        <v>0</v>
      </c>
      <c r="AC196" s="24">
        <f t="shared" si="163"/>
        <v>0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0</v>
      </c>
      <c r="AJ196" s="14">
        <f>AI196*VLOOKUP('Données projet'!$B$10,Paramètres!$A$1:$I$89,3,0)*VLOOKUP('Données projet'!$B$10,Paramètres!$A$1:$I$89,5,0)</f>
        <v>0</v>
      </c>
      <c r="AK196" s="14" t="e">
        <f t="shared" si="164"/>
        <v>#NUM!</v>
      </c>
      <c r="AL196" s="22" t="e">
        <f t="shared" si="165"/>
        <v>#NUM!</v>
      </c>
      <c r="AM196" s="62" t="e">
        <f t="shared" ref="AM196:AM203" si="193">AL196+(AD196+AE196)*44/12</f>
        <v>#NUM!</v>
      </c>
      <c r="AN196" s="62">
        <f ca="1">AVERAGE(OFFSET($AM$3,0,0,'Données projet'!$E$10+1,1))-AVERAGE(OFFSET($H$3,0,0,'Données projet'!$E$10+1,1))</f>
        <v>400.48230125343474</v>
      </c>
      <c r="AO196" s="62">
        <f t="shared" si="144"/>
        <v>275.67023303885048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0</v>
      </c>
      <c r="AV196" s="23">
        <f>EXP(-LN(2)/25)*AV195+(1-EXP(-LN(2)/25))/(LN(2)/25)*Calculateur!AQ196*Calculateur!AS196*VLOOKUP('Données projet'!$B$10,Paramètres!$A$1:$I$89,3,0)*0.475*44/12</f>
        <v>0</v>
      </c>
      <c r="AW196" s="23">
        <f>EXP(-LN(2)/2)*AW195+(1-EXP(-LN(2)/2))/(LN(2)/2)*AQ196*AT196*VLOOKUP('Données projet'!$B$10,Paramètres!$A$1:$I$89,3,0)*0.475*44/12</f>
        <v>0</v>
      </c>
      <c r="AX196" s="23">
        <f t="shared" si="166"/>
        <v>0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-9.6633812063373625E-13</v>
      </c>
      <c r="BE196" s="14">
        <f>BD196*VLOOKUP('Données projet'!$B$11,Paramètres!$A$1:$I$89,3,0)*VLOOKUP('Données projet'!$B$11,Paramètres!$A$1:$I$89,5,0)</f>
        <v>-9.3464223027694966E-13</v>
      </c>
      <c r="BF196" s="14" t="e">
        <f t="shared" si="167"/>
        <v>#NUM!</v>
      </c>
      <c r="BG196" s="22" t="e">
        <f t="shared" si="168"/>
        <v>#NUM!</v>
      </c>
      <c r="BH196" s="62" t="e">
        <f t="shared" ref="BH196:BH203" si="194">BG196+(AY196+AZ196)*44/12</f>
        <v>#NUM!</v>
      </c>
      <c r="BI196" s="62">
        <f ca="1">AVERAGE(OFFSET($BH$3,0,0,'Données projet'!$E$11+1,1))-AVERAGE(OFFSET($H$3,0,0,'Données projet'!$E$11+1,1))</f>
        <v>496.33873798282525</v>
      </c>
      <c r="BJ196" s="62">
        <f t="shared" si="146"/>
        <v>280.25465074992246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>
        <f>EXP(-LN(2)/35)*BP195+(1-EXP(-LN(2)/35))/(LN(2)/35)*BL196*BM196*VLOOKUP('Données projet'!$B$11,Paramètres!$A$1:$I$89,3,0)*0.475*44/12</f>
        <v>0</v>
      </c>
      <c r="BQ196" s="23">
        <f>EXP(-LN(2)/25)*BQ195+(1-EXP(-LN(2)/25))/(LN(2)/25)*Calculateur!BL196*Calculateur!BN196*VLOOKUP('Données projet'!$B$11,Paramètres!$A$1:$I$89,3,0)*0.475*44/12</f>
        <v>0</v>
      </c>
      <c r="BR196" s="23">
        <f>EXP(-LN(2)/2)*BR195+(1-EXP(-LN(2)/2))/(LN(2)/2)*BL196*BO196*VLOOKUP('Données projet'!$B$11,Paramètres!$A$1:$I$89,3,0)*0.475*44/12</f>
        <v>0</v>
      </c>
      <c r="BS196" s="24">
        <f t="shared" si="169"/>
        <v>0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-1.1368683772161603E-13</v>
      </c>
      <c r="BZ196" s="14">
        <f>BY196*VLOOKUP('Données projet'!$B$12,Paramètres!$A$1:$I$89,3,0)*VLOOKUP('Données projet'!$B$12,Paramètres!$A$1:$I$89,5,0)</f>
        <v>-9.9316821433603781E-14</v>
      </c>
      <c r="CA196" s="14" t="e">
        <f t="shared" si="170"/>
        <v>#NUM!</v>
      </c>
      <c r="CB196" s="22" t="e">
        <f t="shared" si="171"/>
        <v>#NUM!</v>
      </c>
      <c r="CC196" s="62" t="e">
        <f t="shared" ref="CC196:CC203" si="195">CB196+(BT196+BU196)*44/12</f>
        <v>#NUM!</v>
      </c>
      <c r="CD196" s="62">
        <f ca="1">AVERAGE(OFFSET($CC$3,0,0,'Données projet'!$E$12+1,1))-AVERAGE(OFFSET($H$3,0,0,'Données projet'!$E$12+1,1))</f>
        <v>298.56812743477741</v>
      </c>
      <c r="CE196" s="62">
        <f t="shared" si="148"/>
        <v>276.01618888357268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>
        <f>EXP(-LN(2)/35)*CK195+(1-EXP(-LN(2)/35))/(LN(2)/35)*CG196*CH196*VLOOKUP('Données projet'!$B$12,Paramètres!$A$1:$I$89,3,0)*0.475*44/12</f>
        <v>0</v>
      </c>
      <c r="CL196" s="23">
        <f>EXP(-LN(2)/25)*CL195+(1-EXP(-LN(2)/25))/(LN(2)/25)*Calculateur!CG196*Calculateur!CI196*VLOOKUP('Données projet'!$B$12,Paramètres!$A$1:$I$89,3,0)*0.475*44/12</f>
        <v>0</v>
      </c>
      <c r="CM196" s="23">
        <f>EXP(-LN(2)/2)*CM195+(1-EXP(-LN(2)/2))/(LN(2)/2)*CG196*CJ196*VLOOKUP('Données projet'!$B$12,Paramètres!$A$1:$I$89,3,0)*0.475*44/12</f>
        <v>0</v>
      </c>
      <c r="CN196" s="24">
        <f t="shared" si="172"/>
        <v>0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2.2737367544323206E-13</v>
      </c>
      <c r="CU196" s="18">
        <f>CT196*VLOOKUP('Données projet'!$B$13,Paramètres!$A$1:$I$89,3,0)*VLOOKUP('Données projet'!$B$13,Paramètres!$A$1:$I$89,5,0)</f>
        <v>1.5252226148732008E-13</v>
      </c>
      <c r="CV196" s="14">
        <f t="shared" si="173"/>
        <v>2.1814502464536512E-12</v>
      </c>
      <c r="CW196" s="22">
        <f t="shared" si="174"/>
        <v>4.0650021179971913E-12</v>
      </c>
      <c r="CX196" s="62">
        <f t="shared" ref="CX196:CX203" si="196">CW196+(CO196+CP196)*44/12</f>
        <v>290.2045043463126</v>
      </c>
      <c r="CY196" s="62">
        <f ca="1">AVERAGE(OFFSET($CX$3,0,0,'Données projet'!$E$13+1,1))-AVERAGE(OFFSET($H$3,0,0,'Données projet'!$E$13+1,1))</f>
        <v>346.82725381974132</v>
      </c>
      <c r="CZ196" s="62">
        <f t="shared" si="150"/>
        <v>254.09787950201044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>
        <f>EXP(-LN(2)/35)*DF195+(1-EXP(-LN(2)/35))/(LN(2)/35)*DB196*DC196*VLOOKUP('Données projet'!$B$13,Paramètres!$A$1:$I$89,3,0)*0.475*44/12</f>
        <v>0</v>
      </c>
      <c r="DG196" s="23">
        <f>EXP(-LN(2)/25)*DG195+(1-EXP(-LN(2)/25))/(LN(2)/25)*Calculateur!DB196*Calculateur!DD196*VLOOKUP('Données projet'!$B$13,Paramètres!$A$1:$I$89,3,0)*0.475*44/12</f>
        <v>0</v>
      </c>
      <c r="DH196" s="23">
        <f>EXP(-LN(2)/2)*DH195+(1-EXP(-LN(2)/2))/(LN(2)/2)*DB196*DE196*VLOOKUP('Données projet'!$B$13,Paramètres!$A$1:$I$89,3,0)*0.475*44/12</f>
        <v>0</v>
      </c>
      <c r="DI196" s="24">
        <f t="shared" si="175"/>
        <v>0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5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2">
        <f t="shared" ref="D197:D203" si="202">IFERROR(EXP(-1.0587+0.8836*LN(C197)+0.284),0)</f>
        <v>0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18.333333333333332</v>
      </c>
      <c r="H197" s="70">
        <f t="shared" si="192"/>
        <v>183.33333333333334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-9.6633812063373625E-13</v>
      </c>
      <c r="O197" s="14">
        <f>N197*VLOOKUP('Données projet'!$B$9,Paramètres!$A$1:$I$89,3,0)*VLOOKUP('Données projet'!$B$9,Paramètres!$A$1:$I$89,5,0)</f>
        <v>-8.7434273154940449E-13</v>
      </c>
      <c r="P197" s="14" t="e">
        <f t="shared" ref="P197:P203" si="203">EXP(-1.0587+0.8836*LN(O197)+0.284)</f>
        <v>#NUM!</v>
      </c>
      <c r="Q197" s="22" t="e">
        <f t="shared" si="162"/>
        <v>#NUM!</v>
      </c>
      <c r="R197" s="62" t="e">
        <f t="shared" si="191"/>
        <v>#NUM!</v>
      </c>
      <c r="S197" s="62">
        <f ca="1">AVERAGE(OFFSET($R$3,0,0,'Données projet'!$E$9+1,1))-AVERAGE(OFFSET($H$3,0,0,'Données projet'!$E$9+1,1))</f>
        <v>469.67944008675863</v>
      </c>
      <c r="T197" s="62">
        <f t="shared" ref="T197:T203" si="204">$T$3</f>
        <v>266.11908070867173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0</v>
      </c>
      <c r="AA197" s="23">
        <f>EXP(-LN(2)/25)*AA196+(1-EXP(-LN(2)/25))/(LN(2)/25)*Calculateur!V197*Calculateur!X197*VLOOKUP('Données projet'!$B$9,Paramètres!$A$1:$I$89,3,0)*0.475*44/12</f>
        <v>0</v>
      </c>
      <c r="AB197" s="23">
        <f>EXP(-LN(2)/2)*AB196+(1-EXP(-LN(2)/2))/(LN(2)/2)*V197*Y197*VLOOKUP('Données projet'!$B$9,Paramètres!$A$1:$I$89,3,0)*0.475*44/12</f>
        <v>0</v>
      </c>
      <c r="AC197" s="24">
        <f t="shared" si="163"/>
        <v>0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0</v>
      </c>
      <c r="AJ197" s="14">
        <f>AI197*VLOOKUP('Données projet'!$B$10,Paramètres!$A$1:$I$89,3,0)*VLOOKUP('Données projet'!$B$10,Paramètres!$A$1:$I$89,5,0)</f>
        <v>0</v>
      </c>
      <c r="AK197" s="14" t="e">
        <f t="shared" si="164"/>
        <v>#NUM!</v>
      </c>
      <c r="AL197" s="22" t="e">
        <f t="shared" si="165"/>
        <v>#NUM!</v>
      </c>
      <c r="AM197" s="62" t="e">
        <f t="shared" si="193"/>
        <v>#NUM!</v>
      </c>
      <c r="AN197" s="62">
        <f ca="1">AVERAGE(OFFSET($AM$3,0,0,'Données projet'!$E$10+1,1))-AVERAGE(OFFSET($H$3,0,0,'Données projet'!$E$10+1,1))</f>
        <v>400.48230125343474</v>
      </c>
      <c r="AO197" s="62">
        <f t="shared" ref="AO197:AO203" si="205">$AO$3</f>
        <v>275.67023303885048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0</v>
      </c>
      <c r="AV197" s="23">
        <f>EXP(-LN(2)/25)*AV196+(1-EXP(-LN(2)/25))/(LN(2)/25)*Calculateur!AQ197*Calculateur!AS197*VLOOKUP('Données projet'!$B$10,Paramètres!$A$1:$I$89,3,0)*0.475*44/12</f>
        <v>0</v>
      </c>
      <c r="AW197" s="23">
        <f>EXP(-LN(2)/2)*AW196+(1-EXP(-LN(2)/2))/(LN(2)/2)*AQ197*AT197*VLOOKUP('Données projet'!$B$10,Paramètres!$A$1:$I$89,3,0)*0.475*44/12</f>
        <v>0</v>
      </c>
      <c r="AX197" s="23">
        <f t="shared" si="166"/>
        <v>0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-9.6633812063373625E-13</v>
      </c>
      <c r="BE197" s="14">
        <f>BD197*VLOOKUP('Données projet'!$B$11,Paramètres!$A$1:$I$89,3,0)*VLOOKUP('Données projet'!$B$11,Paramètres!$A$1:$I$89,5,0)</f>
        <v>-9.3464223027694966E-13</v>
      </c>
      <c r="BF197" s="14" t="e">
        <f t="shared" si="167"/>
        <v>#NUM!</v>
      </c>
      <c r="BG197" s="22" t="e">
        <f t="shared" si="168"/>
        <v>#NUM!</v>
      </c>
      <c r="BH197" s="62" t="e">
        <f t="shared" si="194"/>
        <v>#NUM!</v>
      </c>
      <c r="BI197" s="62">
        <f ca="1">AVERAGE(OFFSET($BH$3,0,0,'Données projet'!$E$11+1,1))-AVERAGE(OFFSET($H$3,0,0,'Données projet'!$E$11+1,1))</f>
        <v>496.33873798282525</v>
      </c>
      <c r="BJ197" s="62">
        <f t="shared" ref="BJ197:BJ203" si="206">$BJ$3</f>
        <v>280.25465074992246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>
        <f>EXP(-LN(2)/35)*BP196+(1-EXP(-LN(2)/35))/(LN(2)/35)*BL197*BM197*VLOOKUP('Données projet'!$B$11,Paramètres!$A$1:$I$89,3,0)*0.475*44/12</f>
        <v>0</v>
      </c>
      <c r="BQ197" s="23">
        <f>EXP(-LN(2)/25)*BQ196+(1-EXP(-LN(2)/25))/(LN(2)/25)*Calculateur!BL197*Calculateur!BN197*VLOOKUP('Données projet'!$B$11,Paramètres!$A$1:$I$89,3,0)*0.475*44/12</f>
        <v>0</v>
      </c>
      <c r="BR197" s="23">
        <f>EXP(-LN(2)/2)*BR196+(1-EXP(-LN(2)/2))/(LN(2)/2)*BL197*BO197*VLOOKUP('Données projet'!$B$11,Paramètres!$A$1:$I$89,3,0)*0.475*44/12</f>
        <v>0</v>
      </c>
      <c r="BS197" s="24">
        <f t="shared" si="169"/>
        <v>0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-1.1368683772161603E-13</v>
      </c>
      <c r="BZ197" s="14">
        <f>BY197*VLOOKUP('Données projet'!$B$12,Paramètres!$A$1:$I$89,3,0)*VLOOKUP('Données projet'!$B$12,Paramètres!$A$1:$I$89,5,0)</f>
        <v>-9.9316821433603781E-14</v>
      </c>
      <c r="CA197" s="14" t="e">
        <f t="shared" si="170"/>
        <v>#NUM!</v>
      </c>
      <c r="CB197" s="22" t="e">
        <f t="shared" si="171"/>
        <v>#NUM!</v>
      </c>
      <c r="CC197" s="62" t="e">
        <f t="shared" si="195"/>
        <v>#NUM!</v>
      </c>
      <c r="CD197" s="62">
        <f ca="1">AVERAGE(OFFSET($CC$3,0,0,'Données projet'!$E$12+1,1))-AVERAGE(OFFSET($H$3,0,0,'Données projet'!$E$12+1,1))</f>
        <v>298.56812743477741</v>
      </c>
      <c r="CE197" s="62">
        <f t="shared" ref="CE197:CE203" si="207">$CE$3</f>
        <v>276.01618888357268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>
        <f>EXP(-LN(2)/35)*CK196+(1-EXP(-LN(2)/35))/(LN(2)/35)*CG197*CH197*VLOOKUP('Données projet'!$B$12,Paramètres!$A$1:$I$89,3,0)*0.475*44/12</f>
        <v>0</v>
      </c>
      <c r="CL197" s="23">
        <f>EXP(-LN(2)/25)*CL196+(1-EXP(-LN(2)/25))/(LN(2)/25)*Calculateur!CG197*Calculateur!CI197*VLOOKUP('Données projet'!$B$12,Paramètres!$A$1:$I$89,3,0)*0.475*44/12</f>
        <v>0</v>
      </c>
      <c r="CM197" s="23">
        <f>EXP(-LN(2)/2)*CM196+(1-EXP(-LN(2)/2))/(LN(2)/2)*CG197*CJ197*VLOOKUP('Données projet'!$B$12,Paramètres!$A$1:$I$89,3,0)*0.475*44/12</f>
        <v>0</v>
      </c>
      <c r="CN197" s="24">
        <f t="shared" si="172"/>
        <v>0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2.2737367544323206E-13</v>
      </c>
      <c r="CU197" s="18">
        <f>CT197*VLOOKUP('Données projet'!$B$13,Paramètres!$A$1:$I$89,3,0)*VLOOKUP('Données projet'!$B$13,Paramètres!$A$1:$I$89,5,0)</f>
        <v>1.5252226148732008E-13</v>
      </c>
      <c r="CV197" s="14">
        <f t="shared" si="173"/>
        <v>2.1814502464536512E-12</v>
      </c>
      <c r="CW197" s="22">
        <f t="shared" si="174"/>
        <v>4.0650021179971913E-12</v>
      </c>
      <c r="CX197" s="62">
        <f t="shared" si="196"/>
        <v>290.25878253422383</v>
      </c>
      <c r="CY197" s="62">
        <f ca="1">AVERAGE(OFFSET($CX$3,0,0,'Données projet'!$E$13+1,1))-AVERAGE(OFFSET($H$3,0,0,'Données projet'!$E$13+1,1))</f>
        <v>346.82725381974132</v>
      </c>
      <c r="CZ197" s="62">
        <f t="shared" ref="CZ197:CZ203" si="208">$CZ$3</f>
        <v>254.09787950201044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>
        <f>EXP(-LN(2)/35)*DF196+(1-EXP(-LN(2)/35))/(LN(2)/35)*DB197*DC197*VLOOKUP('Données projet'!$B$13,Paramètres!$A$1:$I$89,3,0)*0.475*44/12</f>
        <v>0</v>
      </c>
      <c r="DG197" s="23">
        <f>EXP(-LN(2)/25)*DG196+(1-EXP(-LN(2)/25))/(LN(2)/25)*Calculateur!DB197*Calculateur!DD197*VLOOKUP('Données projet'!$B$13,Paramètres!$A$1:$I$89,3,0)*0.475*44/12</f>
        <v>0</v>
      </c>
      <c r="DH197" s="23">
        <f>EXP(-LN(2)/2)*DH196+(1-EXP(-LN(2)/2))/(LN(2)/2)*DB197*DE197*VLOOKUP('Données projet'!$B$13,Paramètres!$A$1:$I$89,3,0)*0.475*44/12</f>
        <v>0</v>
      </c>
      <c r="DI197" s="24">
        <f t="shared" si="175"/>
        <v>0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5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2">
        <f t="shared" si="202"/>
        <v>0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18.333333333333332</v>
      </c>
      <c r="H198" s="70">
        <f t="shared" si="192"/>
        <v>183.33333333333334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-9.6633812063373625E-13</v>
      </c>
      <c r="O198" s="14">
        <f>N198*VLOOKUP('Données projet'!$B$9,Paramètres!$A$1:$I$89,3,0)*VLOOKUP('Données projet'!$B$9,Paramètres!$A$1:$I$89,5,0)</f>
        <v>-8.7434273154940449E-13</v>
      </c>
      <c r="P198" s="14" t="e">
        <f t="shared" si="203"/>
        <v>#NUM!</v>
      </c>
      <c r="Q198" s="22" t="e">
        <f t="shared" si="162"/>
        <v>#NUM!</v>
      </c>
      <c r="R198" s="62" t="e">
        <f t="shared" si="191"/>
        <v>#NUM!</v>
      </c>
      <c r="S198" s="62">
        <f ca="1">AVERAGE(OFFSET($R$3,0,0,'Données projet'!$E$9+1,1))-AVERAGE(OFFSET($H$3,0,0,'Données projet'!$E$9+1,1))</f>
        <v>469.67944008675863</v>
      </c>
      <c r="T198" s="62">
        <f t="shared" si="204"/>
        <v>266.11908070867173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0</v>
      </c>
      <c r="AA198" s="23">
        <f>EXP(-LN(2)/25)*AA197+(1-EXP(-LN(2)/25))/(LN(2)/25)*Calculateur!V198*Calculateur!X198*VLOOKUP('Données projet'!$B$9,Paramètres!$A$1:$I$89,3,0)*0.475*44/12</f>
        <v>0</v>
      </c>
      <c r="AB198" s="23">
        <f>EXP(-LN(2)/2)*AB197+(1-EXP(-LN(2)/2))/(LN(2)/2)*V198*Y198*VLOOKUP('Données projet'!$B$9,Paramètres!$A$1:$I$89,3,0)*0.475*44/12</f>
        <v>0</v>
      </c>
      <c r="AC198" s="24">
        <f t="shared" si="163"/>
        <v>0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0</v>
      </c>
      <c r="AJ198" s="14">
        <f>AI198*VLOOKUP('Données projet'!$B$10,Paramètres!$A$1:$I$89,3,0)*VLOOKUP('Données projet'!$B$10,Paramètres!$A$1:$I$89,5,0)</f>
        <v>0</v>
      </c>
      <c r="AK198" s="14" t="e">
        <f t="shared" si="164"/>
        <v>#NUM!</v>
      </c>
      <c r="AL198" s="22" t="e">
        <f t="shared" si="165"/>
        <v>#NUM!</v>
      </c>
      <c r="AM198" s="62" t="e">
        <f t="shared" si="193"/>
        <v>#NUM!</v>
      </c>
      <c r="AN198" s="62">
        <f ca="1">AVERAGE(OFFSET($AM$3,0,0,'Données projet'!$E$10+1,1))-AVERAGE(OFFSET($H$3,0,0,'Données projet'!$E$10+1,1))</f>
        <v>400.48230125343474</v>
      </c>
      <c r="AO198" s="62">
        <f t="shared" si="205"/>
        <v>275.67023303885048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0</v>
      </c>
      <c r="AV198" s="23">
        <f>EXP(-LN(2)/25)*AV197+(1-EXP(-LN(2)/25))/(LN(2)/25)*Calculateur!AQ198*Calculateur!AS198*VLOOKUP('Données projet'!$B$10,Paramètres!$A$1:$I$89,3,0)*0.475*44/12</f>
        <v>0</v>
      </c>
      <c r="AW198" s="23">
        <f>EXP(-LN(2)/2)*AW197+(1-EXP(-LN(2)/2))/(LN(2)/2)*AQ198*AT198*VLOOKUP('Données projet'!$B$10,Paramètres!$A$1:$I$89,3,0)*0.475*44/12</f>
        <v>0</v>
      </c>
      <c r="AX198" s="23">
        <f t="shared" si="166"/>
        <v>0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-9.6633812063373625E-13</v>
      </c>
      <c r="BE198" s="14">
        <f>BD198*VLOOKUP('Données projet'!$B$11,Paramètres!$A$1:$I$89,3,0)*VLOOKUP('Données projet'!$B$11,Paramètres!$A$1:$I$89,5,0)</f>
        <v>-9.3464223027694966E-13</v>
      </c>
      <c r="BF198" s="14" t="e">
        <f t="shared" si="167"/>
        <v>#NUM!</v>
      </c>
      <c r="BG198" s="22" t="e">
        <f t="shared" si="168"/>
        <v>#NUM!</v>
      </c>
      <c r="BH198" s="62" t="e">
        <f t="shared" si="194"/>
        <v>#NUM!</v>
      </c>
      <c r="BI198" s="62">
        <f ca="1">AVERAGE(OFFSET($BH$3,0,0,'Données projet'!$E$11+1,1))-AVERAGE(OFFSET($H$3,0,0,'Données projet'!$E$11+1,1))</f>
        <v>496.33873798282525</v>
      </c>
      <c r="BJ198" s="62">
        <f t="shared" si="206"/>
        <v>280.25465074992246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>
        <f>EXP(-LN(2)/35)*BP197+(1-EXP(-LN(2)/35))/(LN(2)/35)*BL198*BM198*VLOOKUP('Données projet'!$B$11,Paramètres!$A$1:$I$89,3,0)*0.475*44/12</f>
        <v>0</v>
      </c>
      <c r="BQ198" s="23">
        <f>EXP(-LN(2)/25)*BQ197+(1-EXP(-LN(2)/25))/(LN(2)/25)*Calculateur!BL198*Calculateur!BN198*VLOOKUP('Données projet'!$B$11,Paramètres!$A$1:$I$89,3,0)*0.475*44/12</f>
        <v>0</v>
      </c>
      <c r="BR198" s="23">
        <f>EXP(-LN(2)/2)*BR197+(1-EXP(-LN(2)/2))/(LN(2)/2)*BL198*BO198*VLOOKUP('Données projet'!$B$11,Paramètres!$A$1:$I$89,3,0)*0.475*44/12</f>
        <v>0</v>
      </c>
      <c r="BS198" s="24">
        <f t="shared" si="169"/>
        <v>0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-1.1368683772161603E-13</v>
      </c>
      <c r="BZ198" s="14">
        <f>BY198*VLOOKUP('Données projet'!$B$12,Paramètres!$A$1:$I$89,3,0)*VLOOKUP('Données projet'!$B$12,Paramètres!$A$1:$I$89,5,0)</f>
        <v>-9.9316821433603781E-14</v>
      </c>
      <c r="CA198" s="14" t="e">
        <f t="shared" si="170"/>
        <v>#NUM!</v>
      </c>
      <c r="CB198" s="22" t="e">
        <f t="shared" si="171"/>
        <v>#NUM!</v>
      </c>
      <c r="CC198" s="62" t="e">
        <f t="shared" si="195"/>
        <v>#NUM!</v>
      </c>
      <c r="CD198" s="62">
        <f ca="1">AVERAGE(OFFSET($CC$3,0,0,'Données projet'!$E$12+1,1))-AVERAGE(OFFSET($H$3,0,0,'Données projet'!$E$12+1,1))</f>
        <v>298.56812743477741</v>
      </c>
      <c r="CE198" s="62">
        <f t="shared" si="207"/>
        <v>276.01618888357268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>
        <f>EXP(-LN(2)/35)*CK197+(1-EXP(-LN(2)/35))/(LN(2)/35)*CG198*CH198*VLOOKUP('Données projet'!$B$12,Paramètres!$A$1:$I$89,3,0)*0.475*44/12</f>
        <v>0</v>
      </c>
      <c r="CL198" s="23">
        <f>EXP(-LN(2)/25)*CL197+(1-EXP(-LN(2)/25))/(LN(2)/25)*Calculateur!CG198*Calculateur!CI198*VLOOKUP('Données projet'!$B$12,Paramètres!$A$1:$I$89,3,0)*0.475*44/12</f>
        <v>0</v>
      </c>
      <c r="CM198" s="23">
        <f>EXP(-LN(2)/2)*CM197+(1-EXP(-LN(2)/2))/(LN(2)/2)*CG198*CJ198*VLOOKUP('Données projet'!$B$12,Paramètres!$A$1:$I$89,3,0)*0.475*44/12</f>
        <v>0</v>
      </c>
      <c r="CN198" s="24">
        <f t="shared" si="172"/>
        <v>0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2.2737367544323206E-13</v>
      </c>
      <c r="CU198" s="18">
        <f>CT198*VLOOKUP('Données projet'!$B$13,Paramètres!$A$1:$I$89,3,0)*VLOOKUP('Données projet'!$B$13,Paramètres!$A$1:$I$89,5,0)</f>
        <v>1.5252226148732008E-13</v>
      </c>
      <c r="CV198" s="14">
        <f t="shared" si="173"/>
        <v>2.1814502464536512E-12</v>
      </c>
      <c r="CW198" s="22">
        <f t="shared" si="174"/>
        <v>4.0650021179971913E-12</v>
      </c>
      <c r="CX198" s="62">
        <f t="shared" si="196"/>
        <v>290.31211911692259</v>
      </c>
      <c r="CY198" s="62">
        <f ca="1">AVERAGE(OFFSET($CX$3,0,0,'Données projet'!$E$13+1,1))-AVERAGE(OFFSET($H$3,0,0,'Données projet'!$E$13+1,1))</f>
        <v>346.82725381974132</v>
      </c>
      <c r="CZ198" s="62">
        <f t="shared" si="208"/>
        <v>254.09787950201044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>
        <f>EXP(-LN(2)/35)*DF197+(1-EXP(-LN(2)/35))/(LN(2)/35)*DB198*DC198*VLOOKUP('Données projet'!$B$13,Paramètres!$A$1:$I$89,3,0)*0.475*44/12</f>
        <v>0</v>
      </c>
      <c r="DG198" s="23">
        <f>EXP(-LN(2)/25)*DG197+(1-EXP(-LN(2)/25))/(LN(2)/25)*Calculateur!DB198*Calculateur!DD198*VLOOKUP('Données projet'!$B$13,Paramètres!$A$1:$I$89,3,0)*0.475*44/12</f>
        <v>0</v>
      </c>
      <c r="DH198" s="23">
        <f>EXP(-LN(2)/2)*DH197+(1-EXP(-LN(2)/2))/(LN(2)/2)*DB198*DE198*VLOOKUP('Données projet'!$B$13,Paramètres!$A$1:$I$89,3,0)*0.475*44/12</f>
        <v>0</v>
      </c>
      <c r="DI198" s="24">
        <f t="shared" si="175"/>
        <v>0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5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2">
        <f t="shared" si="202"/>
        <v>0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18.333333333333332</v>
      </c>
      <c r="H199" s="70">
        <f t="shared" si="192"/>
        <v>183.33333333333334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-9.6633812063373625E-13</v>
      </c>
      <c r="O199" s="14">
        <f>N199*VLOOKUP('Données projet'!$B$9,Paramètres!$A$1:$I$89,3,0)*VLOOKUP('Données projet'!$B$9,Paramètres!$A$1:$I$89,5,0)</f>
        <v>-8.7434273154940449E-13</v>
      </c>
      <c r="P199" s="14" t="e">
        <f t="shared" si="203"/>
        <v>#NUM!</v>
      </c>
      <c r="Q199" s="22" t="e">
        <f t="shared" si="162"/>
        <v>#NUM!</v>
      </c>
      <c r="R199" s="62" t="e">
        <f t="shared" si="191"/>
        <v>#NUM!</v>
      </c>
      <c r="S199" s="62">
        <f ca="1">AVERAGE(OFFSET($R$3,0,0,'Données projet'!$E$9+1,1))-AVERAGE(OFFSET($H$3,0,0,'Données projet'!$E$9+1,1))</f>
        <v>469.67944008675863</v>
      </c>
      <c r="T199" s="62">
        <f t="shared" si="204"/>
        <v>266.11908070867173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0</v>
      </c>
      <c r="AA199" s="23">
        <f>EXP(-LN(2)/25)*AA198+(1-EXP(-LN(2)/25))/(LN(2)/25)*Calculateur!V199*Calculateur!X199*VLOOKUP('Données projet'!$B$9,Paramètres!$A$1:$I$89,3,0)*0.475*44/12</f>
        <v>0</v>
      </c>
      <c r="AB199" s="23">
        <f>EXP(-LN(2)/2)*AB198+(1-EXP(-LN(2)/2))/(LN(2)/2)*V199*Y199*VLOOKUP('Données projet'!$B$9,Paramètres!$A$1:$I$89,3,0)*0.475*44/12</f>
        <v>0</v>
      </c>
      <c r="AC199" s="24">
        <f t="shared" si="163"/>
        <v>0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0</v>
      </c>
      <c r="AJ199" s="14">
        <f>AI199*VLOOKUP('Données projet'!$B$10,Paramètres!$A$1:$I$89,3,0)*VLOOKUP('Données projet'!$B$10,Paramètres!$A$1:$I$89,5,0)</f>
        <v>0</v>
      </c>
      <c r="AK199" s="14" t="e">
        <f t="shared" si="164"/>
        <v>#NUM!</v>
      </c>
      <c r="AL199" s="22" t="e">
        <f t="shared" si="165"/>
        <v>#NUM!</v>
      </c>
      <c r="AM199" s="62" t="e">
        <f t="shared" si="193"/>
        <v>#NUM!</v>
      </c>
      <c r="AN199" s="62">
        <f ca="1">AVERAGE(OFFSET($AM$3,0,0,'Données projet'!$E$10+1,1))-AVERAGE(OFFSET($H$3,0,0,'Données projet'!$E$10+1,1))</f>
        <v>400.48230125343474</v>
      </c>
      <c r="AO199" s="62">
        <f t="shared" si="205"/>
        <v>275.67023303885048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0</v>
      </c>
      <c r="AV199" s="23">
        <f>EXP(-LN(2)/25)*AV198+(1-EXP(-LN(2)/25))/(LN(2)/25)*Calculateur!AQ199*Calculateur!AS199*VLOOKUP('Données projet'!$B$10,Paramètres!$A$1:$I$89,3,0)*0.475*44/12</f>
        <v>0</v>
      </c>
      <c r="AW199" s="23">
        <f>EXP(-LN(2)/2)*AW198+(1-EXP(-LN(2)/2))/(LN(2)/2)*AQ199*AT199*VLOOKUP('Données projet'!$B$10,Paramètres!$A$1:$I$89,3,0)*0.475*44/12</f>
        <v>0</v>
      </c>
      <c r="AX199" s="23">
        <f t="shared" si="166"/>
        <v>0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-9.6633812063373625E-13</v>
      </c>
      <c r="BE199" s="14">
        <f>BD199*VLOOKUP('Données projet'!$B$11,Paramètres!$A$1:$I$89,3,0)*VLOOKUP('Données projet'!$B$11,Paramètres!$A$1:$I$89,5,0)</f>
        <v>-9.3464223027694966E-13</v>
      </c>
      <c r="BF199" s="14" t="e">
        <f t="shared" si="167"/>
        <v>#NUM!</v>
      </c>
      <c r="BG199" s="22" t="e">
        <f t="shared" si="168"/>
        <v>#NUM!</v>
      </c>
      <c r="BH199" s="62" t="e">
        <f t="shared" si="194"/>
        <v>#NUM!</v>
      </c>
      <c r="BI199" s="62">
        <f ca="1">AVERAGE(OFFSET($BH$3,0,0,'Données projet'!$E$11+1,1))-AVERAGE(OFFSET($H$3,0,0,'Données projet'!$E$11+1,1))</f>
        <v>496.33873798282525</v>
      </c>
      <c r="BJ199" s="62">
        <f t="shared" si="206"/>
        <v>280.25465074992246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>
        <f>EXP(-LN(2)/35)*BP198+(1-EXP(-LN(2)/35))/(LN(2)/35)*BL199*BM199*VLOOKUP('Données projet'!$B$11,Paramètres!$A$1:$I$89,3,0)*0.475*44/12</f>
        <v>0</v>
      </c>
      <c r="BQ199" s="23">
        <f>EXP(-LN(2)/25)*BQ198+(1-EXP(-LN(2)/25))/(LN(2)/25)*Calculateur!BL199*Calculateur!BN199*VLOOKUP('Données projet'!$B$11,Paramètres!$A$1:$I$89,3,0)*0.475*44/12</f>
        <v>0</v>
      </c>
      <c r="BR199" s="23">
        <f>EXP(-LN(2)/2)*BR198+(1-EXP(-LN(2)/2))/(LN(2)/2)*BL199*BO199*VLOOKUP('Données projet'!$B$11,Paramètres!$A$1:$I$89,3,0)*0.475*44/12</f>
        <v>0</v>
      </c>
      <c r="BS199" s="24">
        <f t="shared" si="169"/>
        <v>0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-1.1368683772161603E-13</v>
      </c>
      <c r="BZ199" s="14">
        <f>BY199*VLOOKUP('Données projet'!$B$12,Paramètres!$A$1:$I$89,3,0)*VLOOKUP('Données projet'!$B$12,Paramètres!$A$1:$I$89,5,0)</f>
        <v>-9.9316821433603781E-14</v>
      </c>
      <c r="CA199" s="14" t="e">
        <f t="shared" si="170"/>
        <v>#NUM!</v>
      </c>
      <c r="CB199" s="22" t="e">
        <f t="shared" si="171"/>
        <v>#NUM!</v>
      </c>
      <c r="CC199" s="62" t="e">
        <f t="shared" si="195"/>
        <v>#NUM!</v>
      </c>
      <c r="CD199" s="62">
        <f ca="1">AVERAGE(OFFSET($CC$3,0,0,'Données projet'!$E$12+1,1))-AVERAGE(OFFSET($H$3,0,0,'Données projet'!$E$12+1,1))</f>
        <v>298.56812743477741</v>
      </c>
      <c r="CE199" s="62">
        <f t="shared" si="207"/>
        <v>276.01618888357268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>
        <f>EXP(-LN(2)/35)*CK198+(1-EXP(-LN(2)/35))/(LN(2)/35)*CG199*CH199*VLOOKUP('Données projet'!$B$12,Paramètres!$A$1:$I$89,3,0)*0.475*44/12</f>
        <v>0</v>
      </c>
      <c r="CL199" s="23">
        <f>EXP(-LN(2)/25)*CL198+(1-EXP(-LN(2)/25))/(LN(2)/25)*Calculateur!CG199*Calculateur!CI199*VLOOKUP('Données projet'!$B$12,Paramètres!$A$1:$I$89,3,0)*0.475*44/12</f>
        <v>0</v>
      </c>
      <c r="CM199" s="23">
        <f>EXP(-LN(2)/2)*CM198+(1-EXP(-LN(2)/2))/(LN(2)/2)*CG199*CJ199*VLOOKUP('Données projet'!$B$12,Paramètres!$A$1:$I$89,3,0)*0.475*44/12</f>
        <v>0</v>
      </c>
      <c r="CN199" s="24">
        <f t="shared" si="172"/>
        <v>0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2.2737367544323206E-13</v>
      </c>
      <c r="CU199" s="18">
        <f>CT199*VLOOKUP('Données projet'!$B$13,Paramètres!$A$1:$I$89,3,0)*VLOOKUP('Données projet'!$B$13,Paramètres!$A$1:$I$89,5,0)</f>
        <v>1.5252226148732008E-13</v>
      </c>
      <c r="CV199" s="14">
        <f t="shared" si="173"/>
        <v>2.1814502464536512E-12</v>
      </c>
      <c r="CW199" s="22">
        <f t="shared" si="174"/>
        <v>4.0650021179971913E-12</v>
      </c>
      <c r="CX199" s="62">
        <f t="shared" si="196"/>
        <v>290.36453042915429</v>
      </c>
      <c r="CY199" s="62">
        <f ca="1">AVERAGE(OFFSET($CX$3,0,0,'Données projet'!$E$13+1,1))-AVERAGE(OFFSET($H$3,0,0,'Données projet'!$E$13+1,1))</f>
        <v>346.82725381974132</v>
      </c>
      <c r="CZ199" s="62">
        <f t="shared" si="208"/>
        <v>254.09787950201044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>
        <f>EXP(-LN(2)/35)*DF198+(1-EXP(-LN(2)/35))/(LN(2)/35)*DB199*DC199*VLOOKUP('Données projet'!$B$13,Paramètres!$A$1:$I$89,3,0)*0.475*44/12</f>
        <v>0</v>
      </c>
      <c r="DG199" s="23">
        <f>EXP(-LN(2)/25)*DG198+(1-EXP(-LN(2)/25))/(LN(2)/25)*Calculateur!DB199*Calculateur!DD199*VLOOKUP('Données projet'!$B$13,Paramètres!$A$1:$I$89,3,0)*0.475*44/12</f>
        <v>0</v>
      </c>
      <c r="DH199" s="23">
        <f>EXP(-LN(2)/2)*DH198+(1-EXP(-LN(2)/2))/(LN(2)/2)*DB199*DE199*VLOOKUP('Données projet'!$B$13,Paramètres!$A$1:$I$89,3,0)*0.475*44/12</f>
        <v>0</v>
      </c>
      <c r="DI199" s="24">
        <f t="shared" si="175"/>
        <v>0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5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2">
        <f t="shared" si="202"/>
        <v>0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18.333333333333332</v>
      </c>
      <c r="H200" s="70">
        <f t="shared" si="192"/>
        <v>183.33333333333334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-9.6633812063373625E-13</v>
      </c>
      <c r="O200" s="14">
        <f>N200*VLOOKUP('Données projet'!$B$9,Paramètres!$A$1:$I$89,3,0)*VLOOKUP('Données projet'!$B$9,Paramètres!$A$1:$I$89,5,0)</f>
        <v>-8.7434273154940449E-13</v>
      </c>
      <c r="P200" s="14" t="e">
        <f t="shared" si="203"/>
        <v>#NUM!</v>
      </c>
      <c r="Q200" s="22" t="e">
        <f t="shared" si="162"/>
        <v>#NUM!</v>
      </c>
      <c r="R200" s="62" t="e">
        <f t="shared" si="191"/>
        <v>#NUM!</v>
      </c>
      <c r="S200" s="62">
        <f ca="1">AVERAGE(OFFSET($R$3,0,0,'Données projet'!$E$9+1,1))-AVERAGE(OFFSET($H$3,0,0,'Données projet'!$E$9+1,1))</f>
        <v>469.67944008675863</v>
      </c>
      <c r="T200" s="62">
        <f t="shared" si="204"/>
        <v>266.11908070867173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0</v>
      </c>
      <c r="AA200" s="23">
        <f>EXP(-LN(2)/25)*AA199+(1-EXP(-LN(2)/25))/(LN(2)/25)*Calculateur!V200*Calculateur!X200*VLOOKUP('Données projet'!$B$9,Paramètres!$A$1:$I$89,3,0)*0.475*44/12</f>
        <v>0</v>
      </c>
      <c r="AB200" s="23">
        <f>EXP(-LN(2)/2)*AB199+(1-EXP(-LN(2)/2))/(LN(2)/2)*V200*Y200*VLOOKUP('Données projet'!$B$9,Paramètres!$A$1:$I$89,3,0)*0.475*44/12</f>
        <v>0</v>
      </c>
      <c r="AC200" s="24">
        <f t="shared" si="163"/>
        <v>0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0</v>
      </c>
      <c r="AJ200" s="14">
        <f>AI200*VLOOKUP('Données projet'!$B$10,Paramètres!$A$1:$I$89,3,0)*VLOOKUP('Données projet'!$B$10,Paramètres!$A$1:$I$89,5,0)</f>
        <v>0</v>
      </c>
      <c r="AK200" s="14" t="e">
        <f t="shared" si="164"/>
        <v>#NUM!</v>
      </c>
      <c r="AL200" s="22" t="e">
        <f t="shared" si="165"/>
        <v>#NUM!</v>
      </c>
      <c r="AM200" s="62" t="e">
        <f t="shared" si="193"/>
        <v>#NUM!</v>
      </c>
      <c r="AN200" s="62">
        <f ca="1">AVERAGE(OFFSET($AM$3,0,0,'Données projet'!$E$10+1,1))-AVERAGE(OFFSET($H$3,0,0,'Données projet'!$E$10+1,1))</f>
        <v>400.48230125343474</v>
      </c>
      <c r="AO200" s="62">
        <f t="shared" si="205"/>
        <v>275.67023303885048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0</v>
      </c>
      <c r="AV200" s="23">
        <f>EXP(-LN(2)/25)*AV199+(1-EXP(-LN(2)/25))/(LN(2)/25)*Calculateur!AQ200*Calculateur!AS200*VLOOKUP('Données projet'!$B$10,Paramètres!$A$1:$I$89,3,0)*0.475*44/12</f>
        <v>0</v>
      </c>
      <c r="AW200" s="23">
        <f>EXP(-LN(2)/2)*AW199+(1-EXP(-LN(2)/2))/(LN(2)/2)*AQ200*AT200*VLOOKUP('Données projet'!$B$10,Paramètres!$A$1:$I$89,3,0)*0.475*44/12</f>
        <v>0</v>
      </c>
      <c r="AX200" s="23">
        <f t="shared" si="166"/>
        <v>0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-9.6633812063373625E-13</v>
      </c>
      <c r="BE200" s="14">
        <f>BD200*VLOOKUP('Données projet'!$B$11,Paramètres!$A$1:$I$89,3,0)*VLOOKUP('Données projet'!$B$11,Paramètres!$A$1:$I$89,5,0)</f>
        <v>-9.3464223027694966E-13</v>
      </c>
      <c r="BF200" s="14" t="e">
        <f t="shared" si="167"/>
        <v>#NUM!</v>
      </c>
      <c r="BG200" s="22" t="e">
        <f t="shared" si="168"/>
        <v>#NUM!</v>
      </c>
      <c r="BH200" s="62" t="e">
        <f t="shared" si="194"/>
        <v>#NUM!</v>
      </c>
      <c r="BI200" s="62">
        <f ca="1">AVERAGE(OFFSET($BH$3,0,0,'Données projet'!$E$11+1,1))-AVERAGE(OFFSET($H$3,0,0,'Données projet'!$E$11+1,1))</f>
        <v>496.33873798282525</v>
      </c>
      <c r="BJ200" s="62">
        <f t="shared" si="206"/>
        <v>280.25465074992246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>
        <f>EXP(-LN(2)/35)*BP199+(1-EXP(-LN(2)/35))/(LN(2)/35)*BL200*BM200*VLOOKUP('Données projet'!$B$11,Paramètres!$A$1:$I$89,3,0)*0.475*44/12</f>
        <v>0</v>
      </c>
      <c r="BQ200" s="23">
        <f>EXP(-LN(2)/25)*BQ199+(1-EXP(-LN(2)/25))/(LN(2)/25)*Calculateur!BL200*Calculateur!BN200*VLOOKUP('Données projet'!$B$11,Paramètres!$A$1:$I$89,3,0)*0.475*44/12</f>
        <v>0</v>
      </c>
      <c r="BR200" s="23">
        <f>EXP(-LN(2)/2)*BR199+(1-EXP(-LN(2)/2))/(LN(2)/2)*BL200*BO200*VLOOKUP('Données projet'!$B$11,Paramètres!$A$1:$I$89,3,0)*0.475*44/12</f>
        <v>0</v>
      </c>
      <c r="BS200" s="24">
        <f t="shared" si="169"/>
        <v>0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-1.1368683772161603E-13</v>
      </c>
      <c r="BZ200" s="14">
        <f>BY200*VLOOKUP('Données projet'!$B$12,Paramètres!$A$1:$I$89,3,0)*VLOOKUP('Données projet'!$B$12,Paramètres!$A$1:$I$89,5,0)</f>
        <v>-9.9316821433603781E-14</v>
      </c>
      <c r="CA200" s="14" t="e">
        <f t="shared" si="170"/>
        <v>#NUM!</v>
      </c>
      <c r="CB200" s="22" t="e">
        <f t="shared" si="171"/>
        <v>#NUM!</v>
      </c>
      <c r="CC200" s="62" t="e">
        <f t="shared" si="195"/>
        <v>#NUM!</v>
      </c>
      <c r="CD200" s="62">
        <f ca="1">AVERAGE(OFFSET($CC$3,0,0,'Données projet'!$E$12+1,1))-AVERAGE(OFFSET($H$3,0,0,'Données projet'!$E$12+1,1))</f>
        <v>298.56812743477741</v>
      </c>
      <c r="CE200" s="62">
        <f t="shared" si="207"/>
        <v>276.01618888357268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>
        <f>EXP(-LN(2)/35)*CK199+(1-EXP(-LN(2)/35))/(LN(2)/35)*CG200*CH200*VLOOKUP('Données projet'!$B$12,Paramètres!$A$1:$I$89,3,0)*0.475*44/12</f>
        <v>0</v>
      </c>
      <c r="CL200" s="23">
        <f>EXP(-LN(2)/25)*CL199+(1-EXP(-LN(2)/25))/(LN(2)/25)*Calculateur!CG200*Calculateur!CI200*VLOOKUP('Données projet'!$B$12,Paramètres!$A$1:$I$89,3,0)*0.475*44/12</f>
        <v>0</v>
      </c>
      <c r="CM200" s="23">
        <f>EXP(-LN(2)/2)*CM199+(1-EXP(-LN(2)/2))/(LN(2)/2)*CG200*CJ200*VLOOKUP('Données projet'!$B$12,Paramètres!$A$1:$I$89,3,0)*0.475*44/12</f>
        <v>0</v>
      </c>
      <c r="CN200" s="24">
        <f t="shared" si="172"/>
        <v>0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2.2737367544323206E-13</v>
      </c>
      <c r="CU200" s="18">
        <f>CT200*VLOOKUP('Données projet'!$B$13,Paramètres!$A$1:$I$89,3,0)*VLOOKUP('Données projet'!$B$13,Paramètres!$A$1:$I$89,5,0)</f>
        <v>1.5252226148732008E-13</v>
      </c>
      <c r="CV200" s="14">
        <f t="shared" si="173"/>
        <v>2.1814502464536512E-12</v>
      </c>
      <c r="CW200" s="22">
        <f t="shared" si="174"/>
        <v>4.0650021179971913E-12</v>
      </c>
      <c r="CX200" s="62">
        <f t="shared" si="196"/>
        <v>290.41603252229288</v>
      </c>
      <c r="CY200" s="62">
        <f ca="1">AVERAGE(OFFSET($CX$3,0,0,'Données projet'!$E$13+1,1))-AVERAGE(OFFSET($H$3,0,0,'Données projet'!$E$13+1,1))</f>
        <v>346.82725381974132</v>
      </c>
      <c r="CZ200" s="62">
        <f t="shared" si="208"/>
        <v>254.09787950201044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>
        <f>EXP(-LN(2)/35)*DF199+(1-EXP(-LN(2)/35))/(LN(2)/35)*DB200*DC200*VLOOKUP('Données projet'!$B$13,Paramètres!$A$1:$I$89,3,0)*0.475*44/12</f>
        <v>0</v>
      </c>
      <c r="DG200" s="23">
        <f>EXP(-LN(2)/25)*DG199+(1-EXP(-LN(2)/25))/(LN(2)/25)*Calculateur!DB200*Calculateur!DD200*VLOOKUP('Données projet'!$B$13,Paramètres!$A$1:$I$89,3,0)*0.475*44/12</f>
        <v>0</v>
      </c>
      <c r="DH200" s="23">
        <f>EXP(-LN(2)/2)*DH199+(1-EXP(-LN(2)/2))/(LN(2)/2)*DB200*DE200*VLOOKUP('Données projet'!$B$13,Paramètres!$A$1:$I$89,3,0)*0.475*44/12</f>
        <v>0</v>
      </c>
      <c r="DI200" s="24">
        <f t="shared" si="175"/>
        <v>0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5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2">
        <f t="shared" si="202"/>
        <v>0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18.333333333333332</v>
      </c>
      <c r="H201" s="70">
        <f t="shared" si="192"/>
        <v>183.33333333333334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-9.6633812063373625E-13</v>
      </c>
      <c r="O201" s="14">
        <f>N201*VLOOKUP('Données projet'!$B$9,Paramètres!$A$1:$I$89,3,0)*VLOOKUP('Données projet'!$B$9,Paramètres!$A$1:$I$89,5,0)</f>
        <v>-8.7434273154940449E-13</v>
      </c>
      <c r="P201" s="14" t="e">
        <f t="shared" si="203"/>
        <v>#NUM!</v>
      </c>
      <c r="Q201" s="22" t="e">
        <f t="shared" si="162"/>
        <v>#NUM!</v>
      </c>
      <c r="R201" s="62" t="e">
        <f t="shared" si="191"/>
        <v>#NUM!</v>
      </c>
      <c r="S201" s="62">
        <f ca="1">AVERAGE(OFFSET($R$3,0,0,'Données projet'!$E$9+1,1))-AVERAGE(OFFSET($H$3,0,0,'Données projet'!$E$9+1,1))</f>
        <v>469.67944008675863</v>
      </c>
      <c r="T201" s="62">
        <f t="shared" si="204"/>
        <v>266.11908070867173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0</v>
      </c>
      <c r="AA201" s="23">
        <f>EXP(-LN(2)/25)*AA200+(1-EXP(-LN(2)/25))/(LN(2)/25)*Calculateur!V201*Calculateur!X201*VLOOKUP('Données projet'!$B$9,Paramètres!$A$1:$I$89,3,0)*0.475*44/12</f>
        <v>0</v>
      </c>
      <c r="AB201" s="23">
        <f>EXP(-LN(2)/2)*AB200+(1-EXP(-LN(2)/2))/(LN(2)/2)*V201*Y201*VLOOKUP('Données projet'!$B$9,Paramètres!$A$1:$I$89,3,0)*0.475*44/12</f>
        <v>0</v>
      </c>
      <c r="AC201" s="24">
        <f t="shared" si="163"/>
        <v>0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0</v>
      </c>
      <c r="AJ201" s="14">
        <f>AI201*VLOOKUP('Données projet'!$B$10,Paramètres!$A$1:$I$89,3,0)*VLOOKUP('Données projet'!$B$10,Paramètres!$A$1:$I$89,5,0)</f>
        <v>0</v>
      </c>
      <c r="AK201" s="14" t="e">
        <f t="shared" si="164"/>
        <v>#NUM!</v>
      </c>
      <c r="AL201" s="22" t="e">
        <f t="shared" si="165"/>
        <v>#NUM!</v>
      </c>
      <c r="AM201" s="62" t="e">
        <f t="shared" si="193"/>
        <v>#NUM!</v>
      </c>
      <c r="AN201" s="62">
        <f ca="1">AVERAGE(OFFSET($AM$3,0,0,'Données projet'!$E$10+1,1))-AVERAGE(OFFSET($H$3,0,0,'Données projet'!$E$10+1,1))</f>
        <v>400.48230125343474</v>
      </c>
      <c r="AO201" s="62">
        <f t="shared" si="205"/>
        <v>275.67023303885048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0</v>
      </c>
      <c r="AV201" s="23">
        <f>EXP(-LN(2)/25)*AV200+(1-EXP(-LN(2)/25))/(LN(2)/25)*Calculateur!AQ201*Calculateur!AS201*VLOOKUP('Données projet'!$B$10,Paramètres!$A$1:$I$89,3,0)*0.475*44/12</f>
        <v>0</v>
      </c>
      <c r="AW201" s="23">
        <f>EXP(-LN(2)/2)*AW200+(1-EXP(-LN(2)/2))/(LN(2)/2)*AQ201*AT201*VLOOKUP('Données projet'!$B$10,Paramètres!$A$1:$I$89,3,0)*0.475*44/12</f>
        <v>0</v>
      </c>
      <c r="AX201" s="23">
        <f t="shared" si="166"/>
        <v>0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-9.6633812063373625E-13</v>
      </c>
      <c r="BE201" s="14">
        <f>BD201*VLOOKUP('Données projet'!$B$11,Paramètres!$A$1:$I$89,3,0)*VLOOKUP('Données projet'!$B$11,Paramètres!$A$1:$I$89,5,0)</f>
        <v>-9.3464223027694966E-13</v>
      </c>
      <c r="BF201" s="14" t="e">
        <f t="shared" si="167"/>
        <v>#NUM!</v>
      </c>
      <c r="BG201" s="22" t="e">
        <f t="shared" si="168"/>
        <v>#NUM!</v>
      </c>
      <c r="BH201" s="62" t="e">
        <f t="shared" si="194"/>
        <v>#NUM!</v>
      </c>
      <c r="BI201" s="62">
        <f ca="1">AVERAGE(OFFSET($BH$3,0,0,'Données projet'!$E$11+1,1))-AVERAGE(OFFSET($H$3,0,0,'Données projet'!$E$11+1,1))</f>
        <v>496.33873798282525</v>
      </c>
      <c r="BJ201" s="62">
        <f t="shared" si="206"/>
        <v>280.25465074992246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>
        <f>EXP(-LN(2)/35)*BP200+(1-EXP(-LN(2)/35))/(LN(2)/35)*BL201*BM201*VLOOKUP('Données projet'!$B$11,Paramètres!$A$1:$I$89,3,0)*0.475*44/12</f>
        <v>0</v>
      </c>
      <c r="BQ201" s="23">
        <f>EXP(-LN(2)/25)*BQ200+(1-EXP(-LN(2)/25))/(LN(2)/25)*Calculateur!BL201*Calculateur!BN201*VLOOKUP('Données projet'!$B$11,Paramètres!$A$1:$I$89,3,0)*0.475*44/12</f>
        <v>0</v>
      </c>
      <c r="BR201" s="23">
        <f>EXP(-LN(2)/2)*BR200+(1-EXP(-LN(2)/2))/(LN(2)/2)*BL201*BO201*VLOOKUP('Données projet'!$B$11,Paramètres!$A$1:$I$89,3,0)*0.475*44/12</f>
        <v>0</v>
      </c>
      <c r="BS201" s="24">
        <f t="shared" si="169"/>
        <v>0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-1.1368683772161603E-13</v>
      </c>
      <c r="BZ201" s="14">
        <f>BY201*VLOOKUP('Données projet'!$B$12,Paramètres!$A$1:$I$89,3,0)*VLOOKUP('Données projet'!$B$12,Paramètres!$A$1:$I$89,5,0)</f>
        <v>-9.9316821433603781E-14</v>
      </c>
      <c r="CA201" s="14" t="e">
        <f t="shared" si="170"/>
        <v>#NUM!</v>
      </c>
      <c r="CB201" s="22" t="e">
        <f t="shared" si="171"/>
        <v>#NUM!</v>
      </c>
      <c r="CC201" s="62" t="e">
        <f t="shared" si="195"/>
        <v>#NUM!</v>
      </c>
      <c r="CD201" s="62">
        <f ca="1">AVERAGE(OFFSET($CC$3,0,0,'Données projet'!$E$12+1,1))-AVERAGE(OFFSET($H$3,0,0,'Données projet'!$E$12+1,1))</f>
        <v>298.56812743477741</v>
      </c>
      <c r="CE201" s="62">
        <f t="shared" si="207"/>
        <v>276.01618888357268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>
        <f>EXP(-LN(2)/35)*CK200+(1-EXP(-LN(2)/35))/(LN(2)/35)*CG201*CH201*VLOOKUP('Données projet'!$B$12,Paramètres!$A$1:$I$89,3,0)*0.475*44/12</f>
        <v>0</v>
      </c>
      <c r="CL201" s="23">
        <f>EXP(-LN(2)/25)*CL200+(1-EXP(-LN(2)/25))/(LN(2)/25)*Calculateur!CG201*Calculateur!CI201*VLOOKUP('Données projet'!$B$12,Paramètres!$A$1:$I$89,3,0)*0.475*44/12</f>
        <v>0</v>
      </c>
      <c r="CM201" s="23">
        <f>EXP(-LN(2)/2)*CM200+(1-EXP(-LN(2)/2))/(LN(2)/2)*CG201*CJ201*VLOOKUP('Données projet'!$B$12,Paramètres!$A$1:$I$89,3,0)*0.475*44/12</f>
        <v>0</v>
      </c>
      <c r="CN201" s="24">
        <f t="shared" si="172"/>
        <v>0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2.2737367544323206E-13</v>
      </c>
      <c r="CU201" s="18">
        <f>CT201*VLOOKUP('Données projet'!$B$13,Paramètres!$A$1:$I$89,3,0)*VLOOKUP('Données projet'!$B$13,Paramètres!$A$1:$I$89,5,0)</f>
        <v>1.5252226148732008E-13</v>
      </c>
      <c r="CV201" s="14">
        <f t="shared" si="173"/>
        <v>2.1814502464536512E-12</v>
      </c>
      <c r="CW201" s="22">
        <f t="shared" si="174"/>
        <v>4.0650021179971913E-12</v>
      </c>
      <c r="CX201" s="62">
        <f t="shared" si="196"/>
        <v>290.466641169257</v>
      </c>
      <c r="CY201" s="62">
        <f ca="1">AVERAGE(OFFSET($CX$3,0,0,'Données projet'!$E$13+1,1))-AVERAGE(OFFSET($H$3,0,0,'Données projet'!$E$13+1,1))</f>
        <v>346.82725381974132</v>
      </c>
      <c r="CZ201" s="62">
        <f t="shared" si="208"/>
        <v>254.09787950201044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>
        <f>EXP(-LN(2)/35)*DF200+(1-EXP(-LN(2)/35))/(LN(2)/35)*DB201*DC201*VLOOKUP('Données projet'!$B$13,Paramètres!$A$1:$I$89,3,0)*0.475*44/12</f>
        <v>0</v>
      </c>
      <c r="DG201" s="23">
        <f>EXP(-LN(2)/25)*DG200+(1-EXP(-LN(2)/25))/(LN(2)/25)*Calculateur!DB201*Calculateur!DD201*VLOOKUP('Données projet'!$B$13,Paramètres!$A$1:$I$89,3,0)*0.475*44/12</f>
        <v>0</v>
      </c>
      <c r="DH201" s="23">
        <f>EXP(-LN(2)/2)*DH200+(1-EXP(-LN(2)/2))/(LN(2)/2)*DB201*DE201*VLOOKUP('Données projet'!$B$13,Paramètres!$A$1:$I$89,3,0)*0.475*44/12</f>
        <v>0</v>
      </c>
      <c r="DI201" s="24">
        <f t="shared" si="175"/>
        <v>0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5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2">
        <f t="shared" si="202"/>
        <v>0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18.333333333333332</v>
      </c>
      <c r="H202" s="70">
        <f t="shared" si="192"/>
        <v>183.33333333333334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-9.6633812063373625E-13</v>
      </c>
      <c r="O202" s="14">
        <f>N202*VLOOKUP('Données projet'!$B$9,Paramètres!$A$1:$I$89,3,0)*VLOOKUP('Données projet'!$B$9,Paramètres!$A$1:$I$89,5,0)</f>
        <v>-8.7434273154940449E-13</v>
      </c>
      <c r="P202" s="14" t="e">
        <f t="shared" si="203"/>
        <v>#NUM!</v>
      </c>
      <c r="Q202" s="22" t="e">
        <f t="shared" si="162"/>
        <v>#NUM!</v>
      </c>
      <c r="R202" s="62" t="e">
        <f t="shared" si="191"/>
        <v>#NUM!</v>
      </c>
      <c r="S202" s="62">
        <f ca="1">AVERAGE(OFFSET($R$3,0,0,'Données projet'!$E$9+1,1))-AVERAGE(OFFSET($H$3,0,0,'Données projet'!$E$9+1,1))</f>
        <v>469.67944008675863</v>
      </c>
      <c r="T202" s="62">
        <f t="shared" si="204"/>
        <v>266.11908070867173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0</v>
      </c>
      <c r="AA202" s="23">
        <f>EXP(-LN(2)/25)*AA201+(1-EXP(-LN(2)/25))/(LN(2)/25)*Calculateur!V202*Calculateur!X202*VLOOKUP('Données projet'!$B$9,Paramètres!$A$1:$I$89,3,0)*0.475*44/12</f>
        <v>0</v>
      </c>
      <c r="AB202" s="23">
        <f>EXP(-LN(2)/2)*AB201+(1-EXP(-LN(2)/2))/(LN(2)/2)*V202*Y202*VLOOKUP('Données projet'!$B$9,Paramètres!$A$1:$I$89,3,0)*0.475*44/12</f>
        <v>0</v>
      </c>
      <c r="AC202" s="24">
        <f t="shared" si="163"/>
        <v>0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0</v>
      </c>
      <c r="AJ202" s="14">
        <f>AI202*VLOOKUP('Données projet'!$B$10,Paramètres!$A$1:$I$89,3,0)*VLOOKUP('Données projet'!$B$10,Paramètres!$A$1:$I$89,5,0)</f>
        <v>0</v>
      </c>
      <c r="AK202" s="14" t="e">
        <f t="shared" si="164"/>
        <v>#NUM!</v>
      </c>
      <c r="AL202" s="22" t="e">
        <f t="shared" si="165"/>
        <v>#NUM!</v>
      </c>
      <c r="AM202" s="62" t="e">
        <f t="shared" si="193"/>
        <v>#NUM!</v>
      </c>
      <c r="AN202" s="62">
        <f ca="1">AVERAGE(OFFSET($AM$3,0,0,'Données projet'!$E$10+1,1))-AVERAGE(OFFSET($H$3,0,0,'Données projet'!$E$10+1,1))</f>
        <v>400.48230125343474</v>
      </c>
      <c r="AO202" s="62">
        <f t="shared" si="205"/>
        <v>275.67023303885048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0</v>
      </c>
      <c r="AV202" s="23">
        <f>EXP(-LN(2)/25)*AV201+(1-EXP(-LN(2)/25))/(LN(2)/25)*Calculateur!AQ202*Calculateur!AS202*VLOOKUP('Données projet'!$B$10,Paramètres!$A$1:$I$89,3,0)*0.475*44/12</f>
        <v>0</v>
      </c>
      <c r="AW202" s="23">
        <f>EXP(-LN(2)/2)*AW201+(1-EXP(-LN(2)/2))/(LN(2)/2)*AQ202*AT202*VLOOKUP('Données projet'!$B$10,Paramètres!$A$1:$I$89,3,0)*0.475*44/12</f>
        <v>0</v>
      </c>
      <c r="AX202" s="23">
        <f t="shared" si="166"/>
        <v>0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-9.6633812063373625E-13</v>
      </c>
      <c r="BE202" s="14">
        <f>BD202*VLOOKUP('Données projet'!$B$11,Paramètres!$A$1:$I$89,3,0)*VLOOKUP('Données projet'!$B$11,Paramètres!$A$1:$I$89,5,0)</f>
        <v>-9.3464223027694966E-13</v>
      </c>
      <c r="BF202" s="14" t="e">
        <f t="shared" si="167"/>
        <v>#NUM!</v>
      </c>
      <c r="BG202" s="22" t="e">
        <f t="shared" si="168"/>
        <v>#NUM!</v>
      </c>
      <c r="BH202" s="62" t="e">
        <f t="shared" si="194"/>
        <v>#NUM!</v>
      </c>
      <c r="BI202" s="62">
        <f ca="1">AVERAGE(OFFSET($BH$3,0,0,'Données projet'!$E$11+1,1))-AVERAGE(OFFSET($H$3,0,0,'Données projet'!$E$11+1,1))</f>
        <v>496.33873798282525</v>
      </c>
      <c r="BJ202" s="62">
        <f t="shared" si="206"/>
        <v>280.25465074992246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>
        <f>EXP(-LN(2)/35)*BP201+(1-EXP(-LN(2)/35))/(LN(2)/35)*BL202*BM202*VLOOKUP('Données projet'!$B$11,Paramètres!$A$1:$I$89,3,0)*0.475*44/12</f>
        <v>0</v>
      </c>
      <c r="BQ202" s="23">
        <f>EXP(-LN(2)/25)*BQ201+(1-EXP(-LN(2)/25))/(LN(2)/25)*Calculateur!BL202*Calculateur!BN202*VLOOKUP('Données projet'!$B$11,Paramètres!$A$1:$I$89,3,0)*0.475*44/12</f>
        <v>0</v>
      </c>
      <c r="BR202" s="23">
        <f>EXP(-LN(2)/2)*BR201+(1-EXP(-LN(2)/2))/(LN(2)/2)*BL202*BO202*VLOOKUP('Données projet'!$B$11,Paramètres!$A$1:$I$89,3,0)*0.475*44/12</f>
        <v>0</v>
      </c>
      <c r="BS202" s="24">
        <f t="shared" si="169"/>
        <v>0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-1.1368683772161603E-13</v>
      </c>
      <c r="BZ202" s="14">
        <f>BY202*VLOOKUP('Données projet'!$B$12,Paramètres!$A$1:$I$89,3,0)*VLOOKUP('Données projet'!$B$12,Paramètres!$A$1:$I$89,5,0)</f>
        <v>-9.9316821433603781E-14</v>
      </c>
      <c r="CA202" s="14" t="e">
        <f t="shared" si="170"/>
        <v>#NUM!</v>
      </c>
      <c r="CB202" s="22" t="e">
        <f t="shared" si="171"/>
        <v>#NUM!</v>
      </c>
      <c r="CC202" s="62" t="e">
        <f t="shared" si="195"/>
        <v>#NUM!</v>
      </c>
      <c r="CD202" s="62">
        <f ca="1">AVERAGE(OFFSET($CC$3,0,0,'Données projet'!$E$12+1,1))-AVERAGE(OFFSET($H$3,0,0,'Données projet'!$E$12+1,1))</f>
        <v>298.56812743477741</v>
      </c>
      <c r="CE202" s="62">
        <f t="shared" si="207"/>
        <v>276.01618888357268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>
        <f>EXP(-LN(2)/35)*CK201+(1-EXP(-LN(2)/35))/(LN(2)/35)*CG202*CH202*VLOOKUP('Données projet'!$B$12,Paramètres!$A$1:$I$89,3,0)*0.475*44/12</f>
        <v>0</v>
      </c>
      <c r="CL202" s="23">
        <f>EXP(-LN(2)/25)*CL201+(1-EXP(-LN(2)/25))/(LN(2)/25)*Calculateur!CG202*Calculateur!CI202*VLOOKUP('Données projet'!$B$12,Paramètres!$A$1:$I$89,3,0)*0.475*44/12</f>
        <v>0</v>
      </c>
      <c r="CM202" s="23">
        <f>EXP(-LN(2)/2)*CM201+(1-EXP(-LN(2)/2))/(LN(2)/2)*CG202*CJ202*VLOOKUP('Données projet'!$B$12,Paramètres!$A$1:$I$89,3,0)*0.475*44/12</f>
        <v>0</v>
      </c>
      <c r="CN202" s="24">
        <f t="shared" si="172"/>
        <v>0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2.2737367544323206E-13</v>
      </c>
      <c r="CU202" s="18">
        <f>CT202*VLOOKUP('Données projet'!$B$13,Paramètres!$A$1:$I$89,3,0)*VLOOKUP('Données projet'!$B$13,Paramètres!$A$1:$I$89,5,0)</f>
        <v>1.5252226148732008E-13</v>
      </c>
      <c r="CV202" s="14">
        <f t="shared" si="173"/>
        <v>2.1814502464536512E-12</v>
      </c>
      <c r="CW202" s="22">
        <f t="shared" si="174"/>
        <v>4.0650021179971913E-12</v>
      </c>
      <c r="CX202" s="62">
        <f t="shared" si="196"/>
        <v>290.51637186934022</v>
      </c>
      <c r="CY202" s="62">
        <f ca="1">AVERAGE(OFFSET($CX$3,0,0,'Données projet'!$E$13+1,1))-AVERAGE(OFFSET($H$3,0,0,'Données projet'!$E$13+1,1))</f>
        <v>346.82725381974132</v>
      </c>
      <c r="CZ202" s="62">
        <f t="shared" si="208"/>
        <v>254.09787950201044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>
        <f>EXP(-LN(2)/35)*DF201+(1-EXP(-LN(2)/35))/(LN(2)/35)*DB202*DC202*VLOOKUP('Données projet'!$B$13,Paramètres!$A$1:$I$89,3,0)*0.475*44/12</f>
        <v>0</v>
      </c>
      <c r="DG202" s="23">
        <f>EXP(-LN(2)/25)*DG201+(1-EXP(-LN(2)/25))/(LN(2)/25)*Calculateur!DB202*Calculateur!DD202*VLOOKUP('Données projet'!$B$13,Paramètres!$A$1:$I$89,3,0)*0.475*44/12</f>
        <v>0</v>
      </c>
      <c r="DH202" s="23">
        <f>EXP(-LN(2)/2)*DH201+(1-EXP(-LN(2)/2))/(LN(2)/2)*DB202*DE202*VLOOKUP('Données projet'!$B$13,Paramètres!$A$1:$I$89,3,0)*0.475*44/12</f>
        <v>0</v>
      </c>
      <c r="DI202" s="24">
        <f t="shared" si="175"/>
        <v>0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5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2">
        <f t="shared" si="202"/>
        <v>0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18.333333333333332</v>
      </c>
      <c r="H203" s="70">
        <f t="shared" si="192"/>
        <v>183.33333333333334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-9.6633812063373625E-13</v>
      </c>
      <c r="O203" s="14">
        <f>N203*VLOOKUP('Données projet'!$B$9,Paramètres!$A$1:$I$89,3,0)*VLOOKUP('Données projet'!$B$9,Paramètres!$A$1:$I$89,5,0)</f>
        <v>-8.7434273154940449E-13</v>
      </c>
      <c r="P203" s="14" t="e">
        <f t="shared" si="203"/>
        <v>#NUM!</v>
      </c>
      <c r="Q203" s="22" t="e">
        <f t="shared" si="162"/>
        <v>#NUM!</v>
      </c>
      <c r="R203" s="62" t="e">
        <f t="shared" si="191"/>
        <v>#NUM!</v>
      </c>
      <c r="S203" s="62">
        <f ca="1">AVERAGE(OFFSET($R$3,0,0,'Données projet'!$E$9+1,1))-AVERAGE(OFFSET($H$3,0,0,'Données projet'!$E$9+1,1))</f>
        <v>469.67944008675863</v>
      </c>
      <c r="T203" s="62">
        <f t="shared" si="204"/>
        <v>266.11908070867173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0</v>
      </c>
      <c r="AA203" s="23">
        <f>EXP(-LN(2)/25)*AA202+(1-EXP(-LN(2)/25))/(LN(2)/25)*Calculateur!V203*Calculateur!X203*VLOOKUP('Données projet'!$B$9,Paramètres!$A$1:$I$89,3,0)*0.475*44/12</f>
        <v>0</v>
      </c>
      <c r="AB203" s="23">
        <f>EXP(-LN(2)/2)*AB202+(1-EXP(-LN(2)/2))/(LN(2)/2)*V203*Y203*VLOOKUP('Données projet'!$B$9,Paramètres!$A$1:$I$89,3,0)*0.475*44/12</f>
        <v>0</v>
      </c>
      <c r="AC203" s="24">
        <f t="shared" si="163"/>
        <v>0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0</v>
      </c>
      <c r="AJ203" s="14">
        <f>AI203*VLOOKUP('Données projet'!$B$10,Paramètres!$A$1:$I$89,3,0)*VLOOKUP('Données projet'!$B$10,Paramètres!$A$1:$I$89,5,0)</f>
        <v>0</v>
      </c>
      <c r="AK203" s="14" t="e">
        <f t="shared" si="164"/>
        <v>#NUM!</v>
      </c>
      <c r="AL203" s="22" t="e">
        <f t="shared" si="165"/>
        <v>#NUM!</v>
      </c>
      <c r="AM203" s="62" t="e">
        <f t="shared" si="193"/>
        <v>#NUM!</v>
      </c>
      <c r="AN203" s="62">
        <f ca="1">AVERAGE(OFFSET($AM$3,0,0,'Données projet'!$E$10+1,1))-AVERAGE(OFFSET($H$3,0,0,'Données projet'!$E$10+1,1))</f>
        <v>400.48230125343474</v>
      </c>
      <c r="AO203" s="62">
        <f t="shared" si="205"/>
        <v>275.67023303885048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0</v>
      </c>
      <c r="AV203" s="23">
        <f>EXP(-LN(2)/25)*AV202+(1-EXP(-LN(2)/25))/(LN(2)/25)*Calculateur!AQ203*Calculateur!AS203*VLOOKUP('Données projet'!$B$10,Paramètres!$A$1:$I$89,3,0)*0.475*44/12</f>
        <v>0</v>
      </c>
      <c r="AW203" s="23">
        <f>EXP(-LN(2)/2)*AW202+(1-EXP(-LN(2)/2))/(LN(2)/2)*AQ203*AT203*VLOOKUP('Données projet'!$B$10,Paramètres!$A$1:$I$89,3,0)*0.475*44/12</f>
        <v>0</v>
      </c>
      <c r="AX203" s="23">
        <f t="shared" si="166"/>
        <v>0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-9.6633812063373625E-13</v>
      </c>
      <c r="BE203" s="14">
        <f>BD203*VLOOKUP('Données projet'!$B$11,Paramètres!$A$1:$I$89,3,0)*VLOOKUP('Données projet'!$B$11,Paramètres!$A$1:$I$89,5,0)</f>
        <v>-9.3464223027694966E-13</v>
      </c>
      <c r="BF203" s="14" t="e">
        <f t="shared" si="167"/>
        <v>#NUM!</v>
      </c>
      <c r="BG203" s="22" t="e">
        <f t="shared" si="168"/>
        <v>#NUM!</v>
      </c>
      <c r="BH203" s="62" t="e">
        <f t="shared" si="194"/>
        <v>#NUM!</v>
      </c>
      <c r="BI203" s="62">
        <f ca="1">AVERAGE(OFFSET($BH$3,0,0,'Données projet'!$E$11+1,1))-AVERAGE(OFFSET($H$3,0,0,'Données projet'!$E$11+1,1))</f>
        <v>496.33873798282525</v>
      </c>
      <c r="BJ203" s="62">
        <f t="shared" si="206"/>
        <v>280.25465074992246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>
        <f>EXP(-LN(2)/35)*BP202+(1-EXP(-LN(2)/35))/(LN(2)/35)*BL203*BM203*VLOOKUP('Données projet'!$B$11,Paramètres!$A$1:$I$89,3,0)*0.475*44/12</f>
        <v>0</v>
      </c>
      <c r="BQ203" s="23">
        <f>EXP(-LN(2)/25)*BQ202+(1-EXP(-LN(2)/25))/(LN(2)/25)*Calculateur!BL203*Calculateur!BN203*VLOOKUP('Données projet'!$B$11,Paramètres!$A$1:$I$89,3,0)*0.475*44/12</f>
        <v>0</v>
      </c>
      <c r="BR203" s="23">
        <f>EXP(-LN(2)/2)*BR202+(1-EXP(-LN(2)/2))/(LN(2)/2)*BL203*BO203*VLOOKUP('Données projet'!$B$11,Paramètres!$A$1:$I$89,3,0)*0.475*44/12</f>
        <v>0</v>
      </c>
      <c r="BS203" s="24">
        <f t="shared" si="169"/>
        <v>0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-1.1368683772161603E-13</v>
      </c>
      <c r="BZ203" s="14">
        <f>BY203*VLOOKUP('Données projet'!$B$12,Paramètres!$A$1:$I$89,3,0)*VLOOKUP('Données projet'!$B$12,Paramètres!$A$1:$I$89,5,0)</f>
        <v>-9.9316821433603781E-14</v>
      </c>
      <c r="CA203" s="14" t="e">
        <f t="shared" si="170"/>
        <v>#NUM!</v>
      </c>
      <c r="CB203" s="22" t="e">
        <f t="shared" si="171"/>
        <v>#NUM!</v>
      </c>
      <c r="CC203" s="62" t="e">
        <f t="shared" si="195"/>
        <v>#NUM!</v>
      </c>
      <c r="CD203" s="62">
        <f ca="1">AVERAGE(OFFSET($CC$3,0,0,'Données projet'!$E$12+1,1))-AVERAGE(OFFSET($H$3,0,0,'Données projet'!$E$12+1,1))</f>
        <v>298.56812743477741</v>
      </c>
      <c r="CE203" s="62">
        <f t="shared" si="207"/>
        <v>276.01618888357268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>
        <f>EXP(-LN(2)/35)*CK202+(1-EXP(-LN(2)/35))/(LN(2)/35)*CG203*CH203*VLOOKUP('Données projet'!$B$12,Paramètres!$A$1:$I$89,3,0)*0.475*44/12</f>
        <v>0</v>
      </c>
      <c r="CL203" s="23">
        <f>EXP(-LN(2)/25)*CL202+(1-EXP(-LN(2)/25))/(LN(2)/25)*Calculateur!CG203*Calculateur!CI203*VLOOKUP('Données projet'!$B$12,Paramètres!$A$1:$I$89,3,0)*0.475*44/12</f>
        <v>0</v>
      </c>
      <c r="CM203" s="23">
        <f>EXP(-LN(2)/2)*CM202+(1-EXP(-LN(2)/2))/(LN(2)/2)*CG203*CJ203*VLOOKUP('Données projet'!$B$12,Paramètres!$A$1:$I$89,3,0)*0.475*44/12</f>
        <v>0</v>
      </c>
      <c r="CN203" s="24">
        <f t="shared" si="172"/>
        <v>0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2.2737367544323206E-13</v>
      </c>
      <c r="CU203" s="18">
        <f>CT203*VLOOKUP('Données projet'!$B$13,Paramètres!$A$1:$I$89,3,0)*VLOOKUP('Données projet'!$B$13,Paramètres!$A$1:$I$89,5,0)</f>
        <v>1.5252226148732008E-13</v>
      </c>
      <c r="CV203" s="14">
        <f t="shared" si="173"/>
        <v>2.1814502464536512E-12</v>
      </c>
      <c r="CW203" s="22">
        <f t="shared" si="174"/>
        <v>4.0650021179971913E-12</v>
      </c>
      <c r="CX203" s="62">
        <f t="shared" si="196"/>
        <v>290.5652398529582</v>
      </c>
      <c r="CY203" s="62">
        <f ca="1">AVERAGE(OFFSET($CX$3,0,0,'Données projet'!$E$13+1,1))-AVERAGE(OFFSET($H$3,0,0,'Données projet'!$E$13+1,1))</f>
        <v>346.82725381974132</v>
      </c>
      <c r="CZ203" s="62">
        <f t="shared" si="208"/>
        <v>254.09787950201044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>
        <f>EXP(-LN(2)/35)*DF202+(1-EXP(-LN(2)/35))/(LN(2)/35)*DB203*DC203*VLOOKUP('Données projet'!$B$13,Paramètres!$A$1:$I$89,3,0)*0.475*44/12</f>
        <v>0</v>
      </c>
      <c r="DG203" s="23">
        <f>EXP(-LN(2)/25)*DG202+(1-EXP(-LN(2)/25))/(LN(2)/25)*Calculateur!DB203*Calculateur!DD203*VLOOKUP('Données projet'!$B$13,Paramètres!$A$1:$I$89,3,0)*0.475*44/12</f>
        <v>0</v>
      </c>
      <c r="DH203" s="23">
        <f>EXP(-LN(2)/2)*DH202+(1-EXP(-LN(2)/2))/(LN(2)/2)*DB203*DE203*VLOOKUP('Données projet'!$B$13,Paramètres!$A$1:$I$89,3,0)*0.475*44/12</f>
        <v>0</v>
      </c>
      <c r="DI203" s="24">
        <f t="shared" si="175"/>
        <v>0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1.2054868146447177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1.2711106295585217</v>
      </c>
      <c r="BA205" s="88">
        <f>EXP(LN('Données projet'!B88)/'Données projet'!A88)</f>
        <v>1.2054868146447177</v>
      </c>
      <c r="BV205" s="88">
        <f>EXP(LN('Données projet'!B114)/'Données projet'!A114)</f>
        <v>1.1577536725165907</v>
      </c>
      <c r="CQ205" s="88">
        <f>EXP(LN('Données projet'!B140)/'Données projet'!A140)</f>
        <v>1.2979700365523266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4"/>
  <dimension ref="A1:P95"/>
  <sheetViews>
    <sheetView topLeftCell="A53" workbookViewId="0">
      <selection activeCell="D102" sqref="D102"/>
    </sheetView>
  </sheetViews>
  <sheetFormatPr baseColWidth="10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6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7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6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8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8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7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6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7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5" t="s">
        <v>321</v>
      </c>
      <c r="B87" s="286" t="s">
        <v>322</v>
      </c>
      <c r="C87" s="287">
        <v>0.41</v>
      </c>
      <c r="D87" s="287" t="s">
        <v>323</v>
      </c>
      <c r="E87" s="287">
        <v>1.56</v>
      </c>
      <c r="F87" s="288" t="s">
        <v>274</v>
      </c>
      <c r="G87" s="289">
        <v>0.43</v>
      </c>
      <c r="H87" s="287" t="s">
        <v>278</v>
      </c>
      <c r="I87" s="290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5"/>
  <dimension ref="A1:BJ357"/>
  <sheetViews>
    <sheetView tabSelected="1" zoomScale="90" zoomScaleNormal="90" workbookViewId="0">
      <selection activeCell="M34" sqref="M34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7" t="s">
        <v>271</v>
      </c>
      <c r="B2" s="308"/>
      <c r="C2" s="308"/>
      <c r="D2" s="308"/>
      <c r="E2" s="308"/>
      <c r="F2" s="308"/>
      <c r="G2" s="308"/>
      <c r="H2" s="308"/>
      <c r="I2" s="308"/>
      <c r="J2" s="308"/>
      <c r="K2" s="308"/>
      <c r="L2" s="309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Chêne sessile</v>
      </c>
      <c r="B6" s="155">
        <f>'Données projet'!D9</f>
        <v>0.54</v>
      </c>
      <c r="C6" s="156">
        <f ca="1">IF(OR('Données projet'!B9="",'Données projet'!C9="",'Données projet'!C9=0%),0,Calculateur!S3)</f>
        <v>469.67944008675863</v>
      </c>
      <c r="D6" s="156">
        <f>IF(OR('Données projet'!B9="",'Données projet'!C9="",'Données projet'!C9=0%),0,Calculateur!T3)</f>
        <v>266.11908070867173</v>
      </c>
      <c r="E6" s="156">
        <f ca="1">MIN(C6,D6)</f>
        <v>266.11908070867173</v>
      </c>
      <c r="F6" s="156">
        <f ca="1">E6*B6</f>
        <v>143.70430358268274</v>
      </c>
      <c r="G6" s="156">
        <f ca="1">F6*(100%-'Données projet'!$C$24)*(100%-'Données projet'!$C$25)*(100%-'Données projet'!$C$26)*(100%-'Données projet'!$C$27)</f>
        <v>129.33387322441448</v>
      </c>
      <c r="H6" s="157">
        <f>IF(OR('Données projet'!B9="",'Données projet'!C9="",'Données projet'!C9=0%),0,AVERAGE(Calculateur!$AC$3:$AC$33)*B6)</f>
        <v>0</v>
      </c>
      <c r="I6" s="158">
        <f>H6*(100%-'Données projet'!$C$24)*(100%-'Données projet'!$C$25)*(100%-'Données projet'!$C$26)*(100%-'Données projet'!$C$27)</f>
        <v>0</v>
      </c>
      <c r="J6" s="159">
        <f>IF(OR('Données projet'!B9="",'Données projet'!C9="",'Données projet'!C9=0%),0,SUM(Calculateur!$V$3:$V$33)*VLOOKUP('Données projet'!$B$9,Paramètres!$A$1:$I$89,9,0)*B6)</f>
        <v>3.915</v>
      </c>
      <c r="K6" s="160">
        <f>J6*(100%-'Données projet'!$C$24)*(100%-'Données projet'!$C$25)*(100%-'Données projet'!$C$26)*(100%-'Données projet'!$C$27)</f>
        <v>3.5235000000000003</v>
      </c>
      <c r="L6" s="161">
        <f ca="1">G6+I6+K6</f>
        <v>132.85737322441449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>Charme</v>
      </c>
      <c r="B7" s="163">
        <f>'Données projet'!D10</f>
        <v>9.0000000000000011E-2</v>
      </c>
      <c r="C7" s="156">
        <f ca="1">IF(OR('Données projet'!B10="",'Données projet'!C10="",'Données projet'!C10=0%),0,Calculateur!AN3)</f>
        <v>400.48230125343474</v>
      </c>
      <c r="D7" s="156">
        <f>IF(OR('Données projet'!B10="",'Données projet'!C10="",'Données projet'!C10=0%),0,Calculateur!AO3)</f>
        <v>275.67023303885048</v>
      </c>
      <c r="E7" s="156">
        <f t="shared" ref="E7:E15" ca="1" si="0">MIN(C7,D7)</f>
        <v>275.67023303885048</v>
      </c>
      <c r="F7" s="156">
        <f t="shared" ref="F7:F15" ca="1" si="1">E7*B7</f>
        <v>24.810320973496545</v>
      </c>
      <c r="G7" s="156">
        <f ca="1">F7*(100%-'Données projet'!$C$24)*(100%-'Données projet'!$C$25)*(100%-'Données projet'!$C$26)*(100%-'Données projet'!$C$27)</f>
        <v>22.32928887614689</v>
      </c>
      <c r="H7" s="164">
        <f>IF(OR('Données projet'!B10="",'Données projet'!C10="",'Données projet'!C10=0%),0,AVERAGE(Calculateur!$AX$3:$AX$33)*B7)</f>
        <v>0</v>
      </c>
      <c r="I7" s="158">
        <f>H7*(100%-'Données projet'!$C$24)*(100%-'Données projet'!$C$25)*(100%-'Données projet'!$C$26)*(100%-'Données projet'!$C$27)</f>
        <v>0</v>
      </c>
      <c r="J7" s="159">
        <f>IF(OR('Données projet'!B10="",'Données projet'!C10="",'Données projet'!C10=0%),0,SUM(Calculateur!$AQ$3:$AQ$33)*VLOOKUP('Données projet'!$B$10,Paramètres!$A$1:$I$89,9,0)*B7)</f>
        <v>0.64903846153846168</v>
      </c>
      <c r="K7" s="160">
        <f>J7*(100%-'Données projet'!$C$24)*(100%-'Données projet'!$C$25)*(100%-'Données projet'!$C$26)*(100%-'Données projet'!$C$27)</f>
        <v>0.58413461538461553</v>
      </c>
      <c r="L7" s="161">
        <f t="shared" ref="L7:L15" ca="1" si="2">G7+I7+K7</f>
        <v>22.913423491531507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>Alisier torminal</v>
      </c>
      <c r="B8" s="163">
        <f>'Données projet'!D11</f>
        <v>9.0000000000000011E-2</v>
      </c>
      <c r="C8" s="156">
        <f ca="1">IF(OR('Données projet'!B11="",'Données projet'!C11="",'Données projet'!C11=0%),0,Calculateur!BI3)</f>
        <v>496.33873798282525</v>
      </c>
      <c r="D8" s="156">
        <f>IF(OR('Données projet'!B11="",'Données projet'!C11="",'Données projet'!C11=0%),0,Calculateur!BJ3)</f>
        <v>280.25465074992246</v>
      </c>
      <c r="E8" s="156">
        <f t="shared" ca="1" si="0"/>
        <v>280.25465074992246</v>
      </c>
      <c r="F8" s="156">
        <f t="shared" ca="1" si="1"/>
        <v>25.222918567493025</v>
      </c>
      <c r="G8" s="156">
        <f ca="1">F8*(100%-'Données projet'!$C$24)*(100%-'Données projet'!$C$25)*(100%-'Données projet'!$C$26)*(100%-'Données projet'!$C$27)</f>
        <v>22.700626710743723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0.65250000000000008</v>
      </c>
      <c r="K8" s="160">
        <f>J8*(100%-'Données projet'!$C$24)*(100%-'Données projet'!$C$25)*(100%-'Données projet'!$C$26)*(100%-'Données projet'!$C$27)</f>
        <v>0.58725000000000005</v>
      </c>
      <c r="L8" s="161">
        <f t="shared" ca="1" si="2"/>
        <v>23.287876710743724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>Erable champêtre</v>
      </c>
      <c r="B9" s="163">
        <f>'Données projet'!D12</f>
        <v>9.0000000000000011E-2</v>
      </c>
      <c r="C9" s="156">
        <f ca="1">IF(OR('Données projet'!B12="",'Données projet'!C12="",'Données projet'!C12=0%),0,Calculateur!CD3)</f>
        <v>298.56812743477741</v>
      </c>
      <c r="D9" s="156">
        <f>IF(OR('Données projet'!B12="",'Données projet'!C12="",'Données projet'!C12=0%),0,Calculateur!CE3)</f>
        <v>276.01618888357268</v>
      </c>
      <c r="E9" s="156">
        <f t="shared" ca="1" si="0"/>
        <v>276.01618888357268</v>
      </c>
      <c r="F9" s="156">
        <f t="shared" ca="1" si="1"/>
        <v>24.841456999521544</v>
      </c>
      <c r="G9" s="156">
        <f ca="1">F9*(100%-'Données projet'!$C$24)*(100%-'Données projet'!$C$25)*(100%-'Données projet'!$C$26)*(100%-'Données projet'!$C$27)</f>
        <v>22.357311299569389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0.94500000000000006</v>
      </c>
      <c r="K9" s="160">
        <f>J9*(100%-'Données projet'!$C$24)*(100%-'Données projet'!$C$25)*(100%-'Données projet'!$C$26)*(100%-'Données projet'!$C$27)</f>
        <v>0.85050000000000003</v>
      </c>
      <c r="L9" s="161">
        <f t="shared" ca="1" si="2"/>
        <v>23.207811299569389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>Tilleul</v>
      </c>
      <c r="B10" s="163">
        <f>'Données projet'!D13</f>
        <v>7.2000000000000008E-2</v>
      </c>
      <c r="C10" s="156">
        <f ca="1">IF(OR('Données projet'!B13="",'Données projet'!C13="",'Données projet'!C13=0%),0,Calculateur!CY3)</f>
        <v>346.82725381974132</v>
      </c>
      <c r="D10" s="156">
        <f>IF(OR('Données projet'!B13="",'Données projet'!C13="",'Données projet'!C13=0%),0,Calculateur!CZ3)</f>
        <v>254.09787950201044</v>
      </c>
      <c r="E10" s="156">
        <f t="shared" ca="1" si="0"/>
        <v>254.09787950201044</v>
      </c>
      <c r="F10" s="156">
        <f t="shared" ca="1" si="1"/>
        <v>18.295047324144754</v>
      </c>
      <c r="G10" s="156">
        <f ca="1">F10*(100%-'Données projet'!$C$24)*(100%-'Données projet'!$C$25)*(100%-'Données projet'!$C$26)*(100%-'Données projet'!$C$27)</f>
        <v>16.46554259173028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0.72692307692307689</v>
      </c>
      <c r="K10" s="160">
        <f>J10*(100%-'Données projet'!$C$24)*(100%-'Données projet'!$C$25)*(100%-'Données projet'!$C$26)*(100%-'Données projet'!$C$27)</f>
        <v>0.65423076923076917</v>
      </c>
      <c r="L10" s="161">
        <f t="shared" ca="1" si="2"/>
        <v>17.119773360961048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236.8740474473386</v>
      </c>
      <c r="G16" s="175">
        <f t="shared" ca="1" si="3"/>
        <v>213.18664270260476</v>
      </c>
      <c r="H16" s="176">
        <f t="shared" si="3"/>
        <v>0</v>
      </c>
      <c r="I16" s="176">
        <f t="shared" si="3"/>
        <v>0</v>
      </c>
      <c r="J16" s="177">
        <f t="shared" si="3"/>
        <v>6.8884615384615389</v>
      </c>
      <c r="K16" s="177">
        <f t="shared" si="3"/>
        <v>6.1996153846153854</v>
      </c>
      <c r="L16" s="178">
        <f t="shared" ca="1" si="3"/>
        <v>219.38625808722014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19" t="s">
        <v>246</v>
      </c>
      <c r="G17" s="320"/>
      <c r="H17" s="320"/>
      <c r="I17" s="320"/>
      <c r="J17" s="320"/>
      <c r="K17" s="320"/>
      <c r="L17" s="320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21"/>
      <c r="G18" s="321"/>
      <c r="H18" s="321"/>
      <c r="I18" s="321"/>
      <c r="J18" s="321"/>
      <c r="K18" s="321"/>
      <c r="L18" s="321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Chêne sessile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>Charme</v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>Alisier torminal</v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>Erable champêtre</v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>Tilleul</v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6"/>
  <dimension ref="A1:BL552"/>
  <sheetViews>
    <sheetView topLeftCell="F1" zoomScale="80" zoomScaleNormal="80" workbookViewId="0">
      <selection activeCell="L26" sqref="L26:P27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7" t="s">
        <v>272</v>
      </c>
      <c r="C2" s="308"/>
      <c r="D2" s="308"/>
      <c r="E2" s="308"/>
      <c r="F2" s="308"/>
      <c r="G2" s="308"/>
      <c r="H2" s="308"/>
      <c r="I2" s="308"/>
      <c r="J2" s="308"/>
      <c r="K2" s="308"/>
      <c r="L2" s="308"/>
      <c r="M2" s="308"/>
      <c r="N2" s="308"/>
      <c r="O2" s="308"/>
      <c r="P2" s="309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25" t="s">
        <v>315</v>
      </c>
      <c r="I4" s="325"/>
      <c r="K4" s="322" t="s">
        <v>253</v>
      </c>
      <c r="L4" s="323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33" t="s">
        <v>310</v>
      </c>
      <c r="S7" s="334"/>
      <c r="T7" s="334"/>
      <c r="U7" s="334"/>
      <c r="V7" s="335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Chêne sessile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642.18630560627867</v>
      </c>
      <c r="U10" s="190">
        <f>'Données projet'!D9</f>
        <v>0.54</v>
      </c>
      <c r="V10" s="189">
        <f>U10*T10</f>
        <v>346.78060502739049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>Charme</v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460.30416257442732</v>
      </c>
      <c r="U11" s="190">
        <f>'Données projet'!D10</f>
        <v>9.0000000000000011E-2</v>
      </c>
      <c r="V11" s="189">
        <f t="shared" ref="V11" si="0">U11*T11</f>
        <v>41.427374631698463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>Alisier torminal</v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642.18630560627867</v>
      </c>
      <c r="U12" s="190">
        <f>'Données projet'!D11</f>
        <v>9.0000000000000011E-2</v>
      </c>
      <c r="V12" s="189">
        <f t="shared" ref="V12:V19" si="1">U12*T12</f>
        <v>57.796767504565089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>Erable champêtre</v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1038.5569598686395</v>
      </c>
      <c r="U13" s="190">
        <f>'Données projet'!D12</f>
        <v>9.0000000000000011E-2</v>
      </c>
      <c r="V13" s="189">
        <f t="shared" si="1"/>
        <v>93.470126388177562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Chêne sessile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>Tilleul</v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740.47234421442272</v>
      </c>
      <c r="U14" s="190">
        <f>'Données projet'!D13</f>
        <v>7.2000000000000008E-2</v>
      </c>
      <c r="V14" s="189">
        <f t="shared" si="1"/>
        <v>53.314008783438439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26" t="s">
        <v>318</v>
      </c>
      <c r="H15" s="203">
        <v>0</v>
      </c>
      <c r="I15" s="204">
        <v>0</v>
      </c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26"/>
      <c r="H16" s="203"/>
      <c r="I16" s="204"/>
      <c r="J16" s="216"/>
      <c r="K16" s="225"/>
      <c r="L16" s="322" t="s">
        <v>254</v>
      </c>
      <c r="M16" s="323"/>
      <c r="N16" s="2"/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26"/>
      <c r="J17" s="216"/>
      <c r="K17" s="225"/>
      <c r="L17" s="293" t="s">
        <v>289</v>
      </c>
      <c r="M17" s="295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26"/>
      <c r="J18" s="216"/>
      <c r="K18" s="225"/>
      <c r="L18" s="293" t="s">
        <v>255</v>
      </c>
      <c r="M18" s="295"/>
      <c r="N18" s="205"/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26"/>
      <c r="H19" s="232" t="s">
        <v>178</v>
      </c>
      <c r="I19" s="232" t="s">
        <v>287</v>
      </c>
      <c r="J19" s="260"/>
      <c r="K19" s="183"/>
      <c r="L19" s="322" t="s">
        <v>288</v>
      </c>
      <c r="M19" s="323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26"/>
      <c r="H20" s="203">
        <v>0</v>
      </c>
      <c r="I20" s="204">
        <v>8000</v>
      </c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/>
      <c r="I21" s="204"/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 t="s">
        <v>132</v>
      </c>
      <c r="D22" s="211" t="s">
        <v>132</v>
      </c>
      <c r="E22" s="206"/>
      <c r="F22" s="261"/>
      <c r="H22" s="203"/>
      <c r="I22" s="204"/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20</v>
      </c>
      <c r="B23" s="193">
        <f>'Données projet'!D36</f>
        <v>0</v>
      </c>
      <c r="C23" s="206"/>
      <c r="D23" s="194">
        <f>B23*C23</f>
        <v>0</v>
      </c>
      <c r="E23" s="206"/>
      <c r="F23" s="261"/>
      <c r="H23" s="203"/>
      <c r="I23" s="204"/>
      <c r="K23" s="225"/>
      <c r="L23" s="324" t="s">
        <v>260</v>
      </c>
      <c r="M23" s="324"/>
      <c r="N23" s="324"/>
      <c r="O23" s="25"/>
      <c r="P23" s="25"/>
      <c r="Q23" s="265"/>
      <c r="R23" s="25"/>
      <c r="S23" s="185" t="s">
        <v>264</v>
      </c>
      <c r="T23" s="338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-6607.2111176647304</v>
      </c>
      <c r="U23" s="338"/>
      <c r="V23" s="338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25</v>
      </c>
      <c r="B24" s="193">
        <f>'Données projet'!D37</f>
        <v>0</v>
      </c>
      <c r="C24" s="206"/>
      <c r="D24" s="194">
        <f t="shared" ref="D24:D42" si="2">B24*C24</f>
        <v>0</v>
      </c>
      <c r="E24" s="206"/>
      <c r="F24" s="264"/>
      <c r="H24" s="203"/>
      <c r="I24" s="204"/>
      <c r="K24" s="225"/>
      <c r="O24" s="25"/>
      <c r="P24" s="25"/>
      <c r="Q24" s="265"/>
      <c r="R24" s="25"/>
      <c r="S24" s="185" t="s">
        <v>261</v>
      </c>
      <c r="T24" s="339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39"/>
      <c r="V24" s="339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30</v>
      </c>
      <c r="B25" s="193">
        <f>'Données projet'!D38</f>
        <v>29</v>
      </c>
      <c r="C25" s="206">
        <v>10</v>
      </c>
      <c r="D25" s="194">
        <f t="shared" si="2"/>
        <v>290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>
        <v>0</v>
      </c>
      <c r="Q25" s="265"/>
      <c r="R25" s="25"/>
      <c r="S25" s="198" t="s">
        <v>266</v>
      </c>
      <c r="T25" s="340">
        <f ca="1">T23-T24</f>
        <v>-6607.2111176647304</v>
      </c>
      <c r="U25" s="340"/>
      <c r="V25" s="340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35</v>
      </c>
      <c r="B26" s="193">
        <f>'Données projet'!D39</f>
        <v>0</v>
      </c>
      <c r="C26" s="206"/>
      <c r="D26" s="194">
        <f t="shared" si="2"/>
        <v>0</v>
      </c>
      <c r="E26" s="206"/>
      <c r="F26" s="264"/>
      <c r="G26" s="259"/>
      <c r="H26" s="203"/>
      <c r="I26" s="204"/>
      <c r="K26" s="225"/>
      <c r="L26" s="327" t="s">
        <v>258</v>
      </c>
      <c r="M26" s="328"/>
      <c r="N26" s="328"/>
      <c r="O26" s="328"/>
      <c r="P26" s="329"/>
      <c r="Q26" s="265"/>
      <c r="R26" s="25"/>
      <c r="S26" s="198" t="s">
        <v>265</v>
      </c>
      <c r="T26" s="337" t="str">
        <f ca="1">IF(T25&lt;0,"Votre projet est additionnel","Votre projet n'est pas additionnel")</f>
        <v>Votre projet est additionnel</v>
      </c>
      <c r="U26" s="337"/>
      <c r="V26" s="337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40</v>
      </c>
      <c r="B27" s="193">
        <f>'Données projet'!D40</f>
        <v>42</v>
      </c>
      <c r="C27" s="206">
        <v>15</v>
      </c>
      <c r="D27" s="194">
        <f t="shared" si="2"/>
        <v>630</v>
      </c>
      <c r="E27" s="206"/>
      <c r="F27" s="264"/>
      <c r="G27" s="259"/>
      <c r="H27" s="203"/>
      <c r="I27" s="204"/>
      <c r="K27" s="225"/>
      <c r="L27" s="330"/>
      <c r="M27" s="331"/>
      <c r="N27" s="331"/>
      <c r="O27" s="331"/>
      <c r="P27" s="332"/>
      <c r="Q27" s="265"/>
      <c r="R27" s="25"/>
      <c r="S27" s="336" t="s">
        <v>267</v>
      </c>
      <c r="T27" s="336"/>
      <c r="U27" s="336"/>
      <c r="V27" s="336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45</v>
      </c>
      <c r="B28" s="193">
        <f>'Données projet'!D41</f>
        <v>0</v>
      </c>
      <c r="C28" s="206"/>
      <c r="D28" s="194">
        <f t="shared" si="2"/>
        <v>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50</v>
      </c>
      <c r="B29" s="193">
        <f>'Données projet'!D42</f>
        <v>42</v>
      </c>
      <c r="C29" s="206">
        <v>20</v>
      </c>
      <c r="D29" s="194">
        <f t="shared" si="2"/>
        <v>840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55</v>
      </c>
      <c r="B30" s="193">
        <f>'Données projet'!D43</f>
        <v>0</v>
      </c>
      <c r="C30" s="206"/>
      <c r="D30" s="194">
        <f t="shared" si="2"/>
        <v>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60</v>
      </c>
      <c r="B31" s="193">
        <f>'Données projet'!D44</f>
        <v>42</v>
      </c>
      <c r="C31" s="206">
        <v>25</v>
      </c>
      <c r="D31" s="194">
        <f t="shared" si="2"/>
        <v>1050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65</v>
      </c>
      <c r="B32" s="193">
        <f>'Données projet'!D45</f>
        <v>0</v>
      </c>
      <c r="C32" s="206"/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70</v>
      </c>
      <c r="B33" s="193">
        <f>'Données projet'!D46</f>
        <v>42</v>
      </c>
      <c r="C33" s="206">
        <v>30</v>
      </c>
      <c r="D33" s="194">
        <f t="shared" si="2"/>
        <v>1260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75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3"/>
      <c r="M34" s="283"/>
      <c r="N34" s="284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80</v>
      </c>
      <c r="B35" s="193">
        <f>'Données projet'!D48</f>
        <v>42</v>
      </c>
      <c r="C35" s="206">
        <v>40</v>
      </c>
      <c r="D35" s="194">
        <f t="shared" si="2"/>
        <v>1680</v>
      </c>
      <c r="E35" s="206"/>
      <c r="F35" s="264"/>
      <c r="G35" s="218"/>
      <c r="H35" s="203"/>
      <c r="I35" s="204"/>
      <c r="K35" s="183"/>
      <c r="L35" s="283"/>
      <c r="M35" s="283"/>
      <c r="N35" s="284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90</v>
      </c>
      <c r="B36" s="193">
        <f>'Données projet'!D49</f>
        <v>42</v>
      </c>
      <c r="C36" s="206">
        <v>50</v>
      </c>
      <c r="D36" s="194">
        <f t="shared" si="2"/>
        <v>2100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100</v>
      </c>
      <c r="B37" s="193">
        <f>'Données projet'!D50</f>
        <v>42</v>
      </c>
      <c r="C37" s="206">
        <v>60</v>
      </c>
      <c r="D37" s="194">
        <f t="shared" si="2"/>
        <v>2520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110</v>
      </c>
      <c r="B38" s="193">
        <f>'Données projet'!D51</f>
        <v>39</v>
      </c>
      <c r="C38" s="206">
        <v>70</v>
      </c>
      <c r="D38" s="194">
        <f t="shared" si="2"/>
        <v>2730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120</v>
      </c>
      <c r="B39" s="193">
        <f>'Données projet'!D52</f>
        <v>35</v>
      </c>
      <c r="C39" s="206">
        <v>80</v>
      </c>
      <c r="D39" s="194">
        <f t="shared" si="2"/>
        <v>2800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130</v>
      </c>
      <c r="B40" s="193">
        <f>'Données projet'!D53</f>
        <v>31</v>
      </c>
      <c r="C40" s="206">
        <v>90</v>
      </c>
      <c r="D40" s="194">
        <f t="shared" si="2"/>
        <v>2790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140</v>
      </c>
      <c r="B41" s="193">
        <f>'Données projet'!D54</f>
        <v>27</v>
      </c>
      <c r="C41" s="206">
        <v>100</v>
      </c>
      <c r="D41" s="194">
        <f t="shared" si="2"/>
        <v>2700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150</v>
      </c>
      <c r="B42" s="193">
        <f>'Données projet'!D55</f>
        <v>293</v>
      </c>
      <c r="C42" s="206">
        <v>150</v>
      </c>
      <c r="D42" s="194">
        <f t="shared" si="2"/>
        <v>43950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>Charme</v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15</v>
      </c>
      <c r="B54" s="193">
        <f>'Données projet'!D62</f>
        <v>0</v>
      </c>
      <c r="C54" s="204"/>
      <c r="D54" s="191">
        <f>B54*C54</f>
        <v>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20</v>
      </c>
      <c r="B55" s="193">
        <f>'Données projet'!D63</f>
        <v>0</v>
      </c>
      <c r="C55" s="204"/>
      <c r="D55" s="191">
        <f t="shared" ref="D55:D73" si="4">B55*C55</f>
        <v>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25</v>
      </c>
      <c r="B56" s="193">
        <f>'Données projet'!D64</f>
        <v>28.846153846153847</v>
      </c>
      <c r="C56" s="204">
        <v>10</v>
      </c>
      <c r="D56" s="191">
        <f t="shared" si="4"/>
        <v>288.46153846153845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30</v>
      </c>
      <c r="B57" s="193">
        <f>'Données projet'!D65</f>
        <v>0</v>
      </c>
      <c r="C57" s="204"/>
      <c r="D57" s="191">
        <f t="shared" si="4"/>
        <v>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35</v>
      </c>
      <c r="B58" s="193">
        <f>'Données projet'!D66</f>
        <v>27.564102564102562</v>
      </c>
      <c r="C58" s="204">
        <v>10</v>
      </c>
      <c r="D58" s="191">
        <f t="shared" si="4"/>
        <v>275.64102564102564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40</v>
      </c>
      <c r="B59" s="193">
        <f>'Données projet'!D67</f>
        <v>0</v>
      </c>
      <c r="C59" s="204"/>
      <c r="D59" s="191">
        <f t="shared" si="4"/>
        <v>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45</v>
      </c>
      <c r="B60" s="193">
        <f>'Données projet'!D68</f>
        <v>30.128205128205128</v>
      </c>
      <c r="C60" s="204">
        <v>15</v>
      </c>
      <c r="D60" s="191">
        <f t="shared" si="4"/>
        <v>451.92307692307691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50</v>
      </c>
      <c r="B61" s="193">
        <f>'Données projet'!D69</f>
        <v>0</v>
      </c>
      <c r="C61" s="204"/>
      <c r="D61" s="191">
        <f t="shared" si="4"/>
        <v>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55</v>
      </c>
      <c r="B62" s="193">
        <f>'Données projet'!D70</f>
        <v>30.128205128205128</v>
      </c>
      <c r="C62" s="204">
        <v>20</v>
      </c>
      <c r="D62" s="191">
        <f t="shared" si="4"/>
        <v>602.56410256410254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60</v>
      </c>
      <c r="B63" s="193">
        <f>'Données projet'!D71</f>
        <v>0</v>
      </c>
      <c r="C63" s="204"/>
      <c r="D63" s="191">
        <f t="shared" si="4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65</v>
      </c>
      <c r="B64" s="193">
        <f>'Données projet'!D72</f>
        <v>29.487179487179485</v>
      </c>
      <c r="C64" s="204">
        <v>25</v>
      </c>
      <c r="D64" s="191">
        <f t="shared" si="4"/>
        <v>737.17948717948718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>
        <f>IF(O63+1&lt;=MIN('Données projet'!$E$9:$E$18),O63+1,"STOP")</f>
        <v>31</v>
      </c>
      <c r="P64" s="197">
        <f t="shared" si="3"/>
        <v>0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70</v>
      </c>
      <c r="B65" s="193">
        <f>'Données projet'!D73</f>
        <v>0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>
        <f>IF(O64+1&lt;=MIN('Données projet'!$E$9:$E$18),O64+1,"STOP")</f>
        <v>32</v>
      </c>
      <c r="P65" s="197">
        <f t="shared" ref="P65:P96" si="5">$P$25/(1+$M$4)^O65</f>
        <v>0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75</v>
      </c>
      <c r="B66" s="193">
        <f>'Données projet'!D74</f>
        <v>28.205128205128204</v>
      </c>
      <c r="C66" s="204">
        <v>30</v>
      </c>
      <c r="D66" s="191">
        <f t="shared" si="4"/>
        <v>846.15384615384619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>
        <f>IF(O65+1&lt;=MIN('Données projet'!$E$9:$E$18),O65+1,"STOP")</f>
        <v>33</v>
      </c>
      <c r="P66" s="197">
        <f t="shared" si="5"/>
        <v>0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80</v>
      </c>
      <c r="B67" s="193">
        <f>'Données projet'!D75</f>
        <v>0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>
        <f>IF(O66+1&lt;=MIN('Données projet'!$E$9:$E$18),O66+1,"STOP")</f>
        <v>34</v>
      </c>
      <c r="P67" s="197">
        <f t="shared" si="5"/>
        <v>0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85</v>
      </c>
      <c r="B68" s="193">
        <f>'Données projet'!D76</f>
        <v>26.282051282051281</v>
      </c>
      <c r="C68" s="204">
        <v>35</v>
      </c>
      <c r="D68" s="191">
        <f t="shared" si="4"/>
        <v>919.8717948717948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>
        <f>IF(O67+1&lt;=MIN('Données projet'!$E$9:$E$18),O67+1,"STOP")</f>
        <v>35</v>
      </c>
      <c r="P68" s="197">
        <f t="shared" si="5"/>
        <v>0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90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>
        <f>IF(O68+1&lt;=MIN('Données projet'!$E$9:$E$18),O68+1,"STOP")</f>
        <v>36</v>
      </c>
      <c r="P69" s="197">
        <f t="shared" si="5"/>
        <v>0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95</v>
      </c>
      <c r="B70" s="193">
        <f>'Données projet'!D78</f>
        <v>25</v>
      </c>
      <c r="C70" s="204">
        <v>40</v>
      </c>
      <c r="D70" s="191">
        <f t="shared" si="4"/>
        <v>1000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>
        <f>IF(O69+1&lt;=MIN('Données projet'!$E$9:$E$18),O69+1,"STOP")</f>
        <v>37</v>
      </c>
      <c r="P70" s="197">
        <f t="shared" si="5"/>
        <v>0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100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>
        <f>IF(O70+1&lt;=MIN('Données projet'!$E$9:$E$18),O70+1,"STOP")</f>
        <v>38</v>
      </c>
      <c r="P71" s="197">
        <f t="shared" si="5"/>
        <v>0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105</v>
      </c>
      <c r="B72" s="193">
        <f>'Données projet'!D80</f>
        <v>23.076923076923077</v>
      </c>
      <c r="C72" s="204">
        <v>45</v>
      </c>
      <c r="D72" s="191">
        <f t="shared" si="4"/>
        <v>1038.4615384615383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>
        <f>IF(O71+1&lt;=MIN('Données projet'!$E$9:$E$18),O71+1,"STOP")</f>
        <v>39</v>
      </c>
      <c r="P72" s="197">
        <f t="shared" si="5"/>
        <v>0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120</v>
      </c>
      <c r="B73" s="193">
        <f>'Données projet'!D81</f>
        <v>270.5128205128205</v>
      </c>
      <c r="C73" s="204">
        <v>50</v>
      </c>
      <c r="D73" s="191">
        <f t="shared" si="4"/>
        <v>13525.641025641025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>
        <f>IF(O72+1&lt;=MIN('Données projet'!$E$9:$E$18),O72+1,"STOP")</f>
        <v>40</v>
      </c>
      <c r="P73" s="197">
        <f t="shared" si="5"/>
        <v>0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>
        <f>IF(O73+1&lt;=MIN('Données projet'!$E$9:$E$18),O73+1,"STOP")</f>
        <v>41</v>
      </c>
      <c r="P74" s="197">
        <f t="shared" si="5"/>
        <v>0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>
        <f>IF(O74+1&lt;=MIN('Données projet'!$E$9:$E$18),O74+1,"STOP")</f>
        <v>42</v>
      </c>
      <c r="P75" s="197">
        <f t="shared" si="5"/>
        <v>0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>Alisier torminal</v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>
        <f>IF(O75+1&lt;=MIN('Données projet'!$E$9:$E$18),O75+1,"STOP")</f>
        <v>43</v>
      </c>
      <c r="P76" s="197">
        <f t="shared" si="5"/>
        <v>0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>
        <f>IF(O76+1&lt;=MIN('Données projet'!$E$9:$E$18),O76+1,"STOP")</f>
        <v>44</v>
      </c>
      <c r="P77" s="197">
        <f t="shared" si="5"/>
        <v>0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>
        <f>IF(O77+1&lt;=MIN('Données projet'!$E$9:$E$18),O77+1,"STOP")</f>
        <v>45</v>
      </c>
      <c r="P78" s="197">
        <f t="shared" si="5"/>
        <v>0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>
        <f>IF(O78+1&lt;=MIN('Données projet'!$E$9:$E$18),O78+1,"STOP")</f>
        <v>46</v>
      </c>
      <c r="P79" s="197">
        <f t="shared" si="5"/>
        <v>0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>
        <f>IF(O79+1&lt;=MIN('Données projet'!$E$9:$E$18),O79+1,"STOP")</f>
        <v>47</v>
      </c>
      <c r="P80" s="197">
        <f t="shared" si="5"/>
        <v>0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>
        <f>IF(O80+1&lt;=MIN('Données projet'!$E$9:$E$18),O80+1,"STOP")</f>
        <v>48</v>
      </c>
      <c r="P81" s="197">
        <f t="shared" si="5"/>
        <v>0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>
        <f>IF(O81+1&lt;=MIN('Données projet'!$E$9:$E$18),O81+1,"STOP")</f>
        <v>49</v>
      </c>
      <c r="P82" s="197">
        <f t="shared" si="5"/>
        <v>0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>
        <f>IF(O82+1&lt;=MIN('Données projet'!$E$9:$E$18),O82+1,"STOP")</f>
        <v>50</v>
      </c>
      <c r="P83" s="197">
        <f t="shared" si="5"/>
        <v>0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>
        <f>IF(O83+1&lt;=MIN('Données projet'!$E$9:$E$18),O83+1,"STOP")</f>
        <v>51</v>
      </c>
      <c r="P84" s="197">
        <f t="shared" si="5"/>
        <v>0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20</v>
      </c>
      <c r="B85" s="193">
        <f>'Données projet'!D88</f>
        <v>0</v>
      </c>
      <c r="C85" s="204"/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>
        <f>IF(O84+1&lt;=MIN('Données projet'!$E$9:$E$18),O84+1,"STOP")</f>
        <v>52</v>
      </c>
      <c r="P85" s="197">
        <f t="shared" si="5"/>
        <v>0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25</v>
      </c>
      <c r="B86" s="193">
        <f>'Données projet'!D89</f>
        <v>0</v>
      </c>
      <c r="C86" s="204"/>
      <c r="D86" s="191">
        <f t="shared" ref="D86:D104" si="6">B86*C86</f>
        <v>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>
        <f>IF(O85+1&lt;=MIN('Données projet'!$E$9:$E$18),O85+1,"STOP")</f>
        <v>53</v>
      </c>
      <c r="P86" s="197">
        <f t="shared" si="5"/>
        <v>0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30</v>
      </c>
      <c r="B87" s="193">
        <f>'Données projet'!D90</f>
        <v>29</v>
      </c>
      <c r="C87" s="206">
        <v>10</v>
      </c>
      <c r="D87" s="191">
        <f t="shared" si="6"/>
        <v>290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>
        <f>IF(O86+1&lt;=MIN('Données projet'!$E$9:$E$18),O86+1,"STOP")</f>
        <v>54</v>
      </c>
      <c r="P87" s="197">
        <f t="shared" si="5"/>
        <v>0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35</v>
      </c>
      <c r="B88" s="193">
        <f>'Données projet'!D91</f>
        <v>0</v>
      </c>
      <c r="C88" s="206"/>
      <c r="D88" s="191">
        <f t="shared" si="6"/>
        <v>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>
        <f>IF(O87+1&lt;=MIN('Données projet'!$E$9:$E$18),O87+1,"STOP")</f>
        <v>55</v>
      </c>
      <c r="P88" s="197">
        <f t="shared" si="5"/>
        <v>0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40</v>
      </c>
      <c r="B89" s="193">
        <f>'Données projet'!D92</f>
        <v>42</v>
      </c>
      <c r="C89" s="206">
        <v>15</v>
      </c>
      <c r="D89" s="191">
        <f t="shared" si="6"/>
        <v>630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>
        <f>IF(O88+1&lt;=MIN('Données projet'!$E$9:$E$18),O88+1,"STOP")</f>
        <v>56</v>
      </c>
      <c r="P89" s="197">
        <f t="shared" si="5"/>
        <v>0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45</v>
      </c>
      <c r="B90" s="193">
        <f>'Données projet'!D93</f>
        <v>0</v>
      </c>
      <c r="C90" s="206"/>
      <c r="D90" s="191">
        <f t="shared" si="6"/>
        <v>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>
        <f>IF(O89+1&lt;=MIN('Données projet'!$E$9:$E$18),O89+1,"STOP")</f>
        <v>57</v>
      </c>
      <c r="P90" s="197">
        <f t="shared" si="5"/>
        <v>0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50</v>
      </c>
      <c r="B91" s="193">
        <f>'Données projet'!D94</f>
        <v>42</v>
      </c>
      <c r="C91" s="206">
        <v>20</v>
      </c>
      <c r="D91" s="191">
        <f t="shared" si="6"/>
        <v>840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>
        <f>IF(O90+1&lt;=MIN('Données projet'!$E$9:$E$18),O90+1,"STOP")</f>
        <v>58</v>
      </c>
      <c r="P91" s="197">
        <f t="shared" si="5"/>
        <v>0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55</v>
      </c>
      <c r="B92" s="193">
        <f>'Données projet'!D95</f>
        <v>0</v>
      </c>
      <c r="C92" s="206"/>
      <c r="D92" s="191">
        <f t="shared" si="6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>
        <f>IF(O91+1&lt;=MIN('Données projet'!$E$9:$E$18),O91+1,"STOP")</f>
        <v>59</v>
      </c>
      <c r="P92" s="197">
        <f t="shared" si="5"/>
        <v>0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60</v>
      </c>
      <c r="B93" s="193">
        <f>'Données projet'!D96</f>
        <v>42</v>
      </c>
      <c r="C93" s="206">
        <v>25</v>
      </c>
      <c r="D93" s="191">
        <f t="shared" si="6"/>
        <v>1050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>
        <f>IF(O92+1&lt;=MIN('Données projet'!$E$9:$E$18),O92+1,"STOP")</f>
        <v>60</v>
      </c>
      <c r="P93" s="197">
        <f t="shared" si="5"/>
        <v>0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65</v>
      </c>
      <c r="B94" s="193">
        <f>'Données projet'!D97</f>
        <v>0</v>
      </c>
      <c r="C94" s="206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>
        <f>IF(O93+1&lt;=MIN('Données projet'!$E$9:$E$18),O93+1,"STOP")</f>
        <v>61</v>
      </c>
      <c r="P94" s="197">
        <f t="shared" si="5"/>
        <v>0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70</v>
      </c>
      <c r="B95" s="193">
        <f>'Données projet'!D98</f>
        <v>42</v>
      </c>
      <c r="C95" s="206">
        <v>30</v>
      </c>
      <c r="D95" s="191">
        <f t="shared" si="6"/>
        <v>1260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>
        <f>IF(O94+1&lt;=MIN('Données projet'!$E$9:$E$18),O94+1,"STOP")</f>
        <v>62</v>
      </c>
      <c r="P95" s="197">
        <f t="shared" si="5"/>
        <v>0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75</v>
      </c>
      <c r="B96" s="193">
        <f>'Données projet'!D99</f>
        <v>0</v>
      </c>
      <c r="C96" s="206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>
        <f>IF(O95+1&lt;=MIN('Données projet'!$E$9:$E$18),O95+1,"STOP")</f>
        <v>63</v>
      </c>
      <c r="P96" s="197">
        <f t="shared" si="5"/>
        <v>0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80</v>
      </c>
      <c r="B97" s="193">
        <f>'Données projet'!D100</f>
        <v>42</v>
      </c>
      <c r="C97" s="206">
        <v>40</v>
      </c>
      <c r="D97" s="191">
        <f t="shared" si="6"/>
        <v>1680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>
        <f>IF(O96+1&lt;=MIN('Données projet'!$E$9:$E$18),O96+1,"STOP")</f>
        <v>64</v>
      </c>
      <c r="P97" s="197">
        <f t="shared" ref="P97:P128" si="7">$P$25/(1+$M$4)^O97</f>
        <v>0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90</v>
      </c>
      <c r="B98" s="193">
        <f>'Données projet'!D101</f>
        <v>42</v>
      </c>
      <c r="C98" s="206">
        <v>50</v>
      </c>
      <c r="D98" s="191">
        <f t="shared" si="6"/>
        <v>2100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>
        <f>IF(O97+1&lt;=MIN('Données projet'!$E$9:$E$18),O97+1,"STOP")</f>
        <v>65</v>
      </c>
      <c r="P98" s="197">
        <f t="shared" si="7"/>
        <v>0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100</v>
      </c>
      <c r="B99" s="193">
        <f>'Données projet'!D102</f>
        <v>42</v>
      </c>
      <c r="C99" s="206">
        <v>60</v>
      </c>
      <c r="D99" s="191">
        <f t="shared" si="6"/>
        <v>2520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>
        <f>IF(O98+1&lt;=MIN('Données projet'!$E$9:$E$18),O98+1,"STOP")</f>
        <v>66</v>
      </c>
      <c r="P99" s="197">
        <f t="shared" si="7"/>
        <v>0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110</v>
      </c>
      <c r="B100" s="193">
        <f>'Données projet'!D103</f>
        <v>39</v>
      </c>
      <c r="C100" s="206">
        <v>70</v>
      </c>
      <c r="D100" s="191">
        <f t="shared" si="6"/>
        <v>2730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>
        <f>IF(O99+1&lt;=MIN('Données projet'!$E$9:$E$18),O99+1,"STOP")</f>
        <v>67</v>
      </c>
      <c r="P100" s="197">
        <f t="shared" si="7"/>
        <v>0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120</v>
      </c>
      <c r="B101" s="193">
        <f>'Données projet'!D104</f>
        <v>35</v>
      </c>
      <c r="C101" s="206">
        <v>80</v>
      </c>
      <c r="D101" s="191">
        <f t="shared" si="6"/>
        <v>2800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>
        <f>IF(O100+1&lt;=MIN('Données projet'!$E$9:$E$18),O100+1,"STOP")</f>
        <v>68</v>
      </c>
      <c r="P101" s="197">
        <f t="shared" si="7"/>
        <v>0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130</v>
      </c>
      <c r="B102" s="193">
        <f>'Données projet'!D105</f>
        <v>31</v>
      </c>
      <c r="C102" s="206">
        <v>90</v>
      </c>
      <c r="D102" s="191">
        <f t="shared" si="6"/>
        <v>2790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>
        <f>IF(O101+1&lt;=MIN('Données projet'!$E$9:$E$18),O101+1,"STOP")</f>
        <v>69</v>
      </c>
      <c r="P102" s="197">
        <f t="shared" si="7"/>
        <v>0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140</v>
      </c>
      <c r="B103" s="193">
        <f>'Données projet'!D106</f>
        <v>27</v>
      </c>
      <c r="C103" s="206">
        <v>100</v>
      </c>
      <c r="D103" s="191">
        <f t="shared" si="6"/>
        <v>2700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>
        <f>IF(O102+1&lt;=MIN('Données projet'!$E$9:$E$18),O102+1,"STOP")</f>
        <v>70</v>
      </c>
      <c r="P103" s="197">
        <f t="shared" si="7"/>
        <v>0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150</v>
      </c>
      <c r="B104" s="193">
        <f>'Données projet'!D107</f>
        <v>293</v>
      </c>
      <c r="C104" s="206">
        <v>150</v>
      </c>
      <c r="D104" s="191">
        <f t="shared" si="6"/>
        <v>43950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>
        <f>IF(O103+1&lt;=MIN('Données projet'!$E$9:$E$18),O103+1,"STOP")</f>
        <v>71</v>
      </c>
      <c r="P104" s="197">
        <f t="shared" si="7"/>
        <v>0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>
        <f>IF(O104+1&lt;=MIN('Données projet'!$E$9:$E$18),O104+1,"STOP")</f>
        <v>72</v>
      </c>
      <c r="P105" s="197">
        <f t="shared" si="7"/>
        <v>0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>
        <f>IF(O105+1&lt;=MIN('Données projet'!$E$9:$E$18),O105+1,"STOP")</f>
        <v>73</v>
      </c>
      <c r="P106" s="197">
        <f t="shared" si="7"/>
        <v>0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>Erable champêtre</v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>
        <f>IF(O106+1&lt;=MIN('Données projet'!$E$9:$E$18),O106+1,"STOP")</f>
        <v>74</v>
      </c>
      <c r="P107" s="197">
        <f t="shared" si="7"/>
        <v>0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>
        <f>IF(O107+1&lt;=MIN('Données projet'!$E$9:$E$18),O107+1,"STOP")</f>
        <v>75</v>
      </c>
      <c r="P108" s="197">
        <f t="shared" si="7"/>
        <v>0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>
        <f>IF(O108+1&lt;=MIN('Données projet'!$E$9:$E$18),O108+1,"STOP")</f>
        <v>76</v>
      </c>
      <c r="P109" s="197">
        <f t="shared" si="7"/>
        <v>0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>
        <f>IF(O109+1&lt;=MIN('Données projet'!$E$9:$E$18),O109+1,"STOP")</f>
        <v>77</v>
      </c>
      <c r="P110" s="197">
        <f t="shared" si="7"/>
        <v>0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>
        <f>IF(O110+1&lt;=MIN('Données projet'!$E$9:$E$18),O110+1,"STOP")</f>
        <v>78</v>
      </c>
      <c r="P111" s="197">
        <f t="shared" si="7"/>
        <v>0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>
        <f>IF(O111+1&lt;=MIN('Données projet'!$E$9:$E$18),O111+1,"STOP")</f>
        <v>79</v>
      </c>
      <c r="P112" s="197">
        <f t="shared" si="7"/>
        <v>0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>
        <f>IF(O112+1&lt;=MIN('Données projet'!$E$9:$E$18),O112+1,"STOP")</f>
        <v>80</v>
      </c>
      <c r="P113" s="197">
        <f t="shared" si="7"/>
        <v>0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str">
        <f>IF(O113+1&lt;=MIN('Données projet'!$E$9:$E$18),O113+1,"STOP")</f>
        <v>STOP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15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20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25</v>
      </c>
      <c r="B118" s="193">
        <f>'Données projet'!D116</f>
        <v>42</v>
      </c>
      <c r="C118" s="204">
        <v>10</v>
      </c>
      <c r="D118" s="191">
        <f t="shared" si="8"/>
        <v>420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30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35</v>
      </c>
      <c r="B120" s="193">
        <f>'Données projet'!D118</f>
        <v>42</v>
      </c>
      <c r="C120" s="204">
        <v>15</v>
      </c>
      <c r="D120" s="191">
        <f t="shared" si="8"/>
        <v>630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40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45</v>
      </c>
      <c r="B122" s="193">
        <f>'Données projet'!D120</f>
        <v>39</v>
      </c>
      <c r="C122" s="204">
        <v>20</v>
      </c>
      <c r="D122" s="191">
        <f t="shared" si="8"/>
        <v>780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50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55</v>
      </c>
      <c r="B124" s="193">
        <f>'Données projet'!D122</f>
        <v>24</v>
      </c>
      <c r="C124" s="204">
        <v>30</v>
      </c>
      <c r="D124" s="191">
        <f t="shared" si="8"/>
        <v>720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60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65</v>
      </c>
      <c r="B126" s="193">
        <f>'Données projet'!D124</f>
        <v>17</v>
      </c>
      <c r="C126" s="204">
        <v>40</v>
      </c>
      <c r="D126" s="191">
        <f t="shared" si="8"/>
        <v>680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70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75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80</v>
      </c>
      <c r="B129" s="193">
        <f>'Données projet'!D127</f>
        <v>234</v>
      </c>
      <c r="C129" s="204">
        <v>80</v>
      </c>
      <c r="D129" s="191">
        <f t="shared" si="8"/>
        <v>18720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>Tilleul</v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15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20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25</v>
      </c>
      <c r="B149" s="187">
        <f>'Données projet'!D142</f>
        <v>40.38461538461538</v>
      </c>
      <c r="C149" s="204">
        <v>10</v>
      </c>
      <c r="D149" s="194">
        <f t="shared" si="10"/>
        <v>403.84615384615381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30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35</v>
      </c>
      <c r="B151" s="187">
        <f>'Données projet'!D144</f>
        <v>33.974358974358971</v>
      </c>
      <c r="C151" s="204">
        <v>15</v>
      </c>
      <c r="D151" s="194">
        <f t="shared" si="10"/>
        <v>509.61538461538458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40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45</v>
      </c>
      <c r="B153" s="187">
        <f>'Données projet'!D146</f>
        <v>33.974358974358971</v>
      </c>
      <c r="C153" s="204">
        <v>20</v>
      </c>
      <c r="D153" s="194">
        <f t="shared" si="10"/>
        <v>679.48717948717945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50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55</v>
      </c>
      <c r="B155" s="187">
        <f>'Données projet'!D148</f>
        <v>31.410256410256409</v>
      </c>
      <c r="C155" s="204">
        <v>25</v>
      </c>
      <c r="D155" s="194">
        <f t="shared" si="10"/>
        <v>785.25641025641016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60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65</v>
      </c>
      <c r="B157" s="187">
        <f>'Données projet'!D150</f>
        <v>28.205128205128204</v>
      </c>
      <c r="C157" s="204">
        <v>30</v>
      </c>
      <c r="D157" s="194">
        <f t="shared" si="10"/>
        <v>846.15384615384619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70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75</v>
      </c>
      <c r="B159" s="187">
        <f>'Données projet'!D152</f>
        <v>27.564102564102562</v>
      </c>
      <c r="C159" s="204">
        <v>35</v>
      </c>
      <c r="D159" s="194">
        <f t="shared" si="10"/>
        <v>964.74358974358972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80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85</v>
      </c>
      <c r="B161" s="187">
        <f>'Données projet'!D154</f>
        <v>25</v>
      </c>
      <c r="C161" s="204">
        <v>40</v>
      </c>
      <c r="D161" s="194">
        <f t="shared" si="10"/>
        <v>1000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90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95</v>
      </c>
      <c r="B163" s="187">
        <f>'Données projet'!D156</f>
        <v>23.717948717948715</v>
      </c>
      <c r="C163" s="204">
        <v>50</v>
      </c>
      <c r="D163" s="194">
        <f t="shared" si="10"/>
        <v>1185.8974358974358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100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105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110</v>
      </c>
      <c r="B166" s="187">
        <f>'Données projet'!D159</f>
        <v>328.84615384615381</v>
      </c>
      <c r="C166" s="204">
        <v>80</v>
      </c>
      <c r="D166" s="194">
        <f t="shared" si="10"/>
        <v>26307.692307692305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Olivier GLEIZES (CNPF - C+FOR)</cp:lastModifiedBy>
  <dcterms:created xsi:type="dcterms:W3CDTF">2021-02-01T08:22:39Z</dcterms:created>
  <dcterms:modified xsi:type="dcterms:W3CDTF">2024-05-16T13:23:09Z</dcterms:modified>
</cp:coreProperties>
</file>