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La Poste\59 - Millam (BGPN)\"/>
    </mc:Choice>
  </mc:AlternateContent>
  <bookViews>
    <workbookView xWindow="0" yWindow="0" windowWidth="28800" windowHeight="12435" tabRatio="866" activeTab="1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0" i="1" l="1"/>
  <c r="B100" i="1"/>
  <c r="D98" i="1"/>
  <c r="B98" i="1"/>
  <c r="D96" i="1"/>
  <c r="B96" i="1"/>
  <c r="D94" i="1"/>
  <c r="B94" i="1"/>
  <c r="D92" i="1"/>
  <c r="B92" i="1"/>
  <c r="D90" i="1"/>
  <c r="B90" i="1"/>
  <c r="B89" i="1"/>
  <c r="D206" i="1"/>
  <c r="B206" i="1"/>
  <c r="B204" i="1"/>
  <c r="B202" i="1"/>
  <c r="B200" i="1"/>
  <c r="D204" i="1"/>
  <c r="D202" i="1"/>
  <c r="D200" i="1"/>
  <c r="B198" i="1"/>
  <c r="D198" i="1"/>
  <c r="D196" i="1"/>
  <c r="B196" i="1"/>
  <c r="D194" i="1"/>
  <c r="B194" i="1"/>
  <c r="B193" i="1"/>
  <c r="B185" i="1" l="1"/>
  <c r="D185" i="1" s="1"/>
  <c r="D184" i="1"/>
  <c r="B184" i="1"/>
  <c r="D183" i="1"/>
  <c r="B183" i="1"/>
  <c r="D182" i="1"/>
  <c r="B182" i="1"/>
  <c r="B181" i="1"/>
  <c r="D180" i="1"/>
  <c r="B180" i="1"/>
  <c r="B179" i="1"/>
  <c r="D178" i="1"/>
  <c r="B178" i="1"/>
  <c r="B177" i="1"/>
  <c r="D176" i="1"/>
  <c r="B176" i="1"/>
  <c r="B175" i="1"/>
  <c r="D174" i="1"/>
  <c r="B174" i="1"/>
  <c r="B173" i="1"/>
  <c r="D172" i="1"/>
  <c r="B172" i="1"/>
  <c r="B171" i="1"/>
  <c r="D170" i="1"/>
  <c r="B170" i="1"/>
  <c r="B169" i="1"/>
  <c r="D168" i="1"/>
  <c r="B168" i="1"/>
  <c r="B167" i="1"/>
  <c r="B166" i="1"/>
  <c r="B261" i="1"/>
  <c r="B263" i="1"/>
  <c r="D263" i="1" s="1"/>
  <c r="D262" i="1"/>
  <c r="B262" i="1"/>
  <c r="D260" i="1"/>
  <c r="B260" i="1"/>
  <c r="B259" i="1"/>
  <c r="D258" i="1"/>
  <c r="B258" i="1"/>
  <c r="B257" i="1"/>
  <c r="D256" i="1"/>
  <c r="B256" i="1"/>
  <c r="B255" i="1"/>
  <c r="D254" i="1"/>
  <c r="B254" i="1"/>
  <c r="B253" i="1"/>
  <c r="D252" i="1"/>
  <c r="B252" i="1"/>
  <c r="B251" i="1"/>
  <c r="D250" i="1"/>
  <c r="B250" i="1"/>
  <c r="B249" i="1"/>
  <c r="D248" i="1"/>
  <c r="B248" i="1"/>
  <c r="B247" i="1"/>
  <c r="D246" i="1"/>
  <c r="D283" i="1"/>
  <c r="B283" i="1"/>
  <c r="B282" i="1"/>
  <c r="D281" i="1"/>
  <c r="B281" i="1"/>
  <c r="B280" i="1"/>
  <c r="D279" i="1"/>
  <c r="B279" i="1"/>
  <c r="B278" i="1"/>
  <c r="D277" i="1"/>
  <c r="B277" i="1"/>
  <c r="B276" i="1"/>
  <c r="D275" i="1"/>
  <c r="B275" i="1"/>
  <c r="B274" i="1"/>
  <c r="D273" i="1"/>
  <c r="B273" i="1"/>
  <c r="B272" i="1"/>
  <c r="D271" i="1"/>
  <c r="B271" i="1"/>
  <c r="B270" i="1"/>
  <c r="B246" i="1"/>
  <c r="B245" i="1" l="1"/>
  <c r="B244" i="1"/>
  <c r="B147" i="1"/>
  <c r="D146" i="1"/>
  <c r="B146" i="1"/>
  <c r="B145" i="1"/>
  <c r="D144" i="1"/>
  <c r="B144" i="1"/>
  <c r="B143" i="1"/>
  <c r="D142" i="1"/>
  <c r="B142" i="1"/>
  <c r="B141" i="1"/>
  <c r="D64" i="1" l="1"/>
  <c r="B64" i="1"/>
  <c r="B63" i="1"/>
  <c r="D127" i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B115" i="1"/>
  <c r="B114" i="1"/>
  <c r="D230" i="1"/>
  <c r="D49" i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R4" i="2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HI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EC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HH140" i="2"/>
  <c r="FS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Y154" i="2" l="1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Y155" i="2" l="1"/>
  <c r="EX156" i="2"/>
  <c r="ED155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D159" i="2"/>
  <c r="H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W162" i="2"/>
  <c r="EY161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HH163" i="2"/>
  <c r="HG163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EV164" i="2"/>
  <c r="EX164" i="2"/>
  <c r="HG164" i="2"/>
  <c r="DI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FS166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1" i="2"/>
  <c r="EB172" i="2"/>
  <c r="EY171" i="2"/>
  <c r="EV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W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HG185" i="2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HJ189" i="2" s="1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B190" i="2"/>
  <c r="EV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A193" i="2" l="1"/>
  <c r="ED192" i="2"/>
  <c r="EB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FQ194" i="2"/>
  <c r="HG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B195" i="2" l="1"/>
  <c r="ED194" i="2"/>
  <c r="E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B199" i="2"/>
  <c r="EW199" i="2"/>
  <c r="FS199" i="2"/>
  <c r="HG199" i="2"/>
  <c r="EA199" i="2"/>
  <c r="HI199" i="2"/>
  <c r="HJ199" i="2" s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DI200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D201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AH92" i="2" a="1"/>
  <c r="AH92" i="2" s="1"/>
  <c r="FD21" i="2" a="1"/>
  <c r="FD21" i="2" s="1"/>
  <c r="FD144" i="2" a="1"/>
  <c r="FD144" i="2" s="1"/>
  <c r="FD59" i="2" a="1"/>
  <c r="FD59" i="2" s="1"/>
  <c r="BC34" i="2" a="1"/>
  <c r="BC34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CS66" i="2" a="1"/>
  <c r="CS66" i="2" s="1"/>
  <c r="CS52" i="2" a="1"/>
  <c r="CS52" i="2" s="1"/>
  <c r="CS129" i="2" a="1"/>
  <c r="CS129" i="2" s="1"/>
  <c r="CS116" i="2" a="1"/>
  <c r="CS116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AX200" i="2"/>
  <c r="EY202" i="2" l="1"/>
  <c r="EI145" i="2" a="1"/>
  <c r="EI145" i="2" s="1"/>
  <c r="EI170" i="2" a="1"/>
  <c r="EI170" i="2" s="1"/>
  <c r="EI57" i="2" a="1"/>
  <c r="EI57" i="2" s="1"/>
  <c r="EI67" i="2" a="1"/>
  <c r="EI67" i="2" s="1"/>
  <c r="EI71" i="2" a="1"/>
  <c r="EI71" i="2" s="1"/>
  <c r="EI178" i="2" a="1"/>
  <c r="EI178" i="2" s="1"/>
  <c r="EI198" i="2" a="1"/>
  <c r="EI198" i="2" s="1"/>
  <c r="EI16" i="2" a="1"/>
  <c r="EI16" i="2" s="1"/>
  <c r="EI36" i="2" a="1"/>
  <c r="EI36" i="2" s="1"/>
  <c r="EI195" i="2" a="1"/>
  <c r="EI195" i="2" s="1"/>
  <c r="EI162" i="2" a="1"/>
  <c r="EI162" i="2" s="1"/>
  <c r="EI113" i="2" a="1"/>
  <c r="EI113" i="2" s="1"/>
  <c r="EI87" i="2" a="1"/>
  <c r="EI87" i="2" s="1"/>
  <c r="EI150" i="2" a="1"/>
  <c r="EI150" i="2" s="1"/>
  <c r="EI128" i="2" a="1"/>
  <c r="EI128" i="2" s="1"/>
  <c r="EI109" i="2" a="1"/>
  <c r="EI109" i="2" s="1"/>
  <c r="EI29" i="2" a="1"/>
  <c r="EI29" i="2" s="1"/>
  <c r="EI37" i="2" a="1"/>
  <c r="EI37" i="2" s="1"/>
  <c r="EI20" i="2" a="1"/>
  <c r="EI20" i="2" s="1"/>
  <c r="EI38" i="2" a="1"/>
  <c r="EI38" i="2" s="1"/>
  <c r="EI106" i="2" a="1"/>
  <c r="EI106" i="2" s="1"/>
  <c r="EI35" i="2" a="1"/>
  <c r="EI35" i="2" s="1"/>
  <c r="EI34" i="2" a="1"/>
  <c r="EI34" i="2" s="1"/>
  <c r="EI153" i="2" a="1"/>
  <c r="EI153" i="2" s="1"/>
  <c r="EI139" i="2" a="1"/>
  <c r="EI139" i="2" s="1"/>
  <c r="EI165" i="2" a="1"/>
  <c r="EI165" i="2" s="1"/>
  <c r="EI142" i="2" a="1"/>
  <c r="EI142" i="2" s="1"/>
  <c r="EI166" i="2" a="1"/>
  <c r="EI166" i="2" s="1"/>
  <c r="DN135" i="2" a="1"/>
  <c r="DN135" i="2" s="1"/>
  <c r="DN55" i="2" a="1"/>
  <c r="DN55" i="2" s="1"/>
  <c r="DN132" i="2" a="1"/>
  <c r="DN132" i="2" s="1"/>
  <c r="DN177" i="2" a="1"/>
  <c r="DN177" i="2" s="1"/>
  <c r="DN30" i="2" a="1"/>
  <c r="DN30" i="2" s="1"/>
  <c r="DN184" i="2" a="1"/>
  <c r="DN184" i="2" s="1"/>
  <c r="DN164" i="2" a="1"/>
  <c r="DN164" i="2" s="1"/>
  <c r="DN31" i="2" a="1"/>
  <c r="DN31" i="2" s="1"/>
  <c r="DN115" i="2" a="1"/>
  <c r="DN115" i="2" s="1"/>
  <c r="DN170" i="2" a="1"/>
  <c r="DN170" i="2" s="1"/>
  <c r="DN46" i="2" a="1"/>
  <c r="DN46" i="2" s="1"/>
  <c r="DN43" i="2" a="1"/>
  <c r="DN43" i="2" s="1"/>
  <c r="DN123" i="2" a="1"/>
  <c r="DN123" i="2" s="1"/>
  <c r="DN187" i="2" a="1"/>
  <c r="DN187" i="2" s="1"/>
  <c r="DN65" i="2" a="1"/>
  <c r="DN65" i="2" s="1"/>
  <c r="DN70" i="2" a="1"/>
  <c r="DN70" i="2" s="1"/>
  <c r="DN63" i="2" a="1"/>
  <c r="DN63" i="2" s="1"/>
  <c r="DN150" i="2" a="1"/>
  <c r="DN150" i="2" s="1"/>
  <c r="DN152" i="2" a="1"/>
  <c r="DN152" i="2" s="1"/>
  <c r="DN110" i="2" a="1"/>
  <c r="DN110" i="2" s="1"/>
  <c r="DN38" i="2" a="1"/>
  <c r="DN38" i="2" s="1"/>
  <c r="DN153" i="2" a="1"/>
  <c r="DN153" i="2" s="1"/>
  <c r="DN41" i="2" a="1"/>
  <c r="DN41" i="2" s="1"/>
  <c r="DN176" i="2" a="1"/>
  <c r="DN176" i="2" s="1"/>
  <c r="DN167" i="2" a="1"/>
  <c r="DN167" i="2" s="1"/>
  <c r="DN114" i="2" a="1"/>
  <c r="DN114" i="2" s="1"/>
  <c r="DN192" i="2" a="1"/>
  <c r="DN192" i="2" s="1"/>
  <c r="DN129" i="2" a="1"/>
  <c r="DN129" i="2" s="1"/>
  <c r="DN16" i="2" a="1"/>
  <c r="DN16" i="2" s="1"/>
  <c r="DN80" i="2" a="1"/>
  <c r="DN80" i="2" s="1"/>
  <c r="DN103" i="2" a="1"/>
  <c r="DN103" i="2" s="1"/>
  <c r="DN66" i="2" a="1"/>
  <c r="DN66" i="2" s="1"/>
  <c r="DN50" i="2" a="1"/>
  <c r="DN50" i="2" s="1"/>
  <c r="DN45" i="2" a="1"/>
  <c r="DN45" i="2" s="1"/>
  <c r="DN190" i="2" a="1"/>
  <c r="DN190" i="2" s="1"/>
  <c r="DN133" i="2" a="1"/>
  <c r="DN133" i="2" s="1"/>
  <c r="DN162" i="2" a="1"/>
  <c r="DN162" i="2" s="1"/>
  <c r="DN188" i="2" a="1"/>
  <c r="DN188" i="2" s="1"/>
  <c r="DN113" i="2" a="1"/>
  <c r="DN113" i="2" s="1"/>
  <c r="DN49" i="2" a="1"/>
  <c r="DN49" i="2" s="1"/>
  <c r="DN168" i="2" a="1"/>
  <c r="DN168" i="2" s="1"/>
  <c r="DN86" i="2" a="1"/>
  <c r="DN86" i="2" s="1"/>
  <c r="DN25" i="2" a="1"/>
  <c r="DN25" i="2" s="1"/>
  <c r="DN155" i="2" a="1"/>
  <c r="DN155" i="2" s="1"/>
  <c r="DN186" i="2" a="1"/>
  <c r="DN186" i="2" s="1"/>
  <c r="DN137" i="2" a="1"/>
  <c r="DN137" i="2" s="1"/>
  <c r="DN124" i="2" a="1"/>
  <c r="DN124" i="2" s="1"/>
  <c r="DN29" i="2" a="1"/>
  <c r="DN29" i="2" s="1"/>
  <c r="DN56" i="2" a="1"/>
  <c r="DN56" i="2" s="1"/>
  <c r="BC38" i="2" a="1"/>
  <c r="BC38" i="2" s="1"/>
  <c r="BC32" i="2" a="1"/>
  <c r="BC32" i="2" s="1"/>
  <c r="BC83" i="2" a="1"/>
  <c r="BC83" i="2" s="1"/>
  <c r="BC181" i="2" a="1"/>
  <c r="BC181" i="2" s="1"/>
  <c r="BC58" i="2" a="1"/>
  <c r="BC58" i="2" s="1"/>
  <c r="BC164" i="2" a="1"/>
  <c r="BC164" i="2" s="1"/>
  <c r="BC117" i="2" a="1"/>
  <c r="BC117" i="2" s="1"/>
  <c r="BC18" i="2" a="1"/>
  <c r="BC18" i="2" s="1"/>
  <c r="BC84" i="2" a="1"/>
  <c r="BC84" i="2" s="1"/>
  <c r="BC68" i="2" a="1"/>
  <c r="BC68" i="2" s="1"/>
  <c r="BC151" i="2" a="1"/>
  <c r="BC151" i="2" s="1"/>
  <c r="BC192" i="2" a="1"/>
  <c r="BC192" i="2" s="1"/>
  <c r="BC65" i="2" a="1"/>
  <c r="BC65" i="2" s="1"/>
  <c r="BC55" i="2" a="1"/>
  <c r="BC55" i="2" s="1"/>
  <c r="BC114" i="2" a="1"/>
  <c r="BC114" i="2" s="1"/>
  <c r="BC185" i="2" a="1"/>
  <c r="BC185" i="2" s="1"/>
  <c r="BC130" i="2" a="1"/>
  <c r="BC130" i="2" s="1"/>
  <c r="BC126" i="2" a="1"/>
  <c r="BC126" i="2" s="1"/>
  <c r="BC143" i="2" a="1"/>
  <c r="BC143" i="2" s="1"/>
  <c r="BC82" i="2" a="1"/>
  <c r="BC82" i="2" s="1"/>
  <c r="BC7" i="2" a="1"/>
  <c r="BC7" i="2" s="1"/>
  <c r="BC31" i="2" a="1"/>
  <c r="BC31" i="2" s="1"/>
  <c r="BC47" i="2" a="1"/>
  <c r="BC47" i="2" s="1"/>
  <c r="FY142" i="2" a="1"/>
  <c r="FY142" i="2" s="1"/>
  <c r="FY167" i="2" a="1"/>
  <c r="FY167" i="2" s="1"/>
  <c r="FY58" i="2" a="1"/>
  <c r="FY58" i="2" s="1"/>
  <c r="FY82" i="2" a="1"/>
  <c r="FY82" i="2" s="1"/>
  <c r="FY121" i="2" a="1"/>
  <c r="FY121" i="2" s="1"/>
  <c r="FY30" i="2" a="1"/>
  <c r="FY30" i="2" s="1"/>
  <c r="FY42" i="2" a="1"/>
  <c r="FY42" i="2" s="1"/>
  <c r="FY196" i="2" a="1"/>
  <c r="FY196" i="2" s="1"/>
  <c r="FY172" i="2" a="1"/>
  <c r="FY172" i="2" s="1"/>
  <c r="FY104" i="2" a="1"/>
  <c r="FY104" i="2" s="1"/>
  <c r="FY80" i="2" a="1"/>
  <c r="FY80" i="2" s="1"/>
  <c r="FY115" i="2" a="1"/>
  <c r="FY115" i="2" s="1"/>
  <c r="FY86" i="2" a="1"/>
  <c r="FY86" i="2" s="1"/>
  <c r="FY34" i="2" a="1"/>
  <c r="FY34" i="2" s="1"/>
  <c r="FY149" i="2" a="1"/>
  <c r="FY149" i="2" s="1"/>
  <c r="FY182" i="2" a="1"/>
  <c r="FY182" i="2" s="1"/>
  <c r="FY169" i="2" a="1"/>
  <c r="FY169" i="2" s="1"/>
  <c r="FY62" i="2" a="1"/>
  <c r="FY62" i="2" s="1"/>
  <c r="FY72" i="2" a="1"/>
  <c r="FY72" i="2" s="1"/>
  <c r="FY55" i="2" a="1"/>
  <c r="FY55" i="2" s="1"/>
  <c r="FY28" i="2" a="1"/>
  <c r="FY28" i="2" s="1"/>
  <c r="FY174" i="2" a="1"/>
  <c r="FY174" i="2" s="1"/>
  <c r="FY24" i="2" a="1"/>
  <c r="FY24" i="2" s="1"/>
  <c r="FY188" i="2" a="1"/>
  <c r="FY188" i="2" s="1"/>
  <c r="FY190" i="2" a="1"/>
  <c r="FY190" i="2" s="1"/>
  <c r="FY78" i="2" a="1"/>
  <c r="FY78" i="2" s="1"/>
  <c r="FY164" i="2" a="1"/>
  <c r="FY164" i="2" s="1"/>
  <c r="FY99" i="2" a="1"/>
  <c r="FY99" i="2" s="1"/>
  <c r="FY178" i="2" a="1"/>
  <c r="FY178" i="2" s="1"/>
  <c r="FY152" i="2" a="1"/>
  <c r="FY152" i="2" s="1"/>
  <c r="FY47" i="2" a="1"/>
  <c r="FY47" i="2" s="1"/>
  <c r="FY124" i="2" a="1"/>
  <c r="FY124" i="2" s="1"/>
  <c r="FY126" i="2" a="1"/>
  <c r="FY126" i="2" s="1"/>
  <c r="FY92" i="2" a="1"/>
  <c r="FY92" i="2" s="1"/>
  <c r="FY111" i="2" a="1"/>
  <c r="FY111" i="2" s="1"/>
  <c r="FY73" i="2" a="1"/>
  <c r="FY73" i="2" s="1"/>
  <c r="FY186" i="2" a="1"/>
  <c r="FY186" i="2" s="1"/>
  <c r="FY110" i="2" a="1"/>
  <c r="FY110" i="2" s="1"/>
  <c r="FY116" i="2" a="1"/>
  <c r="FY116" i="2" s="1"/>
  <c r="FY159" i="2" a="1"/>
  <c r="FY159" i="2" s="1"/>
  <c r="FY143" i="2" a="1"/>
  <c r="FY143" i="2" s="1"/>
  <c r="FY191" i="2" a="1"/>
  <c r="FY191" i="2" s="1"/>
  <c r="FY102" i="2" a="1"/>
  <c r="FY102" i="2" s="1"/>
  <c r="FY18" i="2" a="1"/>
  <c r="FY18" i="2" s="1"/>
  <c r="FY173" i="2" a="1"/>
  <c r="FY173" i="2" s="1"/>
  <c r="FY66" i="2" a="1"/>
  <c r="FY66" i="2" s="1"/>
  <c r="FY120" i="2" a="1"/>
  <c r="FY120" i="2" s="1"/>
  <c r="FY71" i="2" a="1"/>
  <c r="FY71" i="2" s="1"/>
  <c r="FY133" i="2" a="1"/>
  <c r="FY133" i="2" s="1"/>
  <c r="FY153" i="2" a="1"/>
  <c r="FY153" i="2" s="1"/>
  <c r="FY146" i="2" a="1"/>
  <c r="FY146" i="2" s="1"/>
  <c r="FY69" i="2" a="1"/>
  <c r="FY69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140" i="2" a="1"/>
  <c r="FY140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J30" i="2" l="1"/>
  <c r="FJ118" i="2"/>
  <c r="FJ32" i="2"/>
  <c r="FJ23" i="2"/>
  <c r="FJ53" i="2"/>
  <c r="FJ133" i="2"/>
  <c r="FJ198" i="2"/>
  <c r="FJ161" i="2"/>
  <c r="FJ173" i="2"/>
  <c r="FJ70" i="2"/>
  <c r="FJ177" i="2"/>
  <c r="FJ28" i="2"/>
  <c r="FJ146" i="2"/>
  <c r="FJ144" i="2"/>
  <c r="FJ113" i="2"/>
  <c r="FJ190" i="2"/>
  <c r="FJ120" i="2"/>
  <c r="FJ131" i="2"/>
  <c r="FJ116" i="2"/>
  <c r="FJ83" i="2"/>
  <c r="FJ63" i="2"/>
  <c r="FJ85" i="2"/>
  <c r="FJ121" i="2"/>
  <c r="FJ135" i="2"/>
  <c r="FJ119" i="2"/>
  <c r="FJ175" i="2"/>
  <c r="FJ162" i="2"/>
  <c r="FJ130" i="2"/>
  <c r="FJ123" i="2"/>
  <c r="FJ65" i="2"/>
  <c r="FJ128" i="2"/>
  <c r="FJ199" i="2"/>
  <c r="FJ139" i="2"/>
  <c r="FJ103" i="2"/>
  <c r="FJ170" i="2"/>
  <c r="FJ197" i="2"/>
  <c r="FJ62" i="2"/>
  <c r="FJ57" i="2"/>
  <c r="FJ150" i="2"/>
  <c r="FJ91" i="2"/>
  <c r="FJ114" i="2"/>
  <c r="FJ186" i="2"/>
  <c r="FJ126" i="2"/>
  <c r="FJ6" i="2"/>
  <c r="FJ95" i="2"/>
  <c r="FJ145" i="2"/>
  <c r="FJ193" i="2"/>
  <c r="FJ35" i="2"/>
  <c r="FJ184" i="2"/>
  <c r="FJ189" i="2"/>
  <c r="FJ107" i="2"/>
  <c r="FJ93" i="2"/>
  <c r="FJ41" i="2"/>
  <c r="FJ136" i="2"/>
  <c r="FJ17" i="2"/>
  <c r="FJ15" i="2"/>
  <c r="FJ203" i="2"/>
  <c r="FJ122" i="2"/>
  <c r="FJ137" i="2"/>
  <c r="FJ71" i="2"/>
  <c r="FJ76" i="2"/>
  <c r="FJ101" i="2"/>
  <c r="FJ96" i="2"/>
  <c r="FJ155" i="2"/>
  <c r="FJ111" i="2"/>
  <c r="FJ98" i="2"/>
  <c r="FJ69" i="2"/>
  <c r="FJ110" i="2"/>
  <c r="FJ124" i="2"/>
  <c r="FJ194" i="2"/>
  <c r="FJ180" i="2"/>
  <c r="FJ11" i="2"/>
  <c r="FJ166" i="2"/>
  <c r="FJ94" i="2"/>
  <c r="FJ27" i="2"/>
  <c r="FJ5" i="2"/>
  <c r="FJ90" i="2"/>
  <c r="FJ64" i="2"/>
  <c r="FJ43" i="2"/>
  <c r="FJ46" i="2"/>
  <c r="FJ79" i="2"/>
  <c r="FJ12" i="2"/>
  <c r="FJ179" i="2"/>
  <c r="FJ22" i="2"/>
  <c r="FJ100" i="2"/>
  <c r="FJ16" i="2"/>
  <c r="FJ29" i="2"/>
  <c r="FJ112" i="2"/>
  <c r="FJ134" i="2"/>
  <c r="FJ183" i="2"/>
  <c r="FJ45" i="2"/>
  <c r="FJ68" i="2"/>
  <c r="FJ140" i="2"/>
  <c r="FJ109" i="2"/>
  <c r="FJ33" i="2"/>
  <c r="FJ152" i="2"/>
  <c r="FJ182" i="2"/>
  <c r="FJ59" i="2"/>
  <c r="FJ66" i="2"/>
  <c r="FJ151" i="2"/>
  <c r="FJ39" i="2"/>
  <c r="FJ156" i="2"/>
  <c r="FJ132" i="2"/>
  <c r="FJ149" i="2"/>
  <c r="FJ158" i="2"/>
  <c r="FJ160" i="2"/>
  <c r="FJ56" i="2"/>
  <c r="FJ14" i="2"/>
  <c r="FJ80" i="2"/>
  <c r="FJ20" i="2"/>
  <c r="FJ24" i="2"/>
  <c r="FJ104" i="2"/>
  <c r="FJ172" i="2"/>
  <c r="FJ157" i="2"/>
  <c r="FJ153" i="2"/>
  <c r="FJ67" i="2"/>
  <c r="FJ188" i="2"/>
  <c r="FJ200" i="2"/>
  <c r="FJ192" i="2"/>
  <c r="FJ9" i="2"/>
  <c r="FJ195" i="2"/>
  <c r="FJ55" i="2"/>
  <c r="FJ168" i="2"/>
  <c r="FJ174" i="2"/>
  <c r="FJ75" i="2"/>
  <c r="FJ165" i="2"/>
  <c r="FJ3" i="2"/>
  <c r="C13" i="4" s="1"/>
  <c r="E13" i="4" s="1"/>
  <c r="F13" i="4" s="1"/>
  <c r="G13" i="4" s="1"/>
  <c r="L13" i="4" s="1"/>
  <c r="FJ74" i="2"/>
  <c r="FJ37" i="2"/>
  <c r="FJ87" i="2"/>
  <c r="FJ44" i="2"/>
  <c r="FJ163" i="2"/>
  <c r="FJ176" i="2"/>
  <c r="FJ49" i="2"/>
  <c r="FJ97" i="2"/>
  <c r="FJ51" i="2"/>
  <c r="FJ72" i="2"/>
  <c r="FJ40" i="2"/>
  <c r="FJ31" i="2"/>
  <c r="FJ52" i="2"/>
  <c r="FJ105" i="2"/>
  <c r="FJ60" i="2"/>
  <c r="FJ167" i="2"/>
  <c r="FJ191" i="2"/>
  <c r="FJ82" i="2"/>
  <c r="FJ25" i="2"/>
  <c r="FJ141" i="2"/>
  <c r="FJ8" i="2"/>
  <c r="FJ106" i="2"/>
  <c r="FJ115" i="2"/>
  <c r="FJ108" i="2"/>
  <c r="FJ202" i="2"/>
  <c r="FJ34" i="2"/>
  <c r="FJ78" i="2"/>
  <c r="FJ81" i="2"/>
  <c r="FJ42" i="2"/>
  <c r="FJ125" i="2"/>
  <c r="FJ7" i="2"/>
  <c r="FJ48" i="2"/>
  <c r="FJ181" i="2"/>
  <c r="FJ54" i="2"/>
  <c r="FJ117" i="2"/>
  <c r="FJ26" i="2"/>
  <c r="FJ89" i="2"/>
  <c r="FJ178" i="2"/>
  <c r="FJ18" i="2"/>
  <c r="FJ58" i="2"/>
  <c r="FJ171" i="2"/>
  <c r="FJ196" i="2"/>
  <c r="FJ185" i="2"/>
  <c r="FJ36" i="2"/>
  <c r="FJ127" i="2"/>
  <c r="FJ159" i="2"/>
  <c r="FJ129" i="2"/>
  <c r="FJ10" i="2"/>
  <c r="FJ201" i="2"/>
  <c r="FJ99" i="2"/>
  <c r="FJ84" i="2"/>
  <c r="FJ86" i="2"/>
  <c r="FJ21" i="2"/>
  <c r="FJ61" i="2"/>
  <c r="FJ73" i="2"/>
  <c r="FJ143" i="2"/>
  <c r="FJ50" i="2"/>
  <c r="FJ19" i="2"/>
  <c r="FJ169" i="2"/>
  <c r="FJ147" i="2"/>
  <c r="FJ138" i="2"/>
  <c r="FJ187" i="2"/>
  <c r="FJ4" i="2"/>
  <c r="FJ77" i="2"/>
  <c r="FJ92" i="2"/>
  <c r="FJ88" i="2"/>
  <c r="FJ102" i="2"/>
  <c r="FJ154" i="2"/>
  <c r="FJ148" i="2"/>
  <c r="FJ164" i="2"/>
  <c r="FJ38" i="2"/>
  <c r="FJ47" i="2"/>
  <c r="FJ13" i="2"/>
  <c r="FJ142" i="2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25" i="2" l="1"/>
  <c r="GE178" i="2"/>
  <c r="GE139" i="2"/>
  <c r="GE142" i="2"/>
  <c r="GE151" i="2"/>
  <c r="GE199" i="2"/>
  <c r="GE113" i="2"/>
  <c r="GE116" i="2"/>
  <c r="GE168" i="2"/>
  <c r="GE82" i="2"/>
  <c r="GE32" i="2"/>
  <c r="GE106" i="2"/>
  <c r="GE105" i="2"/>
  <c r="GE34" i="2"/>
  <c r="GE63" i="2"/>
  <c r="GE130" i="2"/>
  <c r="GE60" i="2"/>
  <c r="GE158" i="2"/>
  <c r="GE17" i="2"/>
  <c r="GE30" i="2"/>
  <c r="GE110" i="2"/>
  <c r="GE93" i="2"/>
  <c r="GE90" i="2"/>
  <c r="GE121" i="2"/>
  <c r="GE73" i="2"/>
  <c r="GE37" i="2"/>
  <c r="GE50" i="2"/>
  <c r="GE47" i="2"/>
  <c r="GE5" i="2"/>
  <c r="GE10" i="2"/>
  <c r="GE161" i="2"/>
  <c r="GE7" i="2"/>
  <c r="GE20" i="2"/>
  <c r="GE15" i="2"/>
  <c r="GE94" i="2"/>
  <c r="GE3" i="2"/>
  <c r="C14" i="4" s="1"/>
  <c r="E14" i="4" s="1"/>
  <c r="F14" i="4" s="1"/>
  <c r="G14" i="4" s="1"/>
  <c r="L14" i="4" s="1"/>
  <c r="GE147" i="2"/>
  <c r="GE102" i="2"/>
  <c r="GE76" i="2"/>
  <c r="GE38" i="2"/>
  <c r="GE156" i="2"/>
  <c r="GE174" i="2"/>
  <c r="GE22" i="2"/>
  <c r="GE57" i="2"/>
  <c r="GE190" i="2"/>
  <c r="GE197" i="2"/>
  <c r="GE100" i="2"/>
  <c r="GE56" i="2"/>
  <c r="GE176" i="2"/>
  <c r="GE148" i="2"/>
  <c r="GE95" i="2"/>
  <c r="GE169" i="2"/>
  <c r="GE31" i="2"/>
  <c r="GE192" i="2"/>
  <c r="GE173" i="2"/>
  <c r="GE36" i="2"/>
  <c r="GE75" i="2"/>
  <c r="GE35" i="2"/>
  <c r="GE48" i="2"/>
  <c r="GE11" i="2"/>
  <c r="GE187" i="2"/>
  <c r="GE13" i="2"/>
  <c r="GE193" i="2"/>
  <c r="GE171" i="2"/>
  <c r="GE98" i="2"/>
  <c r="GE200" i="2"/>
  <c r="GE59" i="2"/>
  <c r="GE88" i="2"/>
  <c r="GE42" i="2"/>
  <c r="GE96" i="2"/>
  <c r="GE195" i="2"/>
  <c r="GE69" i="2"/>
  <c r="GE55" i="2"/>
  <c r="GE160" i="2"/>
  <c r="GE159" i="2"/>
  <c r="GE182" i="2"/>
  <c r="GE149" i="2"/>
  <c r="GE184" i="2"/>
  <c r="GE137" i="2"/>
  <c r="GE109" i="2"/>
  <c r="GE115" i="2"/>
  <c r="GE118" i="2"/>
  <c r="GE166" i="2"/>
  <c r="GE87" i="2"/>
  <c r="GE201" i="2"/>
  <c r="GE111" i="2"/>
  <c r="GE16" i="2"/>
  <c r="GE49" i="2"/>
  <c r="GE179" i="2"/>
  <c r="GE53" i="2"/>
  <c r="GE80" i="2"/>
  <c r="GE92" i="2"/>
  <c r="GE185" i="2"/>
  <c r="GE33" i="2"/>
  <c r="GE134" i="2"/>
  <c r="GE140" i="2"/>
  <c r="GE146" i="2"/>
  <c r="GE189" i="2"/>
  <c r="GE153" i="2"/>
  <c r="GE155" i="2"/>
  <c r="GE52" i="2"/>
  <c r="GE203" i="2"/>
  <c r="GE107" i="2"/>
  <c r="GE180" i="2"/>
  <c r="GE150" i="2"/>
  <c r="GE133" i="2"/>
  <c r="GE64" i="2"/>
  <c r="GE165" i="2"/>
  <c r="GE175" i="2"/>
  <c r="GE97" i="2"/>
  <c r="GE62" i="2"/>
  <c r="GE112" i="2"/>
  <c r="GE162" i="2"/>
  <c r="GE152" i="2"/>
  <c r="GE123" i="2"/>
  <c r="GE28" i="2"/>
  <c r="GE131" i="2"/>
  <c r="GE89" i="2"/>
  <c r="GE188" i="2"/>
  <c r="GE127" i="2"/>
  <c r="GE183" i="2"/>
  <c r="GE54" i="2"/>
  <c r="GE19" i="2"/>
  <c r="GE99" i="2"/>
  <c r="GE45" i="2"/>
  <c r="GE164" i="2"/>
  <c r="GE65" i="2"/>
  <c r="GE67" i="2"/>
  <c r="GE14" i="2"/>
  <c r="GE66" i="2"/>
  <c r="GE104" i="2"/>
  <c r="GE119" i="2"/>
  <c r="GE44" i="2"/>
  <c r="GE40" i="2"/>
  <c r="GE51" i="2"/>
  <c r="GE27" i="2"/>
  <c r="GE78" i="2"/>
  <c r="GE39" i="2"/>
  <c r="GE8" i="2"/>
  <c r="GE85" i="2"/>
  <c r="GE41" i="2"/>
  <c r="GE125" i="2"/>
  <c r="GE61" i="2"/>
  <c r="GE43" i="2"/>
  <c r="GE21" i="2"/>
  <c r="GE124" i="2"/>
  <c r="GE18" i="2"/>
  <c r="GE9" i="2"/>
  <c r="GE84" i="2"/>
  <c r="GE141" i="2"/>
  <c r="GE101" i="2"/>
  <c r="GE120" i="2"/>
  <c r="GE126" i="2"/>
  <c r="GE72" i="2"/>
  <c r="GE6" i="2"/>
  <c r="GE181" i="2"/>
  <c r="GE26" i="2"/>
  <c r="GE157" i="2"/>
  <c r="GE74" i="2"/>
  <c r="GE132" i="2"/>
  <c r="GE24" i="2"/>
  <c r="GE191" i="2"/>
  <c r="GE177" i="2"/>
  <c r="GE143" i="2"/>
  <c r="GE77" i="2"/>
  <c r="GE70" i="2"/>
  <c r="GE23" i="2"/>
  <c r="GE135" i="2"/>
  <c r="GE129" i="2"/>
  <c r="GE103" i="2"/>
  <c r="GE114" i="2"/>
  <c r="GE46" i="2"/>
  <c r="GE136" i="2"/>
  <c r="GE29" i="2"/>
  <c r="GE198" i="2"/>
  <c r="GE202" i="2"/>
  <c r="GE170" i="2"/>
  <c r="GE71" i="2"/>
  <c r="GE186" i="2"/>
  <c r="GE172" i="2"/>
  <c r="GE144" i="2"/>
  <c r="GE79" i="2"/>
  <c r="GE122" i="2"/>
  <c r="GE4" i="2"/>
  <c r="GE128" i="2"/>
  <c r="GE91" i="2"/>
  <c r="GE68" i="2"/>
  <c r="GE163" i="2"/>
  <c r="GE81" i="2"/>
  <c r="GE196" i="2"/>
  <c r="GE12" i="2"/>
  <c r="GE167" i="2"/>
  <c r="GE58" i="2"/>
  <c r="GE138" i="2"/>
  <c r="GE194" i="2"/>
  <c r="GE86" i="2"/>
  <c r="GE83" i="2"/>
  <c r="GE145" i="2"/>
  <c r="GE154" i="2"/>
  <c r="GE108" i="2"/>
  <c r="GE11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Z173" i="2" l="1"/>
  <c r="GZ112" i="2"/>
  <c r="GZ14" i="2"/>
  <c r="GZ28" i="2"/>
  <c r="GZ29" i="2"/>
  <c r="GZ147" i="2"/>
  <c r="GZ198" i="2"/>
  <c r="GZ199" i="2"/>
  <c r="GZ46" i="2"/>
  <c r="GZ177" i="2"/>
  <c r="GZ178" i="2"/>
  <c r="GZ25" i="2"/>
  <c r="GZ140" i="2"/>
  <c r="GZ141" i="2"/>
  <c r="GZ126" i="2"/>
  <c r="GZ111" i="2"/>
  <c r="GZ116" i="2"/>
  <c r="GZ105" i="2"/>
  <c r="GZ90" i="2"/>
  <c r="GZ6" i="2"/>
  <c r="GZ68" i="2"/>
  <c r="GZ53" i="2"/>
  <c r="GZ184" i="2"/>
  <c r="GZ39" i="2"/>
  <c r="GZ32" i="2"/>
  <c r="GZ187" i="2"/>
  <c r="GZ63" i="2"/>
  <c r="GZ202" i="2"/>
  <c r="GZ118" i="2"/>
  <c r="GZ42" i="2"/>
  <c r="GZ165" i="2"/>
  <c r="GZ97" i="2"/>
  <c r="GZ5" i="2"/>
  <c r="GZ144" i="2"/>
  <c r="GZ60" i="2"/>
  <c r="GZ175" i="2"/>
  <c r="GZ51" i="2"/>
  <c r="GZ31" i="2"/>
  <c r="GZ154" i="2"/>
  <c r="GZ78" i="2"/>
  <c r="GZ10" i="2"/>
  <c r="GZ117" i="2"/>
  <c r="GZ8" i="2"/>
  <c r="GZ172" i="2"/>
  <c r="GZ96" i="2"/>
  <c r="GZ81" i="2"/>
  <c r="GZ143" i="2"/>
  <c r="GZ181" i="2"/>
  <c r="GZ44" i="2"/>
  <c r="GZ122" i="2"/>
  <c r="GZ160" i="2"/>
  <c r="GZ15" i="2"/>
  <c r="GZ85" i="2"/>
  <c r="GZ179" i="2"/>
  <c r="GZ18" i="2"/>
  <c r="GZ64" i="2"/>
  <c r="GZ94" i="2"/>
  <c r="GZ180" i="2"/>
  <c r="GZ11" i="2"/>
  <c r="GZ73" i="2"/>
  <c r="GZ151" i="2"/>
  <c r="GZ197" i="2"/>
  <c r="GZ36" i="2"/>
  <c r="GZ130" i="2"/>
  <c r="GZ176" i="2"/>
  <c r="GZ7" i="2"/>
  <c r="GZ93" i="2"/>
  <c r="GZ35" i="2"/>
  <c r="GZ185" i="2"/>
  <c r="GZ72" i="2"/>
  <c r="GZ57" i="2"/>
  <c r="GZ148" i="2"/>
  <c r="GZ75" i="2"/>
  <c r="GZ20" i="2"/>
  <c r="GZ119" i="2"/>
  <c r="GZ136" i="2"/>
  <c r="GZ190" i="2"/>
  <c r="GZ41" i="2"/>
  <c r="GZ98" i="2"/>
  <c r="GZ155" i="2"/>
  <c r="GZ169" i="2"/>
  <c r="GZ61" i="2"/>
  <c r="GZ70" i="2"/>
  <c r="GZ193" i="2"/>
  <c r="GZ40" i="2"/>
  <c r="GZ49" i="2"/>
  <c r="GZ156" i="2"/>
  <c r="GZ67" i="2"/>
  <c r="GZ12" i="2"/>
  <c r="GZ127" i="2"/>
  <c r="GZ19" i="2"/>
  <c r="GZ182" i="2"/>
  <c r="GZ106" i="2"/>
  <c r="GZ30" i="2"/>
  <c r="GZ161" i="2"/>
  <c r="GZ69" i="2"/>
  <c r="GZ9" i="2"/>
  <c r="GZ124" i="2"/>
  <c r="GZ48" i="2"/>
  <c r="GZ99" i="2"/>
  <c r="GZ95" i="2"/>
  <c r="GZ131" i="2"/>
  <c r="GZ89" i="2"/>
  <c r="GZ74" i="2"/>
  <c r="GZ189" i="2"/>
  <c r="GZ52" i="2"/>
  <c r="GZ37" i="2"/>
  <c r="GZ168" i="2"/>
  <c r="GZ23" i="2"/>
  <c r="GZ16" i="2"/>
  <c r="GZ171" i="2"/>
  <c r="GZ132" i="2"/>
  <c r="GZ186" i="2"/>
  <c r="GZ102" i="2"/>
  <c r="GZ103" i="2"/>
  <c r="GZ149" i="2"/>
  <c r="GZ123" i="2"/>
  <c r="GZ82" i="2"/>
  <c r="GZ128" i="2"/>
  <c r="GZ158" i="2"/>
  <c r="GZ110" i="2"/>
  <c r="GZ91" i="2"/>
  <c r="GZ137" i="2"/>
  <c r="GZ24" i="2"/>
  <c r="GZ62" i="2"/>
  <c r="GZ100" i="2"/>
  <c r="GZ194" i="2"/>
  <c r="GZ71" i="2"/>
  <c r="GZ157" i="2"/>
  <c r="GZ142" i="2"/>
  <c r="GZ50" i="2"/>
  <c r="GZ203" i="2"/>
  <c r="GZ121" i="2"/>
  <c r="GZ13" i="2"/>
  <c r="GZ22" i="2"/>
  <c r="GZ84" i="2"/>
  <c r="GZ183" i="2"/>
  <c r="GZ200" i="2"/>
  <c r="GZ201" i="2"/>
  <c r="GZ162" i="2"/>
  <c r="GZ59" i="2"/>
  <c r="GZ164" i="2"/>
  <c r="GZ125" i="2"/>
  <c r="GZ134" i="2"/>
  <c r="GZ135" i="2"/>
  <c r="GZ104" i="2"/>
  <c r="GZ113" i="2"/>
  <c r="GZ114" i="2"/>
  <c r="GZ83" i="2"/>
  <c r="GZ76" i="2"/>
  <c r="GZ77" i="2"/>
  <c r="GZ38" i="2"/>
  <c r="GZ47" i="2"/>
  <c r="GZ56" i="2"/>
  <c r="GZ17" i="2"/>
  <c r="GZ26" i="2"/>
  <c r="GZ195" i="2"/>
  <c r="GZ4" i="2"/>
  <c r="GZ188" i="2"/>
  <c r="GZ120" i="2"/>
  <c r="GZ174" i="2"/>
  <c r="GZ159" i="2"/>
  <c r="GZ27" i="2"/>
  <c r="GZ153" i="2"/>
  <c r="GZ138" i="2"/>
  <c r="GZ54" i="2"/>
  <c r="GZ55" i="2"/>
  <c r="GZ101" i="2"/>
  <c r="GZ33" i="2"/>
  <c r="GZ34" i="2"/>
  <c r="GZ80" i="2"/>
  <c r="GZ163" i="2"/>
  <c r="GZ196" i="2"/>
  <c r="GZ139" i="2"/>
  <c r="GZ166" i="2"/>
  <c r="GZ167" i="2"/>
  <c r="GZ145" i="2"/>
  <c r="GZ146" i="2"/>
  <c r="GZ192" i="2"/>
  <c r="GZ108" i="2"/>
  <c r="GZ109" i="2"/>
  <c r="GZ43" i="2"/>
  <c r="GZ79" i="2"/>
  <c r="GZ88" i="2"/>
  <c r="GZ107" i="2"/>
  <c r="GZ58" i="2"/>
  <c r="GZ45" i="2"/>
  <c r="GZ150" i="2"/>
  <c r="GZ21" i="2"/>
  <c r="GZ152" i="2"/>
  <c r="GZ129" i="2"/>
  <c r="GZ191" i="2"/>
  <c r="GZ115" i="2"/>
  <c r="GZ92" i="2"/>
  <c r="GZ170" i="2"/>
  <c r="GZ86" i="2"/>
  <c r="GZ87" i="2"/>
  <c r="GZ133" i="2"/>
  <c r="GZ65" i="2"/>
  <c r="GZ66" i="2"/>
  <c r="GZ3" i="2"/>
  <c r="C15" i="4" s="1"/>
  <c r="E15" i="4" s="1"/>
  <c r="F15" i="4" s="1"/>
  <c r="G15" i="4" s="1"/>
  <c r="L15" i="4" s="1"/>
  <c r="CY20" i="2"/>
  <c r="CY43" i="2"/>
  <c r="CY24" i="2"/>
  <c r="CY21" i="2"/>
  <c r="CY153" i="2"/>
  <c r="CY45" i="2"/>
  <c r="CY83" i="2"/>
  <c r="CY39" i="2"/>
  <c r="CY71" i="2"/>
  <c r="CY141" i="2"/>
  <c r="CY193" i="2"/>
  <c r="CY72" i="2"/>
  <c r="CY19" i="2"/>
  <c r="CY172" i="2"/>
  <c r="CY59" i="2"/>
  <c r="CY77" i="2"/>
  <c r="CY94" i="2"/>
  <c r="CY17" i="2"/>
  <c r="CY146" i="2"/>
  <c r="CY65" i="2"/>
  <c r="CY87" i="2"/>
  <c r="CY23" i="2"/>
  <c r="CY40" i="2"/>
  <c r="CY63" i="2"/>
  <c r="CY150" i="2"/>
  <c r="CY156" i="2"/>
  <c r="CY12" i="2"/>
  <c r="CY198" i="2"/>
  <c r="CY203" i="2"/>
  <c r="CY179" i="2"/>
  <c r="CY143" i="2"/>
  <c r="CY189" i="2"/>
  <c r="CY171" i="2"/>
  <c r="CY26" i="2"/>
  <c r="CY97" i="2"/>
  <c r="CY164" i="2"/>
  <c r="CY78" i="2"/>
  <c r="CY47" i="2"/>
  <c r="CY42" i="2"/>
  <c r="CY145" i="2"/>
  <c r="CY85" i="2"/>
  <c r="CY88" i="2"/>
  <c r="CY5" i="2"/>
  <c r="CY144" i="2"/>
  <c r="CY98" i="2"/>
  <c r="CY51" i="2"/>
  <c r="CY6" i="2"/>
  <c r="CY66" i="2"/>
  <c r="CY60" i="2"/>
  <c r="CY157" i="2"/>
  <c r="CY99" i="2"/>
  <c r="CY190" i="2"/>
  <c r="CY133" i="2"/>
  <c r="CY33" i="2"/>
  <c r="CY188" i="2"/>
  <c r="CY70" i="2"/>
  <c r="CY166" i="2"/>
  <c r="CY149" i="2"/>
  <c r="CY58" i="2"/>
  <c r="CY132" i="2"/>
  <c r="CY184" i="2"/>
  <c r="CY16" i="2"/>
  <c r="CY44" i="2"/>
  <c r="CY82" i="2"/>
  <c r="CY191" i="2"/>
  <c r="CY167" i="2"/>
  <c r="CY195" i="2"/>
  <c r="CY112" i="2"/>
  <c r="CY11" i="2"/>
  <c r="CY117" i="2"/>
  <c r="CY22" i="2"/>
  <c r="CY103" i="2"/>
  <c r="CY32" i="2"/>
  <c r="CY170" i="2"/>
  <c r="CY7" i="2"/>
  <c r="CY50" i="2"/>
  <c r="CY163" i="2"/>
  <c r="CY116" i="2"/>
  <c r="CY139" i="2"/>
  <c r="CY123" i="2"/>
  <c r="CY126" i="2"/>
  <c r="CY106" i="2"/>
  <c r="CY131" i="2"/>
  <c r="CY31" i="2"/>
  <c r="CY124" i="2"/>
  <c r="CY9" i="2"/>
  <c r="CY201" i="2"/>
  <c r="CY192" i="2"/>
  <c r="CY80" i="2"/>
  <c r="CY154" i="2"/>
  <c r="CY152" i="2"/>
  <c r="CY177" i="2"/>
  <c r="CY199" i="2"/>
  <c r="CY125" i="2"/>
  <c r="CY127" i="2"/>
  <c r="CY119" i="2"/>
  <c r="CY181" i="2"/>
  <c r="CY62" i="2"/>
  <c r="CY95" i="2"/>
  <c r="CY49" i="2"/>
  <c r="CY130" i="2"/>
  <c r="CY54" i="2"/>
  <c r="CY53" i="2"/>
  <c r="CY64" i="2"/>
  <c r="CY183" i="2"/>
  <c r="CY134" i="2"/>
  <c r="CY160" i="2"/>
  <c r="CY67" i="2"/>
  <c r="CY121" i="2"/>
  <c r="CY81" i="2"/>
  <c r="CY111" i="2"/>
  <c r="CY38" i="2"/>
  <c r="CY165" i="2"/>
  <c r="CY69" i="2"/>
  <c r="CY173" i="2"/>
  <c r="CY122" i="2"/>
  <c r="CY102" i="2"/>
  <c r="CY56" i="2"/>
  <c r="CY108" i="2"/>
  <c r="CY10" i="2"/>
  <c r="CY96" i="2"/>
  <c r="CY168" i="2"/>
  <c r="CY76" i="2"/>
  <c r="CY194" i="2"/>
  <c r="CY15" i="2"/>
  <c r="CY73" i="2"/>
  <c r="CY8" i="2"/>
  <c r="CY28" i="2"/>
  <c r="CY113" i="2"/>
  <c r="CY36" i="2"/>
  <c r="CY57" i="2"/>
  <c r="CY180" i="2"/>
  <c r="CY55" i="2"/>
  <c r="CY109" i="2"/>
  <c r="CY176" i="2"/>
  <c r="CY120" i="2"/>
  <c r="CY147" i="2"/>
  <c r="CY107" i="2"/>
  <c r="CY104" i="2"/>
  <c r="CY142" i="2"/>
  <c r="CY138" i="2"/>
  <c r="CY187" i="2"/>
  <c r="CY68" i="2"/>
  <c r="CY91" i="2"/>
  <c r="CY159" i="2"/>
  <c r="CY115" i="2"/>
  <c r="CY89" i="2"/>
  <c r="CY140" i="2"/>
  <c r="CY52" i="2"/>
  <c r="CY128" i="2"/>
  <c r="CY79" i="2"/>
  <c r="CY84" i="2"/>
  <c r="CY25" i="2"/>
  <c r="CY182" i="2"/>
  <c r="CY35" i="2"/>
  <c r="CY148" i="2"/>
  <c r="CY155" i="2"/>
  <c r="CY3" i="2"/>
  <c r="C10" i="4" s="1"/>
  <c r="E10" i="4" s="1"/>
  <c r="F10" i="4" s="1"/>
  <c r="G10" i="4" s="1"/>
  <c r="L10" i="4" s="1"/>
  <c r="CY162" i="2"/>
  <c r="CY169" i="2"/>
  <c r="CY74" i="2"/>
  <c r="CY129" i="2"/>
  <c r="CY178" i="2"/>
  <c r="CY110" i="2"/>
  <c r="CY29" i="2"/>
  <c r="CY48" i="2"/>
  <c r="CY46" i="2"/>
  <c r="CY14" i="2"/>
  <c r="CY105" i="2"/>
  <c r="CY137" i="2"/>
  <c r="CY18" i="2"/>
  <c r="CY114" i="2"/>
  <c r="CY100" i="2"/>
  <c r="CY135" i="2"/>
  <c r="CY37" i="2"/>
  <c r="CY185" i="2"/>
  <c r="CY13" i="2"/>
  <c r="CY186" i="2"/>
  <c r="CY136" i="2"/>
  <c r="CY61" i="2"/>
  <c r="CY101" i="2"/>
  <c r="CY197" i="2"/>
  <c r="CY92" i="2"/>
  <c r="CY158" i="2"/>
  <c r="CY30" i="2"/>
  <c r="CY175" i="2"/>
  <c r="CY27" i="2"/>
  <c r="CY41" i="2"/>
  <c r="CY90" i="2"/>
  <c r="CY93" i="2"/>
  <c r="CY118" i="2"/>
  <c r="CY34" i="2"/>
  <c r="CY86" i="2"/>
  <c r="CY161" i="2"/>
  <c r="CY200" i="2"/>
  <c r="CY174" i="2"/>
  <c r="CY196" i="2"/>
  <c r="CY202" i="2"/>
  <c r="CY4" i="2"/>
  <c r="CY75" i="2"/>
  <c r="CY15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<sst xmlns="http://schemas.openxmlformats.org/spreadsheetml/2006/main" count="1179" uniqueCount="324">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</sst>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636.99987545603415</c:v>
                </c:pt>
                <c:pt idx="82">
                  <c:v>649.58221541705063</c:v>
                </c:pt>
                <c:pt idx="83">
                  <c:v>662.15953068851047</c:v>
                </c:pt>
                <c:pt idx="84">
                  <c:v>674.73193011676551</c:v>
                </c:pt>
                <c:pt idx="85">
                  <c:v>687.29951816311348</c:v>
                </c:pt>
                <c:pt idx="86">
                  <c:v>699.86239515908403</c:v>
                </c:pt>
                <c:pt idx="87">
                  <c:v>712.42065754245129</c:v>
                </c:pt>
                <c:pt idx="88">
                  <c:v>724.97439807575211</c:v>
                </c:pt>
                <c:pt idx="89">
                  <c:v>737.52370604888972</c:v>
                </c:pt>
                <c:pt idx="90">
                  <c:v>750.06866746724211</c:v>
                </c:pt>
                <c:pt idx="91">
                  <c:v>601.32161215624615</c:v>
                </c:pt>
                <c:pt idx="92">
                  <c:v>612.58301041135394</c:v>
                </c:pt>
                <c:pt idx="93">
                  <c:v>623.84011521480943</c:v>
                </c:pt>
                <c:pt idx="94">
                  <c:v>635.09301493951614</c:v>
                </c:pt>
                <c:pt idx="95">
                  <c:v>646.34179457229266</c:v>
                </c:pt>
                <c:pt idx="96">
                  <c:v>657.58653590152971</c:v>
                </c:pt>
                <c:pt idx="97">
                  <c:v>668.82731769134739</c:v>
                </c:pt>
                <c:pt idx="98">
                  <c:v>680.06421584344105</c:v>
                </c:pt>
                <c:pt idx="99">
                  <c:v>691.29730354768026</c:v>
                </c:pt>
                <c:pt idx="100">
                  <c:v>702.52665142241483</c:v>
                </c:pt>
                <c:pt idx="101">
                  <c:v>712.42065754245107</c:v>
                </c:pt>
                <c:pt idx="102">
                  <c:v>722.31185677865858</c:v>
                </c:pt>
                <c:pt idx="103">
                  <c:v>732.20029297203462</c:v>
                </c:pt>
                <c:pt idx="104">
                  <c:v>742.08600868333099</c:v>
                </c:pt>
                <c:pt idx="105">
                  <c:v>751.96904524735601</c:v>
                </c:pt>
                <c:pt idx="106">
                  <c:v>761.84944282427648</c:v>
                </c:pt>
                <c:pt idx="107">
                  <c:v>771.72724044812094</c:v>
                </c:pt>
                <c:pt idx="108">
                  <c:v>781.60247607267092</c:v>
                </c:pt>
                <c:pt idx="109">
                  <c:v>791.47518661491574</c:v>
                </c:pt>
                <c:pt idx="110">
                  <c:v>801.34540799622619</c:v>
                </c:pt>
                <c:pt idx="111">
                  <c:v>608.19348941446765</c:v>
                </c:pt>
                <c:pt idx="112">
                  <c:v>616.78107210210862</c:v>
                </c:pt>
                <c:pt idx="113">
                  <c:v>625.36617664098856</c:v>
                </c:pt>
                <c:pt idx="114">
                  <c:v>633.94884184663999</c:v>
                </c:pt>
                <c:pt idx="115">
                  <c:v>642.52910539795459</c:v>
                </c:pt>
                <c:pt idx="116">
                  <c:v>651.10700388552493</c:v>
                </c:pt>
                <c:pt idx="117">
                  <c:v>659.68257285730954</c:v>
                </c:pt>
                <c:pt idx="118">
                  <c:v>668.25584686179957</c:v>
                </c:pt>
                <c:pt idx="119">
                  <c:v>676.82685948885762</c:v>
                </c:pt>
                <c:pt idx="120">
                  <c:v>685.39564340837808</c:v>
                </c:pt>
                <c:pt idx="121">
                  <c:v>693.39119233094789</c:v>
                </c:pt>
                <c:pt idx="122">
                  <c:v>701.38485267499789</c:v>
                </c:pt>
                <c:pt idx="123">
                  <c:v>709.37664899579306</c:v>
                </c:pt>
                <c:pt idx="124">
                  <c:v>717.36660525030732</c:v>
                </c:pt>
                <c:pt idx="125">
                  <c:v>725.35474481844449</c:v>
                </c:pt>
                <c:pt idx="126">
                  <c:v>733.34109052327722</c:v>
                </c:pt>
                <c:pt idx="127">
                  <c:v>741.32566465035904</c:v>
                </c:pt>
                <c:pt idx="128">
                  <c:v>749.30848896615805</c:v>
                </c:pt>
                <c:pt idx="129">
                  <c:v>757.28958473566934</c:v>
                </c:pt>
                <c:pt idx="130">
                  <c:v>765.2689727392434</c:v>
                </c:pt>
                <c:pt idx="131">
                  <c:v>599.22154722155733</c:v>
                </c:pt>
                <c:pt idx="132">
                  <c:v>606.47567200029607</c:v>
                </c:pt>
                <c:pt idx="133">
                  <c:v>613.72799533010129</c:v>
                </c:pt>
                <c:pt idx="134">
                  <c:v>620.97854150271451</c:v>
                </c:pt>
                <c:pt idx="135">
                  <c:v>628.22733419629969</c:v>
                </c:pt>
                <c:pt idx="136">
                  <c:v>635.47439649799799</c:v>
                </c:pt>
                <c:pt idx="137">
                  <c:v>642.71975092539503</c:v>
                </c:pt>
                <c:pt idx="138">
                  <c:v>649.96341944697554</c:v>
                </c:pt>
                <c:pt idx="139">
                  <c:v>657.20542350161361</c:v>
                </c:pt>
                <c:pt idx="140">
                  <c:v>664.44578401716376</c:v>
                </c:pt>
                <c:pt idx="141">
                  <c:v>671.1131007030807</c:v>
                </c:pt>
                <c:pt idx="142">
                  <c:v>677.77905606178604</c:v>
                </c:pt>
                <c:pt idx="143">
                  <c:v>684.44366537005408</c:v>
                </c:pt>
                <c:pt idx="144">
                  <c:v>691.10694358289311</c:v>
                </c:pt>
                <c:pt idx="145">
                  <c:v>697.76890534342408</c:v>
                </c:pt>
                <c:pt idx="146">
                  <c:v>704.42956499236743</c:v>
                </c:pt>
                <c:pt idx="147">
                  <c:v>711.08893657714862</c:v>
                </c:pt>
                <c:pt idx="148">
                  <c:v>717.74703386064687</c:v>
                </c:pt>
                <c:pt idx="149">
                  <c:v>724.40387032960223</c:v>
                </c:pt>
                <c:pt idx="150">
                  <c:v>731.05945920269721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06192"/>
        <c:axId val="93512720"/>
      </c:scatterChart>
      <c:valAx>
        <c:axId val="935061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512720"/>
        <c:crosses val="autoZero"/>
        <c:crossBetween val="midCat"/>
      </c:valAx>
      <c:valAx>
        <c:axId val="9351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506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679.91975639292957</c:v>
                </c:pt>
                <c:pt idx="82">
                  <c:v>693.35181003961088</c:v>
                </c:pt>
                <c:pt idx="83">
                  <c:v>706.77853400111223</c:v>
                </c:pt>
                <c:pt idx="84">
                  <c:v>720.20004373069298</c:v>
                </c:pt>
                <c:pt idx="85">
                  <c:v>733.61645003038905</c:v>
                </c:pt>
                <c:pt idx="86">
                  <c:v>747.02785932179313</c:v>
                </c:pt>
                <c:pt idx="87">
                  <c:v>760.4343738963945</c:v>
                </c:pt>
                <c:pt idx="88">
                  <c:v>773.83609214735907</c:v>
                </c:pt>
                <c:pt idx="89">
                  <c:v>787.23310878443408</c:v>
                </c:pt>
                <c:pt idx="90">
                  <c:v>800.62551503347186</c:v>
                </c:pt>
                <c:pt idx="91">
                  <c:v>641.83225318617042</c:v>
                </c:pt>
                <c:pt idx="92">
                  <c:v>653.85406638827408</c:v>
                </c:pt>
                <c:pt idx="93">
                  <c:v>665.87132552880155</c:v>
                </c:pt>
                <c:pt idx="94">
                  <c:v>677.88412434483791</c:v>
                </c:pt>
                <c:pt idx="95">
                  <c:v>689.89255298185105</c:v>
                </c:pt>
                <c:pt idx="96">
                  <c:v>701.89669819273695</c:v>
                </c:pt>
                <c:pt idx="97">
                  <c:v>713.89664352255079</c:v>
                </c:pt>
                <c:pt idx="98">
                  <c:v>725.89246948017455</c:v>
                </c:pt>
                <c:pt idx="99">
                  <c:v>737.88425369805907</c:v>
                </c:pt>
                <c:pt idx="100">
                  <c:v>749.87207108104519</c:v>
                </c:pt>
                <c:pt idx="101">
                  <c:v>760.43437389639394</c:v>
                </c:pt>
                <c:pt idx="102">
                  <c:v>770.99369945175965</c:v>
                </c:pt>
                <c:pt idx="103">
                  <c:v>781.55009424926186</c:v>
                </c:pt>
                <c:pt idx="104">
                  <c:v>792.10360343306365</c:v>
                </c:pt>
                <c:pt idx="105">
                  <c:v>802.65427084697183</c:v>
                </c:pt>
                <c:pt idx="106">
                  <c:v>813.2021390888516</c:v>
                </c:pt>
                <c:pt idx="107">
                  <c:v>823.74724956207217</c:v>
                </c:pt>
                <c:pt idx="108">
                  <c:v>834.28964252418791</c:v>
                </c:pt>
                <c:pt idx="109">
                  <c:v>844.82935713302641</c:v>
                </c:pt>
                <c:pt idx="110">
                  <c:v>855.36643149036433</c:v>
                </c:pt>
                <c:pt idx="111">
                  <c:v>649.16814374322746</c:v>
                </c:pt>
                <c:pt idx="112">
                  <c:v>658.33560563795163</c:v>
                </c:pt>
                <c:pt idx="113">
                  <c:v>667.50043896178022</c:v>
                </c:pt>
                <c:pt idx="114">
                  <c:v>676.66268488632613</c:v>
                </c:pt>
                <c:pt idx="115">
                  <c:v>685.82238337756644</c:v>
                </c:pt>
                <c:pt idx="116">
                  <c:v>694.97957324712058</c:v>
                </c:pt>
                <c:pt idx="117">
                  <c:v>704.13429220068656</c:v>
                </c:pt>
                <c:pt idx="118">
                  <c:v>713.28657688382884</c:v>
                </c:pt>
                <c:pt idx="119">
                  <c:v>722.43646292529365</c:v>
                </c:pt>
                <c:pt idx="120">
                  <c:v>731.58398497801829</c:v>
                </c:pt>
                <c:pt idx="121">
                  <c:v>740.11956914072152</c:v>
                </c:pt>
                <c:pt idx="122">
                  <c:v>748.65315008932919</c:v>
                </c:pt>
                <c:pt idx="123">
                  <c:v>757.18475386959517</c:v>
                </c:pt>
                <c:pt idx="124">
                  <c:v>765.71440589266729</c:v>
                </c:pt>
                <c:pt idx="125">
                  <c:v>774.24213095759603</c:v>
                </c:pt>
                <c:pt idx="126">
                  <c:v>782.76795327280058</c:v>
                </c:pt>
                <c:pt idx="127">
                  <c:v>791.29189647655346</c:v>
                </c:pt>
                <c:pt idx="128">
                  <c:v>799.81398365653479</c:v>
                </c:pt>
                <c:pt idx="129">
                  <c:v>808.33423736851239</c:v>
                </c:pt>
                <c:pt idx="130">
                  <c:v>816.85267965419155</c:v>
                </c:pt>
                <c:pt idx="131">
                  <c:v>639.59038670342318</c:v>
                </c:pt>
                <c:pt idx="132">
                  <c:v>647.33433222460849</c:v>
                </c:pt>
                <c:pt idx="133">
                  <c:v>655.07636694999781</c:v>
                </c:pt>
                <c:pt idx="134">
                  <c:v>662.81651664582557</c:v>
                </c:pt>
                <c:pt idx="135">
                  <c:v>670.55480642750706</c:v>
                </c:pt>
                <c:pt idx="136">
                  <c:v>678.29126078355807</c:v>
                </c:pt>
                <c:pt idx="137">
                  <c:v>686.02590359836915</c:v>
                </c:pt>
                <c:pt idx="138">
                  <c:v>693.7587581738976</c:v>
                </c:pt>
                <c:pt idx="139">
                  <c:v>701.48984725034506</c:v>
                </c:pt>
                <c:pt idx="140">
                  <c:v>709.21919302587401</c:v>
                </c:pt>
                <c:pt idx="141">
                  <c:v>716.33680368243961</c:v>
                </c:pt>
                <c:pt idx="142">
                  <c:v>723.45297038005356</c:v>
                </c:pt>
                <c:pt idx="143">
                  <c:v>730.5677093227813</c:v>
                </c:pt>
                <c:pt idx="144">
                  <c:v>737.68103637339038</c:v>
                </c:pt>
                <c:pt idx="145">
                  <c:v>744.79296706383138</c:v>
                </c:pt>
                <c:pt idx="146">
                  <c:v>751.90351660529711</c:v>
                </c:pt>
                <c:pt idx="147">
                  <c:v>759.01269989788318</c:v>
                </c:pt>
                <c:pt idx="148">
                  <c:v>766.12053153986801</c:v>
                </c:pt>
                <c:pt idx="149">
                  <c:v>773.22702583662794</c:v>
                </c:pt>
                <c:pt idx="150">
                  <c:v>780.33219680921172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143328"/>
        <c:axId val="133138976"/>
      </c:scatterChart>
      <c:valAx>
        <c:axId val="133143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138976"/>
        <c:crosses val="autoZero"/>
        <c:crossBetween val="midCat"/>
      </c:valAx>
      <c:valAx>
        <c:axId val="1331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143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07280"/>
        <c:axId val="93508368"/>
      </c:scatterChart>
      <c:valAx>
        <c:axId val="93507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508368"/>
        <c:crosses val="autoZero"/>
        <c:crossBetween val="midCat"/>
      </c:valAx>
      <c:valAx>
        <c:axId val="9350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507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56.52447903948589</c:v>
                </c:pt>
                <c:pt idx="12">
                  <c:v>80.282222775950217</c:v>
                </c:pt>
                <c:pt idx="13">
                  <c:v>103.85987935040144</c:v>
                </c:pt>
                <c:pt idx="14">
                  <c:v>127.30454982664817</c:v>
                </c:pt>
                <c:pt idx="15">
                  <c:v>150.64430700221428</c:v>
                </c:pt>
                <c:pt idx="16">
                  <c:v>176.12349999795001</c:v>
                </c:pt>
                <c:pt idx="17">
                  <c:v>201.51606614204607</c:v>
                </c:pt>
                <c:pt idx="18">
                  <c:v>226.83446508061607</c:v>
                </c:pt>
                <c:pt idx="19">
                  <c:v>252.08814071355724</c:v>
                </c:pt>
                <c:pt idx="20">
                  <c:v>277.28448730625308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292.06304355226109</c:v>
                </c:pt>
                <c:pt idx="27">
                  <c:v>317.80748372626414</c:v>
                </c:pt>
                <c:pt idx="28">
                  <c:v>343.50574897575711</c:v>
                </c:pt>
                <c:pt idx="29">
                  <c:v>369.1617766055079</c:v>
                </c:pt>
                <c:pt idx="30">
                  <c:v>394.77891215703033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402.89377269433447</c:v>
                </c:pt>
                <c:pt idx="37">
                  <c:v>423.47734098430971</c:v>
                </c:pt>
                <c:pt idx="38">
                  <c:v>444.03938378997123</c:v>
                </c:pt>
                <c:pt idx="39">
                  <c:v>464.58103743235523</c:v>
                </c:pt>
                <c:pt idx="40">
                  <c:v>485.1033296147063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461.46993442600098</c:v>
                </c:pt>
                <c:pt idx="47">
                  <c:v>476.71012480781616</c:v>
                </c:pt>
                <c:pt idx="48">
                  <c:v>491.93995497491886</c:v>
                </c:pt>
                <c:pt idx="49">
                  <c:v>507.15979072537579</c:v>
                </c:pt>
                <c:pt idx="50">
                  <c:v>522.36997411983327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525.78321150537045</c:v>
                </c:pt>
                <c:pt idx="57">
                  <c:v>536.95056152521329</c:v>
                </c:pt>
                <c:pt idx="58">
                  <c:v>548.11303082368011</c:v>
                </c:pt>
                <c:pt idx="59">
                  <c:v>559.27073279724766</c:v>
                </c:pt>
                <c:pt idx="60">
                  <c:v>570.42377594938625</c:v>
                </c:pt>
                <c:pt idx="61">
                  <c:v>525.78321150537022</c:v>
                </c:pt>
                <c:pt idx="62">
                  <c:v>535.39983518939096</c:v>
                </c:pt>
                <c:pt idx="63">
                  <c:v>545.01282786340209</c:v>
                </c:pt>
                <c:pt idx="64">
                  <c:v>554.6222626038342</c:v>
                </c:pt>
                <c:pt idx="65">
                  <c:v>564.22820974827573</c:v>
                </c:pt>
                <c:pt idx="66">
                  <c:v>572.28217089474106</c:v>
                </c:pt>
                <c:pt idx="67">
                  <c:v>580.33376507974242</c:v>
                </c:pt>
                <c:pt idx="68">
                  <c:v>588.38302977723811</c:v>
                </c:pt>
                <c:pt idx="69">
                  <c:v>596.43000135215584</c:v>
                </c:pt>
                <c:pt idx="70">
                  <c:v>604.47471510805701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600.14322462115194</c:v>
                </c:pt>
                <c:pt idx="77">
                  <c:v>606.64021826894862</c:v>
                </c:pt>
                <c:pt idx="78">
                  <c:v>613.13576728889359</c:v>
                </c:pt>
                <c:pt idx="79">
                  <c:v>619.62988914662867</c:v>
                </c:pt>
                <c:pt idx="80">
                  <c:v>626.12260091177257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09456"/>
        <c:axId val="93508912"/>
      </c:scatterChart>
      <c:valAx>
        <c:axId val="93509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508912"/>
        <c:crosses val="autoZero"/>
        <c:crossBetween val="midCat"/>
      </c:valAx>
      <c:valAx>
        <c:axId val="9350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509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27.345220255102358</c:v>
                </c:pt>
                <c:pt idx="12">
                  <c:v>37.432463952525062</c:v>
                </c:pt>
                <c:pt idx="13">
                  <c:v>47.445001472262504</c:v>
                </c:pt>
                <c:pt idx="14">
                  <c:v>57.400994138954132</c:v>
                </c:pt>
                <c:pt idx="15">
                  <c:v>67.311695544212839</c:v>
                </c:pt>
                <c:pt idx="16">
                  <c:v>84.712794136987995</c:v>
                </c:pt>
                <c:pt idx="17">
                  <c:v>102.02343949799173</c:v>
                </c:pt>
                <c:pt idx="18">
                  <c:v>119.26121337444529</c:v>
                </c:pt>
                <c:pt idx="19">
                  <c:v>136.43816057705777</c:v>
                </c:pt>
                <c:pt idx="20">
                  <c:v>153.56302988078727</c:v>
                </c:pt>
                <c:pt idx="21">
                  <c:v>167.22993767644601</c:v>
                </c:pt>
                <c:pt idx="22">
                  <c:v>180.87049769568827</c:v>
                </c:pt>
                <c:pt idx="23">
                  <c:v>194.48697803189245</c:v>
                </c:pt>
                <c:pt idx="24">
                  <c:v>208.08130286734146</c:v>
                </c:pt>
                <c:pt idx="25">
                  <c:v>221.65512417668984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245.08225003541108</c:v>
                </c:pt>
                <c:pt idx="32">
                  <c:v>257.19884285520715</c:v>
                </c:pt>
                <c:pt idx="33">
                  <c:v>269.30253071627453</c:v>
                </c:pt>
                <c:pt idx="34">
                  <c:v>281.39397560428034</c:v>
                </c:pt>
                <c:pt idx="35">
                  <c:v>293.47377793906497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291.22722867703152</c:v>
                </c:pt>
                <c:pt idx="42">
                  <c:v>301.61432492529298</c:v>
                </c:pt>
                <c:pt idx="43">
                  <c:v>311.99345994696824</c:v>
                </c:pt>
                <c:pt idx="44">
                  <c:v>322.36493607230227</c:v>
                </c:pt>
                <c:pt idx="45">
                  <c:v>332.72903457884462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317.88089480903892</c:v>
                </c:pt>
                <c:pt idx="52">
                  <c:v>326.84759797683068</c:v>
                </c:pt>
                <c:pt idx="53">
                  <c:v>335.80886953875768</c:v>
                </c:pt>
                <c:pt idx="54">
                  <c:v>344.76487498038233</c:v>
                </c:pt>
                <c:pt idx="55">
                  <c:v>353.71577048208877</c:v>
                </c:pt>
                <c:pt idx="56">
                  <c:v>296.00068711359518</c:v>
                </c:pt>
                <c:pt idx="57">
                  <c:v>304.13970022013888</c:v>
                </c:pt>
                <c:pt idx="58">
                  <c:v>312.27386950303764</c:v>
                </c:pt>
                <c:pt idx="59">
                  <c:v>320.40333904330799</c:v>
                </c:pt>
                <c:pt idx="60">
                  <c:v>328.52824500736261</c:v>
                </c:pt>
                <c:pt idx="61">
                  <c:v>335.80886953875768</c:v>
                </c:pt>
                <c:pt idx="62">
                  <c:v>343.08601778170447</c:v>
                </c:pt>
                <c:pt idx="63">
                  <c:v>350.35977394062758</c:v>
                </c:pt>
                <c:pt idx="64">
                  <c:v>357.63021843517214</c:v>
                </c:pt>
                <c:pt idx="65">
                  <c:v>364.89742814550777</c:v>
                </c:pt>
                <c:pt idx="66">
                  <c:v>312.83467185841931</c:v>
                </c:pt>
                <c:pt idx="67">
                  <c:v>319.56257332567844</c:v>
                </c:pt>
                <c:pt idx="68">
                  <c:v>326.28733992743037</c:v>
                </c:pt>
                <c:pt idx="69">
                  <c:v>333.0090454577047</c:v>
                </c:pt>
                <c:pt idx="70">
                  <c:v>339.72776048524355</c:v>
                </c:pt>
                <c:pt idx="71">
                  <c:v>346.16378539221341</c:v>
                </c:pt>
                <c:pt idx="72">
                  <c:v>352.59718287003494</c:v>
                </c:pt>
                <c:pt idx="73">
                  <c:v>359.02800767063667</c:v>
                </c:pt>
                <c:pt idx="74">
                  <c:v>365.45631242252267</c:v>
                </c:pt>
                <c:pt idx="75">
                  <c:v>371.88214774985971</c:v>
                </c:pt>
                <c:pt idx="76">
                  <c:v>326.00720293449439</c:v>
                </c:pt>
                <c:pt idx="77">
                  <c:v>331.88897074380026</c:v>
                </c:pt>
                <c:pt idx="78">
                  <c:v>337.76844015494419</c:v>
                </c:pt>
                <c:pt idx="79">
                  <c:v>343.6456568677965</c:v>
                </c:pt>
                <c:pt idx="80">
                  <c:v>349.52066488969604</c:v>
                </c:pt>
                <c:pt idx="81">
                  <c:v>354.83428056807537</c:v>
                </c:pt>
                <c:pt idx="82">
                  <c:v>360.14615329066834</c:v>
                </c:pt>
                <c:pt idx="83">
                  <c:v>365.45631242252267</c:v>
                </c:pt>
                <c:pt idx="84">
                  <c:v>370.76478640470532</c:v>
                </c:pt>
                <c:pt idx="85">
                  <c:v>376.0716027964873</c:v>
                </c:pt>
                <c:pt idx="86">
                  <c:v>381.0976082607811</c:v>
                </c:pt>
                <c:pt idx="87">
                  <c:v>386.12217206095738</c:v>
                </c:pt>
                <c:pt idx="88">
                  <c:v>391.14531562543885</c:v>
                </c:pt>
                <c:pt idx="89">
                  <c:v>396.16705978676401</c:v>
                </c:pt>
                <c:pt idx="90">
                  <c:v>401.18742480567101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10000"/>
        <c:axId val="93510544"/>
      </c:scatterChart>
      <c:valAx>
        <c:axId val="93510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510544"/>
        <c:crosses val="autoZero"/>
        <c:crossBetween val="midCat"/>
      </c:valAx>
      <c:valAx>
        <c:axId val="9351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51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145.00665050019282</c:v>
                </c:pt>
                <c:pt idx="27">
                  <c:v>157.83692263801234</c:v>
                </c:pt>
                <c:pt idx="28">
                  <c:v>170.6424524976421</c:v>
                </c:pt>
                <c:pt idx="29">
                  <c:v>183.42535972935536</c:v>
                </c:pt>
                <c:pt idx="30">
                  <c:v>196.18744401776075</c:v>
                </c:pt>
                <c:pt idx="31">
                  <c:v>157.83692263801234</c:v>
                </c:pt>
                <c:pt idx="32">
                  <c:v>172.46992207510786</c:v>
                </c:pt>
                <c:pt idx="33">
                  <c:v>187.07372242622981</c:v>
                </c:pt>
                <c:pt idx="34">
                  <c:v>201.65092519188457</c:v>
                </c:pt>
                <c:pt idx="35">
                  <c:v>216.20372460175975</c:v>
                </c:pt>
                <c:pt idx="36">
                  <c:v>231.45994723108012</c:v>
                </c:pt>
                <c:pt idx="37">
                  <c:v>246.69319751240889</c:v>
                </c:pt>
                <c:pt idx="38">
                  <c:v>261.90509392198993</c:v>
                </c:pt>
                <c:pt idx="39">
                  <c:v>277.0970514904804</c:v>
                </c:pt>
                <c:pt idx="40">
                  <c:v>292.27031736625912</c:v>
                </c:pt>
                <c:pt idx="41">
                  <c:v>231.45994723108015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292.27031736625918</c:v>
                </c:pt>
                <c:pt idx="46">
                  <c:v>307.06534562328858</c:v>
                </c:pt>
                <c:pt idx="47">
                  <c:v>321.84453817650837</c:v>
                </c:pt>
                <c:pt idx="48">
                  <c:v>336.60872461695169</c:v>
                </c:pt>
                <c:pt idx="49">
                  <c:v>351.35865581477151</c:v>
                </c:pt>
                <c:pt idx="50">
                  <c:v>366.09501444973074</c:v>
                </c:pt>
                <c:pt idx="51">
                  <c:v>304.90122958502047</c:v>
                </c:pt>
                <c:pt idx="52">
                  <c:v>319.32234555972747</c:v>
                </c:pt>
                <c:pt idx="53">
                  <c:v>333.72904960580678</c:v>
                </c:pt>
                <c:pt idx="54">
                  <c:v>348.12205150612681</c:v>
                </c:pt>
                <c:pt idx="55">
                  <c:v>362.50199755720968</c:v>
                </c:pt>
                <c:pt idx="56">
                  <c:v>376.1513920342295</c:v>
                </c:pt>
                <c:pt idx="57">
                  <c:v>389.79000290566495</c:v>
                </c:pt>
                <c:pt idx="58">
                  <c:v>403.41826063463105</c:v>
                </c:pt>
                <c:pt idx="59">
                  <c:v>417.03656422780779</c:v>
                </c:pt>
                <c:pt idx="60">
                  <c:v>430.64528450788231</c:v>
                </c:pt>
                <c:pt idx="61">
                  <c:v>368.25045438962269</c:v>
                </c:pt>
                <c:pt idx="62">
                  <c:v>381.17737444442332</c:v>
                </c:pt>
                <c:pt idx="63">
                  <c:v>394.09476222315897</c:v>
                </c:pt>
                <c:pt idx="64">
                  <c:v>407.00297420734051</c:v>
                </c:pt>
                <c:pt idx="65">
                  <c:v>419.90234242068573</c:v>
                </c:pt>
                <c:pt idx="66">
                  <c:v>432.07723822137638</c:v>
                </c:pt>
                <c:pt idx="67">
                  <c:v>444.24476695077215</c:v>
                </c:pt>
                <c:pt idx="68">
                  <c:v>456.40515882712975</c:v>
                </c:pt>
                <c:pt idx="69">
                  <c:v>468.55863080015001</c:v>
                </c:pt>
                <c:pt idx="70">
                  <c:v>480.70538764731208</c:v>
                </c:pt>
                <c:pt idx="71">
                  <c:v>416.67831216352141</c:v>
                </c:pt>
                <c:pt idx="72">
                  <c:v>427.7810696781832</c:v>
                </c:pt>
                <c:pt idx="73">
                  <c:v>438.87763264294864</c:v>
                </c:pt>
                <c:pt idx="74">
                  <c:v>449.96817978008789</c:v>
                </c:pt>
                <c:pt idx="75">
                  <c:v>461.05288028198464</c:v>
                </c:pt>
                <c:pt idx="76">
                  <c:v>471.77459416013545</c:v>
                </c:pt>
                <c:pt idx="77">
                  <c:v>482.4911208700949</c:v>
                </c:pt>
                <c:pt idx="78">
                  <c:v>493.20259187340275</c:v>
                </c:pt>
                <c:pt idx="79">
                  <c:v>503.90913245527832</c:v>
                </c:pt>
                <c:pt idx="80">
                  <c:v>514.61086214265538</c:v>
                </c:pt>
                <c:pt idx="81">
                  <c:v>449.61051233832995</c:v>
                </c:pt>
                <c:pt idx="82">
                  <c:v>459.62291917328042</c:v>
                </c:pt>
                <c:pt idx="83">
                  <c:v>469.6306706784556</c:v>
                </c:pt>
                <c:pt idx="84">
                  <c:v>479.63388006306309</c:v>
                </c:pt>
                <c:pt idx="85">
                  <c:v>489.6326554281622</c:v>
                </c:pt>
                <c:pt idx="86">
                  <c:v>499.62710009899462</c:v>
                </c:pt>
                <c:pt idx="87">
                  <c:v>509.61731292933632</c:v>
                </c:pt>
                <c:pt idx="88">
                  <c:v>519.60338858074306</c:v>
                </c:pt>
                <c:pt idx="89">
                  <c:v>529.58541777921107</c:v>
                </c:pt>
                <c:pt idx="90">
                  <c:v>539.56348755148178</c:v>
                </c:pt>
                <c:pt idx="91">
                  <c:v>473.38240056334689</c:v>
                </c:pt>
                <c:pt idx="92">
                  <c:v>482.13398547834095</c:v>
                </c:pt>
                <c:pt idx="93">
                  <c:v>490.88219577778773</c:v>
                </c:pt>
                <c:pt idx="94">
                  <c:v>499.62710009899462</c:v>
                </c:pt>
                <c:pt idx="95">
                  <c:v>508.36876447997855</c:v>
                </c:pt>
                <c:pt idx="96">
                  <c:v>517.10725250186931</c:v>
                </c:pt>
                <c:pt idx="97">
                  <c:v>525.84262542118813</c:v>
                </c:pt>
                <c:pt idx="98">
                  <c:v>534.57494229287533</c:v>
                </c:pt>
                <c:pt idx="99">
                  <c:v>543.30426008486279</c:v>
                </c:pt>
                <c:pt idx="100">
                  <c:v>552.03063378489958</c:v>
                </c:pt>
                <c:pt idx="101">
                  <c:v>484.99091160498818</c:v>
                </c:pt>
                <c:pt idx="102">
                  <c:v>492.84562295362815</c:v>
                </c:pt>
                <c:pt idx="103">
                  <c:v>500.69768075588348</c:v>
                </c:pt>
                <c:pt idx="104">
                  <c:v>508.54713250848886</c:v>
                </c:pt>
                <c:pt idx="105">
                  <c:v>516.39402412186962</c:v>
                </c:pt>
                <c:pt idx="106">
                  <c:v>524.2383999969461</c:v>
                </c:pt>
                <c:pt idx="107">
                  <c:v>532.08030309710023</c:v>
                </c:pt>
                <c:pt idx="108">
                  <c:v>539.91977501567897</c:v>
                </c:pt>
                <c:pt idx="109">
                  <c:v>547.75685603937313</c:v>
                </c:pt>
                <c:pt idx="110">
                  <c:v>555.59158520777794</c:v>
                </c:pt>
                <c:pt idx="111">
                  <c:v>492.66713643818139</c:v>
                </c:pt>
                <c:pt idx="112">
                  <c:v>499.27022909127487</c:v>
                </c:pt>
                <c:pt idx="113">
                  <c:v>505.87147293953734</c:v>
                </c:pt>
                <c:pt idx="114">
                  <c:v>512.47089552301156</c:v>
                </c:pt>
                <c:pt idx="115">
                  <c:v>519.06852361425183</c:v>
                </c:pt>
                <c:pt idx="116">
                  <c:v>525.66438324941146</c:v>
                </c:pt>
                <c:pt idx="117">
                  <c:v>532.25849975768563</c:v>
                </c:pt>
                <c:pt idx="118">
                  <c:v>538.85089778922088</c:v>
                </c:pt>
                <c:pt idx="119">
                  <c:v>545.44160134158631</c:v>
                </c:pt>
                <c:pt idx="120">
                  <c:v>552.0306337848989</c:v>
                </c:pt>
                <c:pt idx="121">
                  <c:v>495.34429051823003</c:v>
                </c:pt>
                <c:pt idx="122">
                  <c:v>501.05453020073833</c:v>
                </c:pt>
                <c:pt idx="123">
                  <c:v>506.76339263133724</c:v>
                </c:pt>
                <c:pt idx="124">
                  <c:v>512.47089552301134</c:v>
                </c:pt>
                <c:pt idx="125">
                  <c:v>518.17705616178876</c:v>
                </c:pt>
                <c:pt idx="126">
                  <c:v>523.88189142172769</c:v>
                </c:pt>
                <c:pt idx="127">
                  <c:v>529.58541777920993</c:v>
                </c:pt>
                <c:pt idx="128">
                  <c:v>535.28765132659282</c:v>
                </c:pt>
                <c:pt idx="129">
                  <c:v>540.98860778524329</c:v>
                </c:pt>
                <c:pt idx="130">
                  <c:v>546.68830251799761</c:v>
                </c:pt>
                <c:pt idx="131">
                  <c:v>496.23660698450158</c:v>
                </c:pt>
                <c:pt idx="132">
                  <c:v>501.0545302007381</c:v>
                </c:pt>
                <c:pt idx="133">
                  <c:v>505.87147293953677</c:v>
                </c:pt>
                <c:pt idx="134">
                  <c:v>510.68744586077599</c:v>
                </c:pt>
                <c:pt idx="135">
                  <c:v>515.50245940674063</c:v>
                </c:pt>
                <c:pt idx="136">
                  <c:v>520.31652380860351</c:v>
                </c:pt>
                <c:pt idx="137">
                  <c:v>525.12964909264781</c:v>
                </c:pt>
                <c:pt idx="138">
                  <c:v>529.94184508625449</c:v>
                </c:pt>
                <c:pt idx="139">
                  <c:v>534.75312142365681</c:v>
                </c:pt>
                <c:pt idx="140">
                  <c:v>539.56348755148042</c:v>
                </c:pt>
                <c:pt idx="141">
                  <c:v>495.70122118881187</c:v>
                </c:pt>
                <c:pt idx="142">
                  <c:v>499.98396570940122</c:v>
                </c:pt>
                <c:pt idx="143">
                  <c:v>504.26593363931647</c:v>
                </c:pt>
                <c:pt idx="144">
                  <c:v>508.54713250848772</c:v>
                </c:pt>
                <c:pt idx="145">
                  <c:v>512.82756970962453</c:v>
                </c:pt>
                <c:pt idx="146">
                  <c:v>517.10725250186795</c:v>
                </c:pt>
                <c:pt idx="147">
                  <c:v>521.38618801431301</c:v>
                </c:pt>
                <c:pt idx="148">
                  <c:v>525.66438324941055</c:v>
                </c:pt>
                <c:pt idx="149">
                  <c:v>529.94184508625403</c:v>
                </c:pt>
                <c:pt idx="150">
                  <c:v>534.21858028375061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0638576"/>
        <c:axId val="540639120"/>
      </c:scatterChart>
      <c:valAx>
        <c:axId val="540638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0639120"/>
        <c:crosses val="autoZero"/>
        <c:crossBetween val="midCat"/>
      </c:valAx>
      <c:valAx>
        <c:axId val="54063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0638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3.4130871648265626</c:v>
                </c:pt>
                <c:pt idx="2">
                  <c:v>4.8043740970995685</c:v>
                </c:pt>
                <c:pt idx="3">
                  <c:v>6.7652090161718945</c:v>
                </c:pt>
                <c:pt idx="4">
                  <c:v>9.5296727105244958</c:v>
                </c:pt>
                <c:pt idx="5">
                  <c:v>13.4284056996472</c:v>
                </c:pt>
                <c:pt idx="6">
                  <c:v>18.928574419492598</c:v>
                </c:pt>
                <c:pt idx="7">
                  <c:v>26.690430546823972</c:v>
                </c:pt>
                <c:pt idx="8">
                  <c:v>37.647371901364309</c:v>
                </c:pt>
                <c:pt idx="9">
                  <c:v>53.119296920722292</c:v>
                </c:pt>
                <c:pt idx="10">
                  <c:v>74.973134577968537</c:v>
                </c:pt>
                <c:pt idx="11">
                  <c:v>93.823736173164193</c:v>
                </c:pt>
                <c:pt idx="12">
                  <c:v>112.57946039802316</c:v>
                </c:pt>
                <c:pt idx="13">
                  <c:v>131.25840705010299</c:v>
                </c:pt>
                <c:pt idx="14">
                  <c:v>149.87306670214187</c:v>
                </c:pt>
                <c:pt idx="15">
                  <c:v>168.43255913514403</c:v>
                </c:pt>
                <c:pt idx="16">
                  <c:v>188.52844455779038</c:v>
                </c:pt>
                <c:pt idx="17">
                  <c:v>208.57437311352362</c:v>
                </c:pt>
                <c:pt idx="18">
                  <c:v>228.57582257279702</c:v>
                </c:pt>
                <c:pt idx="19">
                  <c:v>248.53723258621633</c:v>
                </c:pt>
                <c:pt idx="20">
                  <c:v>268.46227085543046</c:v>
                </c:pt>
                <c:pt idx="21">
                  <c:v>201.72181180305782</c:v>
                </c:pt>
                <c:pt idx="22">
                  <c:v>223.05328238775863</c:v>
                </c:pt>
                <c:pt idx="23">
                  <c:v>244.3379661940688</c:v>
                </c:pt>
                <c:pt idx="24">
                  <c:v>265.58051154513532</c:v>
                </c:pt>
                <c:pt idx="25">
                  <c:v>286.78476198270408</c:v>
                </c:pt>
                <c:pt idx="26">
                  <c:v>305.60345713341434</c:v>
                </c:pt>
                <c:pt idx="27">
                  <c:v>324.39639736202037</c:v>
                </c:pt>
                <c:pt idx="28">
                  <c:v>343.16528412168856</c:v>
                </c:pt>
                <c:pt idx="29">
                  <c:v>361.91161758462619</c:v>
                </c:pt>
                <c:pt idx="30">
                  <c:v>380.63672986290294</c:v>
                </c:pt>
                <c:pt idx="31">
                  <c:v>312.13161114118822</c:v>
                </c:pt>
                <c:pt idx="32">
                  <c:v>329.61232230094635</c:v>
                </c:pt>
                <c:pt idx="33">
                  <c:v>347.07258356837184</c:v>
                </c:pt>
                <c:pt idx="34">
                  <c:v>364.51356822165218</c:v>
                </c:pt>
                <c:pt idx="35">
                  <c:v>381.93632811977039</c:v>
                </c:pt>
                <c:pt idx="36">
                  <c:v>398.30314697033623</c:v>
                </c:pt>
                <c:pt idx="37">
                  <c:v>414.65540706108186</c:v>
                </c:pt>
                <c:pt idx="38">
                  <c:v>430.99376318273193</c:v>
                </c:pt>
                <c:pt idx="39">
                  <c:v>447.31881644657875</c:v>
                </c:pt>
                <c:pt idx="40">
                  <c:v>463.63112052410906</c:v>
                </c:pt>
                <c:pt idx="41">
                  <c:v>387.91324709332724</c:v>
                </c:pt>
                <c:pt idx="42">
                  <c:v>402.976677158359</c:v>
                </c:pt>
                <c:pt idx="43">
                  <c:v>418.02793185917494</c:v>
                </c:pt>
                <c:pt idx="44">
                  <c:v>433.0675112234249</c:v>
                </c:pt>
                <c:pt idx="45">
                  <c:v>448.09587772266883</c:v>
                </c:pt>
                <c:pt idx="46">
                  <c:v>462.33694677132854</c:v>
                </c:pt>
                <c:pt idx="47">
                  <c:v>476.5686595386033</c:v>
                </c:pt>
                <c:pt idx="48">
                  <c:v>490.79133472172794</c:v>
                </c:pt>
                <c:pt idx="49">
                  <c:v>505.00527104516328</c:v>
                </c:pt>
                <c:pt idx="50">
                  <c:v>519.21074905093985</c:v>
                </c:pt>
                <c:pt idx="51">
                  <c:v>445.76460713152147</c:v>
                </c:pt>
                <c:pt idx="52">
                  <c:v>458.97173258529011</c:v>
                </c:pt>
                <c:pt idx="53">
                  <c:v>472.17074594472109</c:v>
                </c:pt>
                <c:pt idx="54">
                  <c:v>485.36190589341726</c:v>
                </c:pt>
                <c:pt idx="55">
                  <c:v>498.54545590936368</c:v>
                </c:pt>
                <c:pt idx="56">
                  <c:v>511.20504934118662</c:v>
                </c:pt>
                <c:pt idx="57">
                  <c:v>523.85802243141688</c:v>
                </c:pt>
                <c:pt idx="58">
                  <c:v>536.504557585827</c:v>
                </c:pt>
                <c:pt idx="59">
                  <c:v>549.14482791140563</c:v>
                </c:pt>
                <c:pt idx="60">
                  <c:v>561.77899789802188</c:v>
                </c:pt>
                <c:pt idx="61">
                  <c:v>492.08386752016122</c:v>
                </c:pt>
                <c:pt idx="62">
                  <c:v>503.71344862501365</c:v>
                </c:pt>
                <c:pt idx="63">
                  <c:v>515.33735125988119</c:v>
                </c:pt>
                <c:pt idx="64">
                  <c:v>526.95572154952731</c:v>
                </c:pt>
                <c:pt idx="65">
                  <c:v>538.56869865033343</c:v>
                </c:pt>
                <c:pt idx="66">
                  <c:v>549.91852220545263</c:v>
                </c:pt>
                <c:pt idx="67">
                  <c:v>561.26343487961321</c:v>
                </c:pt>
                <c:pt idx="68">
                  <c:v>572.60354991291615</c:v>
                </c:pt>
                <c:pt idx="69">
                  <c:v>583.93897569516923</c:v>
                </c:pt>
                <c:pt idx="70">
                  <c:v>595.26981606574464</c:v>
                </c:pt>
                <c:pt idx="71">
                  <c:v>527.47196738359719</c:v>
                </c:pt>
                <c:pt idx="72">
                  <c:v>538.31069012361684</c:v>
                </c:pt>
                <c:pt idx="73">
                  <c:v>549.1448279114054</c:v>
                </c:pt>
                <c:pt idx="74">
                  <c:v>559.9744839473517</c:v>
                </c:pt>
                <c:pt idx="75">
                  <c:v>570.79975711503005</c:v>
                </c:pt>
                <c:pt idx="76">
                  <c:v>580.84795497698917</c:v>
                </c:pt>
                <c:pt idx="77">
                  <c:v>590.89252850746846</c:v>
                </c:pt>
                <c:pt idx="78">
                  <c:v>600.93354799553492</c:v>
                </c:pt>
                <c:pt idx="79">
                  <c:v>610.97108119006703</c:v>
                </c:pt>
                <c:pt idx="80">
                  <c:v>621.00519343266831</c:v>
                </c:pt>
                <c:pt idx="81">
                  <c:v>557.39639558683109</c:v>
                </c:pt>
                <c:pt idx="82">
                  <c:v>567.19181377687858</c:v>
                </c:pt>
                <c:pt idx="83">
                  <c:v>576.98369633157097</c:v>
                </c:pt>
                <c:pt idx="84">
                  <c:v>586.77211170988369</c:v>
                </c:pt>
                <c:pt idx="85">
                  <c:v>596.55712590064229</c:v>
                </c:pt>
                <c:pt idx="86">
                  <c:v>605.82405966879526</c:v>
                </c:pt>
                <c:pt idx="87">
                  <c:v>615.08805026551101</c:v>
                </c:pt>
                <c:pt idx="88">
                  <c:v>624.34914826445959</c:v>
                </c:pt>
                <c:pt idx="89">
                  <c:v>633.60740261677813</c:v>
                </c:pt>
                <c:pt idx="90">
                  <c:v>642.86286072658129</c:v>
                </c:pt>
                <c:pt idx="91">
                  <c:v>583.16625256864143</c:v>
                </c:pt>
                <c:pt idx="92">
                  <c:v>591.66503992230582</c:v>
                </c:pt>
                <c:pt idx="93">
                  <c:v>600.16128650316261</c:v>
                </c:pt>
                <c:pt idx="94">
                  <c:v>608.65503335239634</c:v>
                </c:pt>
                <c:pt idx="95">
                  <c:v>617.14632027231721</c:v>
                </c:pt>
                <c:pt idx="96">
                  <c:v>625.63518588065665</c:v>
                </c:pt>
                <c:pt idx="97">
                  <c:v>634.12166766175994</c:v>
                </c:pt>
                <c:pt idx="98">
                  <c:v>642.60580201490109</c:v>
                </c:pt>
                <c:pt idx="99">
                  <c:v>651.08762429990782</c:v>
                </c:pt>
                <c:pt idx="100">
                  <c:v>659.56716888029302</c:v>
                </c:pt>
                <c:pt idx="101">
                  <c:v>604.40846987820373</c:v>
                </c:pt>
                <c:pt idx="102">
                  <c:v>612.25769566680549</c:v>
                </c:pt>
                <c:pt idx="103">
                  <c:v>620.10483425264681</c:v>
                </c:pt>
                <c:pt idx="104">
                  <c:v>627.94991577370808</c:v>
                </c:pt>
                <c:pt idx="105">
                  <c:v>635.79296955350742</c:v>
                </c:pt>
                <c:pt idx="106">
                  <c:v>643.63402413310109</c:v>
                </c:pt>
                <c:pt idx="107">
                  <c:v>651.47310730144648</c:v>
                </c:pt>
                <c:pt idx="108">
                  <c:v>659.31024612422891</c:v>
                </c:pt>
                <c:pt idx="109">
                  <c:v>667.14546697124263</c:v>
                </c:pt>
                <c:pt idx="110">
                  <c:v>674.97879554242218</c:v>
                </c:pt>
                <c:pt idx="111">
                  <c:v>623.32027868436433</c:v>
                </c:pt>
                <c:pt idx="112">
                  <c:v>630.77879039314507</c:v>
                </c:pt>
                <c:pt idx="113">
                  <c:v>638.23547829769836</c:v>
                </c:pt>
                <c:pt idx="114">
                  <c:v>645.69036671138861</c:v>
                </c:pt>
                <c:pt idx="115">
                  <c:v>653.14347934036357</c:v>
                </c:pt>
                <c:pt idx="116">
                  <c:v>660.59483930562362</c:v>
                </c:pt>
                <c:pt idx="117">
                  <c:v>668.04446916404629</c:v>
                </c:pt>
                <c:pt idx="118">
                  <c:v>675.49239092842197</c:v>
                </c:pt>
                <c:pt idx="119">
                  <c:v>682.93862608656173</c:v>
                </c:pt>
                <c:pt idx="120">
                  <c:v>690.38319561952812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0640752"/>
        <c:axId val="540641296"/>
      </c:scatterChart>
      <c:valAx>
        <c:axId val="5406407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0641296"/>
        <c:crosses val="autoZero"/>
        <c:crossBetween val="midCat"/>
      </c:valAx>
      <c:valAx>
        <c:axId val="54064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0640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61.195253174133917</c:v>
                </c:pt>
                <c:pt idx="12">
                  <c:v>86.922427376470623</c:v>
                </c:pt>
                <c:pt idx="13">
                  <c:v>112.45603690749546</c:v>
                </c:pt>
                <c:pt idx="14">
                  <c:v>137.8467078186861</c:v>
                </c:pt>
                <c:pt idx="15">
                  <c:v>163.12461384238844</c:v>
                </c:pt>
                <c:pt idx="16">
                  <c:v>190.7204247411147</c:v>
                </c:pt>
                <c:pt idx="17">
                  <c:v>218.22312573751947</c:v>
                </c:pt>
                <c:pt idx="18">
                  <c:v>245.6461089428318</c:v>
                </c:pt>
                <c:pt idx="19">
                  <c:v>272.99952502719992</c:v>
                </c:pt>
                <c:pt idx="20">
                  <c:v>300.2913216340458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316.29913637651748</c:v>
                </c:pt>
                <c:pt idx="27">
                  <c:v>344.18528987135386</c:v>
                </c:pt>
                <c:pt idx="28">
                  <c:v>372.02181276517587</c:v>
                </c:pt>
                <c:pt idx="29">
                  <c:v>399.81293702596389</c:v>
                </c:pt>
                <c:pt idx="30">
                  <c:v>427.56225857158461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436.35260587576499</c:v>
                </c:pt>
                <c:pt idx="37">
                  <c:v>458.64969689218088</c:v>
                </c:pt>
                <c:pt idx="38">
                  <c:v>480.92365148260507</c:v>
                </c:pt>
                <c:pt idx="39">
                  <c:v>503.17569100899021</c:v>
                </c:pt>
                <c:pt idx="40">
                  <c:v>525.40692008667054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499.80553357858707</c:v>
                </c:pt>
                <c:pt idx="47">
                  <c:v>516.31477524134391</c:v>
                </c:pt>
                <c:pt idx="48">
                  <c:v>532.81288134322483</c:v>
                </c:pt>
                <c:pt idx="49">
                  <c:v>549.30024505818972</c:v>
                </c:pt>
                <c:pt idx="50">
                  <c:v>565.77723404629694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569.47475955098764</c:v>
                </c:pt>
                <c:pt idx="57">
                  <c:v>581.57226419525421</c:v>
                </c:pt>
                <c:pt idx="58">
                  <c:v>593.66452285075354</c:v>
                </c:pt>
                <c:pt idx="59">
                  <c:v>605.75165740042155</c:v>
                </c:pt>
                <c:pt idx="60">
                  <c:v>617.83378446799804</c:v>
                </c:pt>
                <c:pt idx="61">
                  <c:v>569.47475955098764</c:v>
                </c:pt>
                <c:pt idx="62">
                  <c:v>579.89237175720086</c:v>
                </c:pt>
                <c:pt idx="63">
                  <c:v>590.30608121292823</c:v>
                </c:pt>
                <c:pt idx="64">
                  <c:v>600.71596646355397</c:v>
                </c:pt>
                <c:pt idx="65">
                  <c:v>611.12210311064734</c:v>
                </c:pt>
                <c:pt idx="66">
                  <c:v>619.84699338591429</c:v>
                </c:pt>
                <c:pt idx="67">
                  <c:v>628.5693395591328</c:v>
                </c:pt>
                <c:pt idx="68">
                  <c:v>637.289181908768</c:v>
                </c:pt>
                <c:pt idx="69">
                  <c:v>646.0065595212551</c:v>
                </c:pt>
                <c:pt idx="70">
                  <c:v>654.72151034223214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650.02914381364155</c:v>
                </c:pt>
                <c:pt idx="77">
                  <c:v>657.06743340679509</c:v>
                </c:pt>
                <c:pt idx="78">
                  <c:v>664.10417025786398</c:v>
                </c:pt>
                <c:pt idx="79">
                  <c:v>671.13937313959877</c:v>
                </c:pt>
                <c:pt idx="80">
                  <c:v>678.17306039908749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141696"/>
        <c:axId val="133140064"/>
      </c:scatterChart>
      <c:valAx>
        <c:axId val="133141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140064"/>
        <c:crosses val="autoZero"/>
        <c:crossBetween val="midCat"/>
      </c:valAx>
      <c:valAx>
        <c:axId val="13314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141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2.563317265587385</c:v>
                </c:pt>
                <c:pt idx="2">
                  <c:v>2.9931242698209175</c:v>
                </c:pt>
                <c:pt idx="3">
                  <c:v>3.495262379874847</c:v>
                </c:pt>
                <c:pt idx="4">
                  <c:v>4.0819457908313188</c:v>
                </c:pt>
                <c:pt idx="5">
                  <c:v>4.767457867928365</c:v>
                </c:pt>
                <c:pt idx="6">
                  <c:v>5.5685027236698934</c:v>
                </c:pt>
                <c:pt idx="7">
                  <c:v>6.5046166966546997</c:v>
                </c:pt>
                <c:pt idx="8">
                  <c:v>7.5986499639953875</c:v>
                </c:pt>
                <c:pt idx="9">
                  <c:v>8.8773302709534629</c:v>
                </c:pt>
                <c:pt idx="10">
                  <c:v>10.371922813713566</c:v>
                </c:pt>
                <c:pt idx="11">
                  <c:v>12.119002715718514</c:v>
                </c:pt>
                <c:pt idx="12">
                  <c:v>14.161359355243766</c:v>
                </c:pt>
                <c:pt idx="13">
                  <c:v>16.549055102890339</c:v>
                </c:pt>
                <c:pt idx="14">
                  <c:v>19.34066489563363</c:v>
                </c:pt>
                <c:pt idx="15">
                  <c:v>22.604727606533277</c:v>
                </c:pt>
                <c:pt idx="16">
                  <c:v>26.421445480550759</c:v>
                </c:pt>
                <c:pt idx="17">
                  <c:v>30.884674131214894</c:v>
                </c:pt>
                <c:pt idx="18">
                  <c:v>36.104252887315027</c:v>
                </c:pt>
                <c:pt idx="19">
                  <c:v>42.208733827691781</c:v>
                </c:pt>
                <c:pt idx="20">
                  <c:v>49.348577861626978</c:v>
                </c:pt>
                <c:pt idx="21">
                  <c:v>57.699897955682388</c:v>
                </c:pt>
                <c:pt idx="22">
                  <c:v>67.468843372192154</c:v>
                </c:pt>
                <c:pt idx="23">
                  <c:v>78.896734918347235</c:v>
                </c:pt>
                <c:pt idx="24">
                  <c:v>92.266080116422515</c:v>
                </c:pt>
                <c:pt idx="25">
                  <c:v>107.90761937422224</c:v>
                </c:pt>
                <c:pt idx="26">
                  <c:v>126.20858022201269</c:v>
                </c:pt>
                <c:pt idx="27">
                  <c:v>147.62234714684953</c:v>
                </c:pt>
                <c:pt idx="28">
                  <c:v>148.24496805506811</c:v>
                </c:pt>
                <c:pt idx="29">
                  <c:v>171.24037882872651</c:v>
                </c:pt>
                <c:pt idx="30">
                  <c:v>194.16304064471555</c:v>
                </c:pt>
                <c:pt idx="31">
                  <c:v>196.32800949959145</c:v>
                </c:pt>
                <c:pt idx="32">
                  <c:v>222.57460194352402</c:v>
                </c:pt>
                <c:pt idx="33">
                  <c:v>248.75016451475827</c:v>
                </c:pt>
                <c:pt idx="34">
                  <c:v>274.86322161173609</c:v>
                </c:pt>
                <c:pt idx="35">
                  <c:v>300.92054389894366</c:v>
                </c:pt>
                <c:pt idx="36">
                  <c:v>326.9276331083118</c:v>
                </c:pt>
                <c:pt idx="37">
                  <c:v>244.44339805963327</c:v>
                </c:pt>
                <c:pt idx="38">
                  <c:v>272.40799274231136</c:v>
                </c:pt>
                <c:pt idx="39">
                  <c:v>300.30802702917384</c:v>
                </c:pt>
                <c:pt idx="40">
                  <c:v>328.1503383149593</c:v>
                </c:pt>
                <c:pt idx="41">
                  <c:v>355.94050870298332</c:v>
                </c:pt>
                <c:pt idx="42">
                  <c:v>383.6831775834537</c:v>
                </c:pt>
                <c:pt idx="43">
                  <c:v>304.2888920593129</c:v>
                </c:pt>
                <c:pt idx="44">
                  <c:v>333.04015745702907</c:v>
                </c:pt>
                <c:pt idx="45">
                  <c:v>361.73671774155088</c:v>
                </c:pt>
                <c:pt idx="46">
                  <c:v>390.38351842752627</c:v>
                </c:pt>
                <c:pt idx="47">
                  <c:v>418.98472026564724</c:v>
                </c:pt>
                <c:pt idx="48">
                  <c:v>447.5438699506708</c:v>
                </c:pt>
                <c:pt idx="49">
                  <c:v>360.82166278303589</c:v>
                </c:pt>
                <c:pt idx="50">
                  <c:v>389.16546165993583</c:v>
                </c:pt>
                <c:pt idx="51">
                  <c:v>417.46446772037785</c:v>
                </c:pt>
                <c:pt idx="52">
                  <c:v>445.72214076928805</c:v>
                </c:pt>
                <c:pt idx="53">
                  <c:v>473.94146647365955</c:v>
                </c:pt>
                <c:pt idx="54">
                  <c:v>502.125046274314</c:v>
                </c:pt>
                <c:pt idx="55">
                  <c:v>412.59885500930062</c:v>
                </c:pt>
                <c:pt idx="56">
                  <c:v>439.6485541302448</c:v>
                </c:pt>
                <c:pt idx="57">
                  <c:v>466.66258036748872</c:v>
                </c:pt>
                <c:pt idx="58">
                  <c:v>493.64328668822759</c:v>
                </c:pt>
                <c:pt idx="59">
                  <c:v>520.59274811782768</c:v>
                </c:pt>
                <c:pt idx="60">
                  <c:v>547.51280754879247</c:v>
                </c:pt>
                <c:pt idx="61">
                  <c:v>461.70751193736891</c:v>
                </c:pt>
                <c:pt idx="62">
                  <c:v>486.77483940109096</c:v>
                </c:pt>
                <c:pt idx="63">
                  <c:v>511.81477745903248</c:v>
                </c:pt>
                <c:pt idx="64">
                  <c:v>536.82885307947356</c:v>
                </c:pt>
                <c:pt idx="65">
                  <c:v>561.81843946972958</c:v>
                </c:pt>
                <c:pt idx="66">
                  <c:v>586.78477784679262</c:v>
                </c:pt>
                <c:pt idx="67">
                  <c:v>611.72899531220708</c:v>
                </c:pt>
                <c:pt idx="68">
                  <c:v>636.65211966178947</c:v>
                </c:pt>
                <c:pt idx="69">
                  <c:v>661.55509175751888</c:v>
                </c:pt>
                <c:pt idx="70">
                  <c:v>532.19103450300565</c:v>
                </c:pt>
                <c:pt idx="71">
                  <c:v>554.96881965653654</c:v>
                </c:pt>
                <c:pt idx="72">
                  <c:v>577.72702726054183</c:v>
                </c:pt>
                <c:pt idx="73">
                  <c:v>600.46653622697943</c:v>
                </c:pt>
                <c:pt idx="74">
                  <c:v>623.18815354114236</c:v>
                </c:pt>
                <c:pt idx="75">
                  <c:v>645.89262260822341</c:v>
                </c:pt>
                <c:pt idx="76">
                  <c:v>668.58063036620888</c:v>
                </c:pt>
                <c:pt idx="77">
                  <c:v>691.25281338392233</c:v>
                </c:pt>
                <c:pt idx="78">
                  <c:v>713.90976311819611</c:v>
                </c:pt>
                <c:pt idx="79">
                  <c:v>665.16841660226919</c:v>
                </c:pt>
                <c:pt idx="80">
                  <c:v>686.8399721021666</c:v>
                </c:pt>
                <c:pt idx="81">
                  <c:v>708.49751068429669</c:v>
                </c:pt>
                <c:pt idx="82">
                  <c:v>730.14152063681968</c:v>
                </c:pt>
                <c:pt idx="83">
                  <c:v>751.77245897300372</c:v>
                </c:pt>
                <c:pt idx="84">
                  <c:v>773.39075429462139</c:v>
                </c:pt>
                <c:pt idx="85">
                  <c:v>794.09679639066474</c:v>
                </c:pt>
                <c:pt idx="86">
                  <c:v>814.79193114229065</c:v>
                </c:pt>
                <c:pt idx="87">
                  <c:v>835.47647425032699</c:v>
                </c:pt>
                <c:pt idx="88">
                  <c:v>856.15072452917377</c:v>
                </c:pt>
                <c:pt idx="89">
                  <c:v>876.81496520415214</c:v>
                </c:pt>
                <c:pt idx="90">
                  <c:v>897.46946508035228</c:v>
                </c:pt>
                <c:pt idx="91">
                  <c:v>917.81534306490391</c:v>
                </c:pt>
                <c:pt idx="92">
                  <c:v>938.15224136386041</c:v>
                </c:pt>
                <c:pt idx="93">
                  <c:v>958.48038177822752</c:v>
                </c:pt>
                <c:pt idx="94">
                  <c:v>978.79997594718259</c:v>
                </c:pt>
                <c:pt idx="95">
                  <c:v>999.11122601914394</c:v>
                </c:pt>
                <c:pt idx="96">
                  <c:v>1019.4143252655093</c:v>
                </c:pt>
                <c:pt idx="97">
                  <c:v>1039.7094586430337</c:v>
                </c:pt>
                <c:pt idx="98">
                  <c:v>1059.9968033100852</c:v>
                </c:pt>
                <c:pt idx="99">
                  <c:v>1080.2765291013793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142240"/>
        <c:axId val="133142784"/>
      </c:scatterChart>
      <c:valAx>
        <c:axId val="133142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142784"/>
        <c:crosses val="autoZero"/>
        <c:crossBetween val="midCat"/>
      </c:valAx>
      <c:valAx>
        <c:axId val="1331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142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2.5051793880464022</c:v>
                </c:pt>
                <c:pt idx="2">
                  <c:v>3.624379518797646</c:v>
                </c:pt>
                <c:pt idx="3">
                  <c:v>5.245804396463571</c:v>
                </c:pt>
                <c:pt idx="4">
                  <c:v>7.5957538995022098</c:v>
                </c:pt>
                <c:pt idx="5">
                  <c:v>11.002889067654728</c:v>
                </c:pt>
                <c:pt idx="6">
                  <c:v>15.94469618571255</c:v>
                </c:pt>
                <c:pt idx="7">
                  <c:v>23.115110018714589</c:v>
                </c:pt>
                <c:pt idx="8">
                  <c:v>33.522960010987198</c:v>
                </c:pt>
                <c:pt idx="9">
                  <c:v>48.635328574767534</c:v>
                </c:pt>
                <c:pt idx="10">
                  <c:v>70.586367176528725</c:v>
                </c:pt>
                <c:pt idx="11">
                  <c:v>86.750565269587057</c:v>
                </c:pt>
                <c:pt idx="12">
                  <c:v>102.83879803340767</c:v>
                </c:pt>
                <c:pt idx="13">
                  <c:v>118.86466834612668</c:v>
                </c:pt>
                <c:pt idx="14">
                  <c:v>134.83778772804266</c:v>
                </c:pt>
                <c:pt idx="15">
                  <c:v>150.76529438308779</c:v>
                </c:pt>
                <c:pt idx="16">
                  <c:v>167.58609180073498</c:v>
                </c:pt>
                <c:pt idx="17">
                  <c:v>184.36706165947314</c:v>
                </c:pt>
                <c:pt idx="18">
                  <c:v>201.11234096493192</c:v>
                </c:pt>
                <c:pt idx="19">
                  <c:v>217.82532057738877</c:v>
                </c:pt>
                <c:pt idx="20">
                  <c:v>234.50882798734798</c:v>
                </c:pt>
                <c:pt idx="21">
                  <c:v>179.89578175515399</c:v>
                </c:pt>
                <c:pt idx="22">
                  <c:v>195.90630603165638</c:v>
                </c:pt>
                <c:pt idx="23">
                  <c:v>211.88644040662157</c:v>
                </c:pt>
                <c:pt idx="24">
                  <c:v>227.8388000501443</c:v>
                </c:pt>
                <c:pt idx="25">
                  <c:v>243.7656037181774</c:v>
                </c:pt>
                <c:pt idx="26">
                  <c:v>258.55996582862014</c:v>
                </c:pt>
                <c:pt idx="27">
                  <c:v>273.33520033559711</c:v>
                </c:pt>
                <c:pt idx="28">
                  <c:v>288.09248690720159</c:v>
                </c:pt>
                <c:pt idx="29">
                  <c:v>302.83287445261459</c:v>
                </c:pt>
                <c:pt idx="30">
                  <c:v>317.55730140999771</c:v>
                </c:pt>
                <c:pt idx="31">
                  <c:v>266.68863313173614</c:v>
                </c:pt>
                <c:pt idx="32">
                  <c:v>280.34708223777625</c:v>
                </c:pt>
                <c:pt idx="33">
                  <c:v>293.99061497304456</c:v>
                </c:pt>
                <c:pt idx="34">
                  <c:v>307.62002121541275</c:v>
                </c:pt>
                <c:pt idx="35">
                  <c:v>321.23601511616613</c:v>
                </c:pt>
                <c:pt idx="36">
                  <c:v>333.9204979335957</c:v>
                </c:pt>
                <c:pt idx="37">
                  <c:v>346.59436515417241</c:v>
                </c:pt>
                <c:pt idx="38">
                  <c:v>359.25805972164727</c:v>
                </c:pt>
                <c:pt idx="39">
                  <c:v>371.91199079793336</c:v>
                </c:pt>
                <c:pt idx="40">
                  <c:v>384.55653742563442</c:v>
                </c:pt>
                <c:pt idx="41">
                  <c:v>334.83924533009798</c:v>
                </c:pt>
                <c:pt idx="42">
                  <c:v>346.59436515417241</c:v>
                </c:pt>
                <c:pt idx="43">
                  <c:v>358.34073354376892</c:v>
                </c:pt>
                <c:pt idx="44">
                  <c:v>370.07867787425289</c:v>
                </c:pt>
                <c:pt idx="45">
                  <c:v>381.80850305381091</c:v>
                </c:pt>
                <c:pt idx="46">
                  <c:v>392.61498907746903</c:v>
                </c:pt>
                <c:pt idx="47">
                  <c:v>403.41502625243925</c:v>
                </c:pt>
                <c:pt idx="48">
                  <c:v>414.20881160657797</c:v>
                </c:pt>
                <c:pt idx="49">
                  <c:v>424.9965310587711</c:v>
                </c:pt>
                <c:pt idx="50">
                  <c:v>435.77836031740276</c:v>
                </c:pt>
                <c:pt idx="51">
                  <c:v>386.57149119930949</c:v>
                </c:pt>
                <c:pt idx="52">
                  <c:v>396.82592891778563</c:v>
                </c:pt>
                <c:pt idx="53">
                  <c:v>407.07462745738593</c:v>
                </c:pt>
                <c:pt idx="54">
                  <c:v>417.31775172696166</c:v>
                </c:pt>
                <c:pt idx="55">
                  <c:v>427.55545787700885</c:v>
                </c:pt>
                <c:pt idx="56">
                  <c:v>436.87449417629483</c:v>
                </c:pt>
                <c:pt idx="57">
                  <c:v>446.18926598986599</c:v>
                </c:pt>
                <c:pt idx="58">
                  <c:v>455.49987492646034</c:v>
                </c:pt>
                <c:pt idx="59">
                  <c:v>464.80641810082903</c:v>
                </c:pt>
                <c:pt idx="60">
                  <c:v>474.1089884204419</c:v>
                </c:pt>
                <c:pt idx="61">
                  <c:v>429.20030820600761</c:v>
                </c:pt>
                <c:pt idx="62">
                  <c:v>438.15324243063037</c:v>
                </c:pt>
                <c:pt idx="63">
                  <c:v>447.10225323882588</c:v>
                </c:pt>
                <c:pt idx="64">
                  <c:v>456.04743026253209</c:v>
                </c:pt>
                <c:pt idx="65">
                  <c:v>464.98885932943654</c:v>
                </c:pt>
                <c:pt idx="66">
                  <c:v>473.37951655772713</c:v>
                </c:pt>
                <c:pt idx="67">
                  <c:v>481.76700859297108</c:v>
                </c:pt>
                <c:pt idx="68">
                  <c:v>490.15139833039979</c:v>
                </c:pt>
                <c:pt idx="69">
                  <c:v>498.53274633730325</c:v>
                </c:pt>
                <c:pt idx="70">
                  <c:v>506.91111097773273</c:v>
                </c:pt>
                <c:pt idx="71">
                  <c:v>464.62397534491424</c:v>
                </c:pt>
                <c:pt idx="72">
                  <c:v>472.46764307020067</c:v>
                </c:pt>
                <c:pt idx="73">
                  <c:v>480.3085389126577</c:v>
                </c:pt>
                <c:pt idx="74">
                  <c:v>488.14671452261973</c:v>
                </c:pt>
                <c:pt idx="75">
                  <c:v>495.98221975577513</c:v>
                </c:pt>
                <c:pt idx="76">
                  <c:v>503.63297212422799</c:v>
                </c:pt>
                <c:pt idx="77">
                  <c:v>511.28126619569599</c:v>
                </c:pt>
                <c:pt idx="78">
                  <c:v>518.92714394285838</c:v>
                </c:pt>
                <c:pt idx="79">
                  <c:v>526.57064600025694</c:v>
                </c:pt>
                <c:pt idx="80">
                  <c:v>534.21181172618469</c:v>
                </c:pt>
                <c:pt idx="81">
                  <c:v>495.61783616373629</c:v>
                </c:pt>
                <c:pt idx="82">
                  <c:v>502.54015900432404</c:v>
                </c:pt>
                <c:pt idx="83">
                  <c:v>509.46046451409057</c:v>
                </c:pt>
                <c:pt idx="84">
                  <c:v>516.37878397247289</c:v>
                </c:pt>
                <c:pt idx="85">
                  <c:v>523.29514775204495</c:v>
                </c:pt>
                <c:pt idx="86">
                  <c:v>530.02765090640912</c:v>
                </c:pt>
                <c:pt idx="87">
                  <c:v>536.75835440954427</c:v>
                </c:pt>
                <c:pt idx="88">
                  <c:v>543.48728401958329</c:v>
                </c:pt>
                <c:pt idx="89">
                  <c:v>550.21446480458246</c:v>
                </c:pt>
                <c:pt idx="90">
                  <c:v>556.9399211694066</c:v>
                </c:pt>
                <c:pt idx="91">
                  <c:v>520.56523587504466</c:v>
                </c:pt>
                <c:pt idx="92">
                  <c:v>526.93456370623039</c:v>
                </c:pt>
                <c:pt idx="93">
                  <c:v>533.30227038661212</c:v>
                </c:pt>
                <c:pt idx="94">
                  <c:v>539.66837801147665</c:v>
                </c:pt>
                <c:pt idx="95">
                  <c:v>546.03290811209172</c:v>
                </c:pt>
                <c:pt idx="96">
                  <c:v>552.21410384502917</c:v>
                </c:pt>
                <c:pt idx="97">
                  <c:v>558.39384948566158</c:v>
                </c:pt>
                <c:pt idx="98">
                  <c:v>564.57216335171586</c:v>
                </c:pt>
                <c:pt idx="99">
                  <c:v>570.74906332716034</c:v>
                </c:pt>
                <c:pt idx="100">
                  <c:v>576.92456687716276</c:v>
                </c:pt>
                <c:pt idx="101">
                  <c:v>543.48728401958329</c:v>
                </c:pt>
                <c:pt idx="102">
                  <c:v>549.12368840232364</c:v>
                </c:pt>
                <c:pt idx="103">
                  <c:v>554.75887955393398</c:v>
                </c:pt>
                <c:pt idx="104">
                  <c:v>560.39287154217152</c:v>
                </c:pt>
                <c:pt idx="105">
                  <c:v>566.02567812873576</c:v>
                </c:pt>
                <c:pt idx="106">
                  <c:v>571.65731277897339</c:v>
                </c:pt>
                <c:pt idx="107">
                  <c:v>577.28778867118069</c:v>
                </c:pt>
                <c:pt idx="108">
                  <c:v>582.91711870552467</c:v>
                </c:pt>
                <c:pt idx="109">
                  <c:v>588.54531551260163</c:v>
                </c:pt>
                <c:pt idx="110">
                  <c:v>594.17239146165014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138432"/>
        <c:axId val="133141152"/>
      </c:scatterChart>
      <c:valAx>
        <c:axId val="133138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141152"/>
        <c:crosses val="autoZero"/>
        <c:crossBetween val="midCat"/>
      </c:valAx>
      <c:valAx>
        <c:axId val="13314115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138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80" zoomScaleNormal="80" workbookViewId="0">
      <selection activeCell="F253" sqref="F25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1.7050000000000001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0.23100000000000001</v>
      </c>
      <c r="D9" s="36">
        <f t="shared" ref="D9:D18" si="0">C9*$C$5</f>
        <v>0.39385500000000001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29</v>
      </c>
      <c r="C10" s="35">
        <v>0.11600000000000001</v>
      </c>
      <c r="D10" s="36">
        <f t="shared" si="0"/>
        <v>0.19778000000000001</v>
      </c>
      <c r="E10" s="37">
        <v>69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8</v>
      </c>
      <c r="C11" s="35">
        <v>0.11600000000000001</v>
      </c>
      <c r="D11" s="36">
        <f t="shared" si="0"/>
        <v>0.19778000000000001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4</v>
      </c>
      <c r="C12" s="35">
        <v>0.114</v>
      </c>
      <c r="D12" s="36">
        <f t="shared" si="0"/>
        <v>0.19437000000000001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11</v>
      </c>
      <c r="C13" s="35">
        <v>0.114</v>
      </c>
      <c r="D13" s="36">
        <f t="shared" si="0"/>
        <v>0.19437000000000001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6</v>
      </c>
      <c r="C14" s="35">
        <v>7.6999999999999999E-2</v>
      </c>
      <c r="D14" s="36">
        <f t="shared" si="0"/>
        <v>0.13128500000000001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23</v>
      </c>
      <c r="C15" s="35">
        <v>7.6999999999999999E-2</v>
      </c>
      <c r="D15" s="36">
        <f t="shared" si="0"/>
        <v>0.13128500000000001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25</v>
      </c>
      <c r="C16" s="35">
        <v>7.6999999999999999E-2</v>
      </c>
      <c r="D16" s="36">
        <f t="shared" si="0"/>
        <v>0.13128500000000001</v>
      </c>
      <c r="E16" s="37">
        <v>99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50</v>
      </c>
      <c r="C17" s="35">
        <v>3.9E-2</v>
      </c>
      <c r="D17" s="36">
        <f t="shared" si="0"/>
        <v>6.6494999999999999E-2</v>
      </c>
      <c r="E17" s="37">
        <v>110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1</v>
      </c>
      <c r="C18" s="35">
        <v>3.9E-2</v>
      </c>
      <c r="D18" s="36">
        <f t="shared" si="0"/>
        <v>6.6494999999999999E-2</v>
      </c>
      <c r="E18" s="37">
        <v>150</v>
      </c>
      <c r="F18" s="38" t="str">
        <f t="array" ref="F18">IF(E18="","",IF(INDEX(A:A,MAX(IF(ISNUMBER($A$270:$A$289),ROW($A$270:$A$289),"")))&lt;&gt;E18,"Corrigez : révolution incorrecte","OK"))</f>
        <v>OK</v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1.7050000000000003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f>67+6</f>
        <v>73</v>
      </c>
      <c r="C36" s="63"/>
      <c r="D36" s="63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f>75+6+28</f>
        <v>109</v>
      </c>
      <c r="C37" s="63">
        <v>1</v>
      </c>
      <c r="D37" s="63">
        <f>6+28</f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f>93+28</f>
        <v>121</v>
      </c>
      <c r="C38" s="63"/>
      <c r="D38" s="63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f>119+28+28</f>
        <v>175</v>
      </c>
      <c r="C39" s="63">
        <v>2</v>
      </c>
      <c r="D39" s="63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f>147+28</f>
        <v>175</v>
      </c>
      <c r="C40" s="63"/>
      <c r="D40" s="63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f>176+28+28</f>
        <v>232</v>
      </c>
      <c r="C41" s="63">
        <v>3</v>
      </c>
      <c r="D41" s="63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f>203+28</f>
        <v>231</v>
      </c>
      <c r="C42" s="63"/>
      <c r="D42" s="63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f>226+28+28</f>
        <v>282</v>
      </c>
      <c r="C43" s="63">
        <v>4</v>
      </c>
      <c r="D43" s="63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f>245+28</f>
        <v>273</v>
      </c>
      <c r="C44" s="63"/>
      <c r="D44" s="63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f>261+28+28</f>
        <v>317</v>
      </c>
      <c r="C45" s="63">
        <v>5</v>
      </c>
      <c r="D45" s="63">
        <f>28+28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f>274+28</f>
        <v>302</v>
      </c>
      <c r="C46" s="63"/>
      <c r="D46" s="63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f>284+28+28</f>
        <v>340</v>
      </c>
      <c r="C47" s="63">
        <v>6</v>
      </c>
      <c r="D47" s="63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f>292+28</f>
        <v>320</v>
      </c>
      <c r="C48" s="63"/>
      <c r="D48" s="63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f>302+28+28+28</f>
        <v>386</v>
      </c>
      <c r="C49" s="63">
        <v>7</v>
      </c>
      <c r="D49" s="63">
        <f>28+28+28</f>
        <v>84</v>
      </c>
      <c r="E49" s="54"/>
      <c r="F49" s="54"/>
      <c r="G49" s="54"/>
      <c r="H49" s="54"/>
      <c r="I49" s="52">
        <f t="shared" si="1"/>
        <v>6.6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100</v>
      </c>
      <c r="B50" s="53">
        <v>361</v>
      </c>
      <c r="C50" s="53"/>
      <c r="D50" s="53"/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110</v>
      </c>
      <c r="B51" s="53">
        <v>413</v>
      </c>
      <c r="C51" s="53">
        <v>8</v>
      </c>
      <c r="D51" s="53">
        <v>106</v>
      </c>
      <c r="E51" s="54"/>
      <c r="F51" s="54"/>
      <c r="G51" s="54"/>
      <c r="H51" s="54"/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120</v>
      </c>
      <c r="B52" s="53">
        <v>352</v>
      </c>
      <c r="C52" s="53"/>
      <c r="D52" s="53"/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130</v>
      </c>
      <c r="B53" s="53">
        <v>394</v>
      </c>
      <c r="C53" s="53">
        <v>9</v>
      </c>
      <c r="D53" s="53">
        <v>91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140</v>
      </c>
      <c r="B54" s="53">
        <v>341</v>
      </c>
      <c r="C54" s="53"/>
      <c r="D54" s="53"/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150</v>
      </c>
      <c r="B55" s="53">
        <v>376</v>
      </c>
      <c r="C55" s="53">
        <v>10</v>
      </c>
      <c r="D55" s="53">
        <v>376</v>
      </c>
      <c r="E55" s="54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Merisier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40</v>
      </c>
      <c r="C62" s="53"/>
      <c r="D62" s="63"/>
      <c r="E62" s="66"/>
      <c r="F62" s="66"/>
      <c r="G62" s="66"/>
      <c r="H62" s="66"/>
      <c r="I62" s="56">
        <f>IFERROR(B62/A62,"")</f>
        <v>2.6666666666666665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f>85+3</f>
        <v>88</v>
      </c>
      <c r="C63" s="53"/>
      <c r="D63" s="63"/>
      <c r="E63" s="66"/>
      <c r="F63" s="66"/>
      <c r="G63" s="66"/>
      <c r="H63" s="66"/>
      <c r="I63" s="52">
        <f>IF(A63&lt;&gt;0,(B63-(B62-D62))/(A63-A62),"")</f>
        <v>9.6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f>113+3+25</f>
        <v>141</v>
      </c>
      <c r="C64" s="53">
        <v>1</v>
      </c>
      <c r="D64" s="63">
        <f>3+25+27</f>
        <v>55</v>
      </c>
      <c r="E64" s="66"/>
      <c r="F64" s="66"/>
      <c r="G64" s="66"/>
      <c r="H64" s="66">
        <v>1</v>
      </c>
      <c r="I64" s="52">
        <f>IF(A64&lt;&gt;0,(B64-(B63-D63))/(A64-A63),"")</f>
        <v>10.6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8">
        <v>31</v>
      </c>
      <c r="B65" s="58">
        <v>155</v>
      </c>
      <c r="C65" s="58">
        <v>2</v>
      </c>
      <c r="D65" s="58">
        <v>36</v>
      </c>
      <c r="E65" s="66"/>
      <c r="F65" s="66"/>
      <c r="G65" s="66"/>
      <c r="H65" s="66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8">
        <v>37</v>
      </c>
      <c r="B66" s="58">
        <v>188</v>
      </c>
      <c r="C66" s="58">
        <v>3</v>
      </c>
      <c r="D66" s="58">
        <v>36</v>
      </c>
      <c r="E66" s="66"/>
      <c r="F66" s="66"/>
      <c r="G66" s="66"/>
      <c r="H66" s="66"/>
      <c r="I66" s="52">
        <f t="shared" ref="I66:I81" si="2">IF(A66&lt;&gt;0,(B66-(B65-D65))/(A66-A65),"")</f>
        <v>11.5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8">
        <v>44</v>
      </c>
      <c r="B67" s="58">
        <v>230</v>
      </c>
      <c r="C67" s="58">
        <v>4</v>
      </c>
      <c r="D67" s="58">
        <v>43</v>
      </c>
      <c r="E67" s="66"/>
      <c r="F67" s="66"/>
      <c r="G67" s="66"/>
      <c r="H67" s="66"/>
      <c r="I67" s="52">
        <f t="shared" si="2"/>
        <v>11.142857142857142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8">
        <v>52</v>
      </c>
      <c r="B68" s="58">
        <v>270</v>
      </c>
      <c r="C68" s="58">
        <v>5</v>
      </c>
      <c r="D68" s="58">
        <v>48</v>
      </c>
      <c r="E68" s="66"/>
      <c r="F68" s="66"/>
      <c r="G68" s="66"/>
      <c r="H68" s="66"/>
      <c r="I68" s="52">
        <f t="shared" si="2"/>
        <v>10.375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8">
        <v>60</v>
      </c>
      <c r="B69" s="58">
        <v>297</v>
      </c>
      <c r="C69" s="58">
        <v>6</v>
      </c>
      <c r="D69" s="58">
        <v>47</v>
      </c>
      <c r="E69" s="66"/>
      <c r="F69" s="66"/>
      <c r="G69" s="66"/>
      <c r="H69" s="66"/>
      <c r="I69" s="52">
        <f t="shared" si="2"/>
        <v>9.375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8">
        <v>69</v>
      </c>
      <c r="B70" s="58">
        <v>328</v>
      </c>
      <c r="C70" s="58">
        <v>7</v>
      </c>
      <c r="D70" s="58">
        <v>328</v>
      </c>
      <c r="E70" s="66"/>
      <c r="F70" s="66"/>
      <c r="G70" s="66"/>
      <c r="H70" s="66"/>
      <c r="I70" s="52">
        <f t="shared" si="2"/>
        <v>8.6666666666666661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Châtaignier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10</v>
      </c>
      <c r="B88" s="63">
        <v>19</v>
      </c>
      <c r="C88" s="63"/>
      <c r="D88" s="63"/>
      <c r="E88" s="54"/>
      <c r="F88" s="54"/>
      <c r="G88" s="54"/>
      <c r="H88" s="93"/>
      <c r="I88" s="56">
        <f>IFERROR(B88/A88,"")</f>
        <v>1.9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15</v>
      </c>
      <c r="B89" s="63">
        <f>85+7</f>
        <v>92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14.6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20</v>
      </c>
      <c r="B90" s="63">
        <f>123+7+42</f>
        <v>172</v>
      </c>
      <c r="C90" s="63">
        <v>1</v>
      </c>
      <c r="D90" s="63">
        <f>7+42+42</f>
        <v>91</v>
      </c>
      <c r="E90" s="93"/>
      <c r="F90" s="93"/>
      <c r="G90" s="93"/>
      <c r="H90" s="93">
        <v>1</v>
      </c>
      <c r="I90" s="56">
        <f t="shared" si="3"/>
        <v>16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25</v>
      </c>
      <c r="B91" s="63">
        <v>165</v>
      </c>
      <c r="C91" s="63"/>
      <c r="D91" s="63"/>
      <c r="E91" s="93"/>
      <c r="F91" s="93"/>
      <c r="G91" s="93"/>
      <c r="H91" s="93"/>
      <c r="I91" s="56">
        <f t="shared" si="3"/>
        <v>16.8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30</v>
      </c>
      <c r="B92" s="63">
        <f>205+42</f>
        <v>247</v>
      </c>
      <c r="C92" s="63">
        <v>2</v>
      </c>
      <c r="D92" s="63">
        <f>42+42</f>
        <v>84</v>
      </c>
      <c r="E92" s="93"/>
      <c r="F92" s="93"/>
      <c r="G92" s="93"/>
      <c r="H92" s="93">
        <v>1</v>
      </c>
      <c r="I92" s="56">
        <f t="shared" si="3"/>
        <v>16.399999999999999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35</v>
      </c>
      <c r="B93" s="63">
        <v>239</v>
      </c>
      <c r="C93" s="63"/>
      <c r="D93" s="63"/>
      <c r="E93" s="93"/>
      <c r="F93" s="93"/>
      <c r="G93" s="93"/>
      <c r="H93" s="93"/>
      <c r="I93" s="56">
        <f t="shared" si="3"/>
        <v>15.2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40</v>
      </c>
      <c r="B94" s="63">
        <f>263+42</f>
        <v>305</v>
      </c>
      <c r="C94" s="63">
        <v>3</v>
      </c>
      <c r="D94" s="63">
        <f>42+40</f>
        <v>82</v>
      </c>
      <c r="E94" s="93"/>
      <c r="F94" s="93"/>
      <c r="G94" s="93"/>
      <c r="H94" s="93"/>
      <c r="I94" s="56">
        <f t="shared" si="3"/>
        <v>13.2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45</v>
      </c>
      <c r="B95" s="63">
        <v>280</v>
      </c>
      <c r="C95" s="63"/>
      <c r="D95" s="63"/>
      <c r="E95" s="93"/>
      <c r="F95" s="93"/>
      <c r="G95" s="93"/>
      <c r="H95" s="93"/>
      <c r="I95" s="56">
        <f t="shared" si="3"/>
        <v>11.4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50</v>
      </c>
      <c r="B96" s="63">
        <f>303+26</f>
        <v>329</v>
      </c>
      <c r="C96" s="63">
        <v>4</v>
      </c>
      <c r="D96" s="63">
        <f>26+21</f>
        <v>47</v>
      </c>
      <c r="E96" s="93"/>
      <c r="F96" s="93"/>
      <c r="G96" s="93"/>
      <c r="H96" s="93"/>
      <c r="I96" s="56">
        <f t="shared" si="3"/>
        <v>9.8000000000000007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55</v>
      </c>
      <c r="B97" s="63">
        <v>324</v>
      </c>
      <c r="C97" s="63"/>
      <c r="D97" s="63"/>
      <c r="E97" s="93"/>
      <c r="F97" s="93"/>
      <c r="G97" s="93"/>
      <c r="H97" s="93"/>
      <c r="I97" s="56">
        <f t="shared" si="3"/>
        <v>8.4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60</v>
      </c>
      <c r="B98" s="63">
        <f>342+18</f>
        <v>360</v>
      </c>
      <c r="C98" s="63">
        <v>5</v>
      </c>
      <c r="D98" s="63">
        <f>18+17</f>
        <v>35</v>
      </c>
      <c r="E98" s="93"/>
      <c r="F98" s="93"/>
      <c r="G98" s="93"/>
      <c r="H98" s="93"/>
      <c r="I98" s="56">
        <f t="shared" si="3"/>
        <v>7.2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65</v>
      </c>
      <c r="B99" s="63">
        <v>356</v>
      </c>
      <c r="C99" s="63"/>
      <c r="D99" s="63"/>
      <c r="E99" s="93"/>
      <c r="F99" s="93"/>
      <c r="G99" s="93"/>
      <c r="H99" s="93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70</v>
      </c>
      <c r="B100" s="63">
        <f>366+16</f>
        <v>382</v>
      </c>
      <c r="C100" s="63">
        <v>6</v>
      </c>
      <c r="D100" s="63">
        <f>16+15</f>
        <v>31</v>
      </c>
      <c r="E100" s="68"/>
      <c r="F100" s="68"/>
      <c r="G100" s="68"/>
      <c r="H100" s="68"/>
      <c r="I100" s="56">
        <f t="shared" si="3"/>
        <v>5.2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75</v>
      </c>
      <c r="B101" s="63">
        <v>375</v>
      </c>
      <c r="C101" s="63"/>
      <c r="D101" s="63"/>
      <c r="E101" s="68"/>
      <c r="F101" s="68"/>
      <c r="G101" s="68"/>
      <c r="H101" s="68"/>
      <c r="I101" s="56">
        <f t="shared" si="3"/>
        <v>4.8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80</v>
      </c>
      <c r="B102" s="53">
        <v>396</v>
      </c>
      <c r="C102" s="63">
        <v>7</v>
      </c>
      <c r="D102" s="53">
        <v>396</v>
      </c>
      <c r="E102" s="57"/>
      <c r="F102" s="57"/>
      <c r="G102" s="57"/>
      <c r="H102" s="57"/>
      <c r="I102" s="56">
        <f t="shared" si="3"/>
        <v>4.2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Aulne glutineux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f>10+1</f>
        <v>11</v>
      </c>
      <c r="C114" s="53"/>
      <c r="D114" s="63"/>
      <c r="E114" s="54"/>
      <c r="F114" s="54"/>
      <c r="G114" s="54"/>
      <c r="H114" s="54"/>
      <c r="I114" s="56">
        <f>IFERROR(B114/A114,"")</f>
        <v>1.1000000000000001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f>40+1+4</f>
        <v>45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6.8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f>90+1+4+10</f>
        <v>105</v>
      </c>
      <c r="C116" s="53"/>
      <c r="D116" s="63"/>
      <c r="E116" s="54"/>
      <c r="F116" s="54"/>
      <c r="G116" s="54"/>
      <c r="H116" s="54"/>
      <c r="I116" s="56">
        <f t="shared" si="4"/>
        <v>12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f>117+1+4+10+21</f>
        <v>153</v>
      </c>
      <c r="C117" s="53">
        <v>1</v>
      </c>
      <c r="D117" s="63">
        <f>1+4+10+21</f>
        <v>36</v>
      </c>
      <c r="E117" s="54"/>
      <c r="F117" s="54"/>
      <c r="G117" s="54"/>
      <c r="H117" s="54">
        <v>1</v>
      </c>
      <c r="I117" s="56">
        <f t="shared" si="4"/>
        <v>9.6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f>138+23</f>
        <v>161</v>
      </c>
      <c r="C118" s="53"/>
      <c r="D118" s="63"/>
      <c r="E118" s="54"/>
      <c r="F118" s="54"/>
      <c r="G118" s="54"/>
      <c r="H118" s="54"/>
      <c r="I118" s="56">
        <f t="shared" si="4"/>
        <v>8.8000000000000007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f>156+23+25</f>
        <v>204</v>
      </c>
      <c r="C119" s="53">
        <v>2</v>
      </c>
      <c r="D119" s="63">
        <f>23+25</f>
        <v>48</v>
      </c>
      <c r="E119" s="54"/>
      <c r="F119" s="54"/>
      <c r="G119" s="54"/>
      <c r="H119" s="54"/>
      <c r="I119" s="56">
        <f t="shared" si="4"/>
        <v>8.6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40</v>
      </c>
      <c r="B120" s="63">
        <f>170+25</f>
        <v>195</v>
      </c>
      <c r="C120" s="53"/>
      <c r="D120" s="63"/>
      <c r="E120" s="54"/>
      <c r="F120" s="54"/>
      <c r="G120" s="54"/>
      <c r="H120" s="54"/>
      <c r="I120" s="56">
        <f t="shared" si="4"/>
        <v>7.8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45</v>
      </c>
      <c r="B121" s="63">
        <f>182+25+25</f>
        <v>232</v>
      </c>
      <c r="C121" s="53">
        <v>3</v>
      </c>
      <c r="D121" s="63">
        <f>25+25</f>
        <v>50</v>
      </c>
      <c r="E121" s="54"/>
      <c r="F121" s="54"/>
      <c r="G121" s="54"/>
      <c r="H121" s="54"/>
      <c r="I121" s="56">
        <f t="shared" si="4"/>
        <v>7.4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50</v>
      </c>
      <c r="B122" s="63">
        <f>191+24</f>
        <v>215</v>
      </c>
      <c r="C122" s="53"/>
      <c r="D122" s="63"/>
      <c r="E122" s="54"/>
      <c r="F122" s="54"/>
      <c r="G122" s="54"/>
      <c r="H122" s="54"/>
      <c r="I122" s="56">
        <f t="shared" si="4"/>
        <v>6.6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55</v>
      </c>
      <c r="B123" s="63">
        <f>200+24+23</f>
        <v>247</v>
      </c>
      <c r="C123" s="53">
        <v>4</v>
      </c>
      <c r="D123" s="63">
        <f>24+23</f>
        <v>47</v>
      </c>
      <c r="E123" s="54"/>
      <c r="F123" s="54"/>
      <c r="G123" s="54"/>
      <c r="H123" s="54"/>
      <c r="I123" s="56">
        <f t="shared" si="4"/>
        <v>6.4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60</v>
      </c>
      <c r="B124" s="63">
        <f>207+22</f>
        <v>229</v>
      </c>
      <c r="C124" s="53"/>
      <c r="D124" s="63"/>
      <c r="E124" s="54"/>
      <c r="F124" s="54"/>
      <c r="G124" s="54"/>
      <c r="H124" s="54"/>
      <c r="I124" s="56">
        <f t="shared" si="4"/>
        <v>5.8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65</v>
      </c>
      <c r="B125" s="63">
        <f>213+22+20</f>
        <v>255</v>
      </c>
      <c r="C125" s="53">
        <v>5</v>
      </c>
      <c r="D125" s="63">
        <f>22+20</f>
        <v>42</v>
      </c>
      <c r="E125" s="54"/>
      <c r="F125" s="54"/>
      <c r="G125" s="54"/>
      <c r="H125" s="54"/>
      <c r="I125" s="56">
        <f t="shared" si="4"/>
        <v>5.2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70</v>
      </c>
      <c r="B126" s="63">
        <f>218+19</f>
        <v>237</v>
      </c>
      <c r="C126" s="53"/>
      <c r="D126" s="63"/>
      <c r="E126" s="57"/>
      <c r="F126" s="57"/>
      <c r="G126" s="57"/>
      <c r="H126" s="57"/>
      <c r="I126" s="56">
        <f t="shared" si="4"/>
        <v>4.8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75</v>
      </c>
      <c r="B127" s="63">
        <f>223+19+18</f>
        <v>260</v>
      </c>
      <c r="C127" s="53">
        <v>6</v>
      </c>
      <c r="D127" s="63">
        <f>19+18</f>
        <v>37</v>
      </c>
      <c r="E127" s="57"/>
      <c r="F127" s="57"/>
      <c r="G127" s="57"/>
      <c r="H127" s="57"/>
      <c r="I127" s="56">
        <f t="shared" si="4"/>
        <v>4.5999999999999996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8">
        <v>80</v>
      </c>
      <c r="B128" s="59">
        <v>244</v>
      </c>
      <c r="C128" s="53"/>
      <c r="D128" s="53"/>
      <c r="E128" s="57"/>
      <c r="F128" s="57"/>
      <c r="G128" s="57"/>
      <c r="H128" s="57"/>
      <c r="I128" s="56">
        <f t="shared" si="4"/>
        <v>4.2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8">
        <v>85</v>
      </c>
      <c r="B129" s="59">
        <v>263</v>
      </c>
      <c r="C129" s="53"/>
      <c r="D129" s="53"/>
      <c r="E129" s="57"/>
      <c r="F129" s="57"/>
      <c r="G129" s="57"/>
      <c r="H129" s="57"/>
      <c r="I129" s="56">
        <f t="shared" si="4"/>
        <v>3.8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8">
        <v>90</v>
      </c>
      <c r="B130" s="59">
        <v>281</v>
      </c>
      <c r="C130" s="53">
        <v>7</v>
      </c>
      <c r="D130" s="61">
        <v>281</v>
      </c>
      <c r="E130" s="57"/>
      <c r="F130" s="57"/>
      <c r="G130" s="57"/>
      <c r="H130" s="57"/>
      <c r="I130" s="56">
        <f t="shared" si="4"/>
        <v>3.6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pédonculé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42</v>
      </c>
      <c r="C140" s="63"/>
      <c r="D140" s="63"/>
      <c r="E140" s="54"/>
      <c r="F140" s="54"/>
      <c r="G140" s="54"/>
      <c r="H140" s="54"/>
      <c r="I140" s="60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f>62+8</f>
        <v>70</v>
      </c>
      <c r="C141" s="63"/>
      <c r="D141" s="63"/>
      <c r="E141" s="54"/>
      <c r="F141" s="54"/>
      <c r="G141" s="54"/>
      <c r="H141" s="54"/>
      <c r="I141" s="60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f>76+8+21</f>
        <v>105</v>
      </c>
      <c r="C142" s="63">
        <v>1</v>
      </c>
      <c r="D142" s="63">
        <f>8+21</f>
        <v>29</v>
      </c>
      <c r="E142" s="54"/>
      <c r="F142" s="54"/>
      <c r="G142" s="54"/>
      <c r="H142" s="54">
        <v>1</v>
      </c>
      <c r="I142" s="60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f>95+21</f>
        <v>116</v>
      </c>
      <c r="C143" s="63"/>
      <c r="D143" s="63"/>
      <c r="E143" s="54"/>
      <c r="F143" s="54"/>
      <c r="G143" s="54"/>
      <c r="H143" s="54"/>
      <c r="I143" s="60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f>116+21+21</f>
        <v>158</v>
      </c>
      <c r="C144" s="63">
        <v>2</v>
      </c>
      <c r="D144" s="63">
        <f>21+21</f>
        <v>42</v>
      </c>
      <c r="E144" s="54"/>
      <c r="F144" s="54"/>
      <c r="G144" s="54"/>
      <c r="H144" s="54"/>
      <c r="I144" s="60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f>137+21</f>
        <v>158</v>
      </c>
      <c r="C145" s="63"/>
      <c r="D145" s="63"/>
      <c r="E145" s="54"/>
      <c r="F145" s="54"/>
      <c r="G145" s="54"/>
      <c r="H145" s="54"/>
      <c r="I145" s="60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3">
        <f>157+21+21</f>
        <v>199</v>
      </c>
      <c r="C146" s="63">
        <v>3</v>
      </c>
      <c r="D146" s="63">
        <f>21+21</f>
        <v>42</v>
      </c>
      <c r="E146" s="54"/>
      <c r="F146" s="54"/>
      <c r="G146" s="54"/>
      <c r="H146" s="54"/>
      <c r="I146" s="60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3">
        <f>176+21</f>
        <v>197</v>
      </c>
      <c r="C147" s="63"/>
      <c r="D147" s="63"/>
      <c r="E147" s="54"/>
      <c r="F147" s="54"/>
      <c r="G147" s="54"/>
      <c r="H147" s="54"/>
      <c r="I147" s="60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60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60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60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60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60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60">
        <f t="shared" si="5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60">
        <f t="shared" si="5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60">
        <f t="shared" si="5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60">
        <f t="shared" si="5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60">
        <f t="shared" si="5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60">
        <f t="shared" si="5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60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Charme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63">
        <f>54/1.56</f>
        <v>34.615384615384613</v>
      </c>
      <c r="C166" s="63"/>
      <c r="D166" s="63"/>
      <c r="E166" s="54"/>
      <c r="F166" s="54"/>
      <c r="G166" s="54"/>
      <c r="H166" s="54"/>
      <c r="I166" s="52">
        <f>IFERROR(B166/A166,"")</f>
        <v>3.4615384615384612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63">
        <f>(112+12)/1.56</f>
        <v>79.487179487179489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8.9743589743589745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63">
        <f>(167+12+21)/1.56</f>
        <v>128.2051282051282</v>
      </c>
      <c r="C168" s="63">
        <v>1</v>
      </c>
      <c r="D168" s="63">
        <f>(12+27+28)/1.56</f>
        <v>42.948717948717949</v>
      </c>
      <c r="E168" s="54"/>
      <c r="F168" s="54"/>
      <c r="G168" s="54"/>
      <c r="H168" s="54">
        <v>1</v>
      </c>
      <c r="I168" s="52">
        <f t="shared" si="6"/>
        <v>9.7435897435897427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63">
        <f>214/1.56</f>
        <v>137.17948717948718</v>
      </c>
      <c r="C169" s="63"/>
      <c r="D169" s="63"/>
      <c r="E169" s="54"/>
      <c r="F169" s="54"/>
      <c r="G169" s="54"/>
      <c r="H169" s="54"/>
      <c r="I169" s="52">
        <f t="shared" si="6"/>
        <v>10.384615384615387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63">
        <f>(254+32)/1.56</f>
        <v>183.33333333333331</v>
      </c>
      <c r="C170" s="63">
        <v>2</v>
      </c>
      <c r="D170" s="63">
        <f>(32+34)/1.56</f>
        <v>42.307692307692307</v>
      </c>
      <c r="E170" s="54"/>
      <c r="F170" s="54"/>
      <c r="G170" s="54"/>
      <c r="H170" s="54">
        <v>1</v>
      </c>
      <c r="I170" s="52">
        <f t="shared" si="6"/>
        <v>9.2307692307692264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63">
        <f>287/1.56</f>
        <v>183.97435897435898</v>
      </c>
      <c r="C171" s="63"/>
      <c r="D171" s="63"/>
      <c r="E171" s="54"/>
      <c r="F171" s="54"/>
      <c r="G171" s="54"/>
      <c r="H171" s="54"/>
      <c r="I171" s="52">
        <f t="shared" si="6"/>
        <v>8.5897435897435965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40</v>
      </c>
      <c r="B172" s="63">
        <f>(315+35)/1.56</f>
        <v>224.35897435897436</v>
      </c>
      <c r="C172" s="63">
        <v>3</v>
      </c>
      <c r="D172" s="63">
        <f>(35+35)/1.56</f>
        <v>44.871794871794869</v>
      </c>
      <c r="E172" s="54"/>
      <c r="F172" s="54"/>
      <c r="G172" s="54"/>
      <c r="H172" s="54"/>
      <c r="I172" s="52">
        <f t="shared" si="6"/>
        <v>8.0769230769230766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45</v>
      </c>
      <c r="B173" s="53">
        <f>338/1.56</f>
        <v>216.66666666666666</v>
      </c>
      <c r="C173" s="53"/>
      <c r="D173" s="53"/>
      <c r="E173" s="54"/>
      <c r="F173" s="54"/>
      <c r="G173" s="54"/>
      <c r="H173" s="54"/>
      <c r="I173" s="52">
        <f t="shared" si="6"/>
        <v>7.4358974358974308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50</v>
      </c>
      <c r="B174" s="53">
        <f>(359+34)/1.56</f>
        <v>251.92307692307691</v>
      </c>
      <c r="C174" s="53">
        <v>4</v>
      </c>
      <c r="D174" s="53">
        <f>(34+33)/1.56</f>
        <v>42.948717948717949</v>
      </c>
      <c r="E174" s="54"/>
      <c r="F174" s="54"/>
      <c r="G174" s="54"/>
      <c r="H174" s="54"/>
      <c r="I174" s="52">
        <f t="shared" si="6"/>
        <v>7.0512820512820493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55</v>
      </c>
      <c r="B175" s="53">
        <f>377/1.56</f>
        <v>241.66666666666666</v>
      </c>
      <c r="C175" s="53"/>
      <c r="D175" s="53"/>
      <c r="E175" s="54"/>
      <c r="F175" s="54"/>
      <c r="G175" s="54"/>
      <c r="H175" s="54"/>
      <c r="I175" s="52">
        <f t="shared" si="6"/>
        <v>6.5384615384615419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60</v>
      </c>
      <c r="B176" s="53">
        <f>(394+32)/1.56</f>
        <v>273.07692307692309</v>
      </c>
      <c r="C176" s="53">
        <v>5</v>
      </c>
      <c r="D176" s="53">
        <f>(32+31)/1.56</f>
        <v>40.38461538461538</v>
      </c>
      <c r="E176" s="54"/>
      <c r="F176" s="54"/>
      <c r="G176" s="54"/>
      <c r="H176" s="54"/>
      <c r="I176" s="52">
        <f t="shared" si="6"/>
        <v>6.2820512820512873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65</v>
      </c>
      <c r="B177" s="53">
        <f>408/1.56</f>
        <v>261.53846153846155</v>
      </c>
      <c r="C177" s="53"/>
      <c r="D177" s="53"/>
      <c r="E177" s="54"/>
      <c r="F177" s="54"/>
      <c r="G177" s="54"/>
      <c r="H177" s="54"/>
      <c r="I177" s="52">
        <f t="shared" si="6"/>
        <v>5.7692307692307683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70</v>
      </c>
      <c r="B178" s="53">
        <f>(421+31)/1.56</f>
        <v>289.74358974358972</v>
      </c>
      <c r="C178" s="53">
        <v>6</v>
      </c>
      <c r="D178" s="53">
        <f>(31+30)/1.56</f>
        <v>39.102564102564102</v>
      </c>
      <c r="E178" s="54"/>
      <c r="F178" s="54"/>
      <c r="G178" s="54"/>
      <c r="H178" s="54"/>
      <c r="I178" s="52">
        <f t="shared" si="6"/>
        <v>5.6410256410256352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75</v>
      </c>
      <c r="B179" s="53">
        <f>433/1.56</f>
        <v>277.56410256410254</v>
      </c>
      <c r="C179" s="53"/>
      <c r="D179" s="53"/>
      <c r="E179" s="54"/>
      <c r="F179" s="54"/>
      <c r="G179" s="54"/>
      <c r="H179" s="54"/>
      <c r="I179" s="52">
        <f t="shared" si="6"/>
        <v>5.3846153846153815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80</v>
      </c>
      <c r="B180" s="53">
        <f>(443+29)/1.56</f>
        <v>302.56410256410254</v>
      </c>
      <c r="C180" s="53">
        <v>7</v>
      </c>
      <c r="D180" s="53">
        <f>(29+28)/1.56</f>
        <v>36.53846153846154</v>
      </c>
      <c r="E180" s="54"/>
      <c r="F180" s="54"/>
      <c r="G180" s="54"/>
      <c r="H180" s="54"/>
      <c r="I180" s="52">
        <f t="shared" si="6"/>
        <v>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85</v>
      </c>
      <c r="B181" s="53">
        <f>453/1.56</f>
        <v>290.38461538461536</v>
      </c>
      <c r="C181" s="53"/>
      <c r="D181" s="53"/>
      <c r="E181" s="54"/>
      <c r="F181" s="54"/>
      <c r="G181" s="54"/>
      <c r="H181" s="54"/>
      <c r="I181" s="52">
        <f t="shared" si="6"/>
        <v>4.8717948717948731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90</v>
      </c>
      <c r="B182" s="53">
        <f>(462+27)/1.56</f>
        <v>313.46153846153845</v>
      </c>
      <c r="C182" s="53">
        <v>8</v>
      </c>
      <c r="D182" s="53">
        <f>(27+26)/1.56</f>
        <v>33.974358974358971</v>
      </c>
      <c r="E182" s="54"/>
      <c r="F182" s="54"/>
      <c r="G182" s="54"/>
      <c r="H182" s="54"/>
      <c r="I182" s="52">
        <f t="shared" si="6"/>
        <v>4.6153846153846185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100</v>
      </c>
      <c r="B183" s="53">
        <f>(477+25)/1.56</f>
        <v>321.79487179487177</v>
      </c>
      <c r="C183" s="53">
        <v>9</v>
      </c>
      <c r="D183" s="53">
        <f>(25+24)/1.56</f>
        <v>31.410256410256409</v>
      </c>
      <c r="E183" s="54"/>
      <c r="F183" s="54"/>
      <c r="G183" s="54"/>
      <c r="H183" s="54"/>
      <c r="I183" s="52">
        <f t="shared" si="6"/>
        <v>4.2307692307692264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110</v>
      </c>
      <c r="B184" s="53">
        <f>(491+23)/1.56</f>
        <v>329.4871794871795</v>
      </c>
      <c r="C184" s="53">
        <v>10</v>
      </c>
      <c r="D184" s="53">
        <f>(23+23)/1.56</f>
        <v>29.487179487179485</v>
      </c>
      <c r="E184" s="54"/>
      <c r="F184" s="54"/>
      <c r="G184" s="54"/>
      <c r="H184" s="54"/>
      <c r="I184" s="52">
        <f t="shared" si="6"/>
        <v>3.9102564102564146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120</v>
      </c>
      <c r="B185" s="53">
        <f>(504+22)/1.56</f>
        <v>337.17948717948718</v>
      </c>
      <c r="C185" s="53">
        <v>11</v>
      </c>
      <c r="D185" s="53">
        <f>B185</f>
        <v>337.17948717948718</v>
      </c>
      <c r="E185" s="54"/>
      <c r="F185" s="54"/>
      <c r="G185" s="54"/>
      <c r="H185" s="54"/>
      <c r="I185" s="52">
        <f t="shared" si="6"/>
        <v>3.7179487179487181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Erable sycomore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10</v>
      </c>
      <c r="B192" s="63">
        <v>19</v>
      </c>
      <c r="C192" s="63"/>
      <c r="D192" s="63"/>
      <c r="E192" s="54"/>
      <c r="F192" s="54"/>
      <c r="G192" s="54"/>
      <c r="H192" s="93"/>
      <c r="I192" s="52">
        <f>IFERROR(B192/A192,"")</f>
        <v>1.9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15</v>
      </c>
      <c r="B193" s="63">
        <f>85+7</f>
        <v>92</v>
      </c>
      <c r="C193" s="63"/>
      <c r="D193" s="63"/>
      <c r="E193" s="54"/>
      <c r="F193" s="54"/>
      <c r="G193" s="54"/>
      <c r="H193" s="93"/>
      <c r="I193" s="52">
        <f t="shared" ref="I193:I211" si="7">IF(A193&lt;&gt;0,(B193-(B192-D192))/(A193-A192),"")</f>
        <v>14.6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20</v>
      </c>
      <c r="B194" s="63">
        <f>123+7+42</f>
        <v>172</v>
      </c>
      <c r="C194" s="63">
        <v>1</v>
      </c>
      <c r="D194" s="63">
        <f>7+42+42</f>
        <v>91</v>
      </c>
      <c r="E194" s="93"/>
      <c r="F194" s="93"/>
      <c r="G194" s="93"/>
      <c r="H194" s="93">
        <v>1</v>
      </c>
      <c r="I194" s="52">
        <f t="shared" si="7"/>
        <v>16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25</v>
      </c>
      <c r="B195" s="63">
        <v>165</v>
      </c>
      <c r="C195" s="63"/>
      <c r="D195" s="63"/>
      <c r="E195" s="93"/>
      <c r="F195" s="93"/>
      <c r="G195" s="93"/>
      <c r="H195" s="93"/>
      <c r="I195" s="52">
        <f t="shared" si="7"/>
        <v>16.8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30</v>
      </c>
      <c r="B196" s="63">
        <f>205+42</f>
        <v>247</v>
      </c>
      <c r="C196" s="63">
        <v>2</v>
      </c>
      <c r="D196" s="63">
        <f>42+42</f>
        <v>84</v>
      </c>
      <c r="E196" s="93"/>
      <c r="F196" s="93"/>
      <c r="G196" s="93"/>
      <c r="H196" s="93">
        <v>1</v>
      </c>
      <c r="I196" s="52">
        <f t="shared" si="7"/>
        <v>16.399999999999999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35</v>
      </c>
      <c r="B197" s="63">
        <v>239</v>
      </c>
      <c r="C197" s="63"/>
      <c r="D197" s="63"/>
      <c r="E197" s="93"/>
      <c r="F197" s="93"/>
      <c r="G197" s="93"/>
      <c r="H197" s="93"/>
      <c r="I197" s="52">
        <f t="shared" si="7"/>
        <v>15.2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40</v>
      </c>
      <c r="B198" s="63">
        <f>263+42</f>
        <v>305</v>
      </c>
      <c r="C198" s="63">
        <v>3</v>
      </c>
      <c r="D198" s="63">
        <f>42+40</f>
        <v>82</v>
      </c>
      <c r="E198" s="93"/>
      <c r="F198" s="93"/>
      <c r="G198" s="93"/>
      <c r="H198" s="93"/>
      <c r="I198" s="52">
        <f t="shared" si="7"/>
        <v>13.2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63">
        <v>45</v>
      </c>
      <c r="B199" s="63">
        <v>280</v>
      </c>
      <c r="C199" s="63"/>
      <c r="D199" s="63"/>
      <c r="E199" s="93"/>
      <c r="F199" s="93"/>
      <c r="G199" s="93"/>
      <c r="H199" s="93"/>
      <c r="I199" s="52">
        <f t="shared" si="7"/>
        <v>11.4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63">
        <v>50</v>
      </c>
      <c r="B200" s="63">
        <f>303+26</f>
        <v>329</v>
      </c>
      <c r="C200" s="63">
        <v>4</v>
      </c>
      <c r="D200" s="63">
        <f>26+21</f>
        <v>47</v>
      </c>
      <c r="E200" s="93"/>
      <c r="F200" s="93"/>
      <c r="G200" s="93"/>
      <c r="H200" s="93"/>
      <c r="I200" s="52">
        <f t="shared" si="7"/>
        <v>9.8000000000000007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63">
        <v>55</v>
      </c>
      <c r="B201" s="63">
        <v>324</v>
      </c>
      <c r="C201" s="63"/>
      <c r="D201" s="63"/>
      <c r="E201" s="93"/>
      <c r="F201" s="93"/>
      <c r="G201" s="93"/>
      <c r="H201" s="93"/>
      <c r="I201" s="52">
        <f t="shared" si="7"/>
        <v>8.4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63">
        <v>60</v>
      </c>
      <c r="B202" s="63">
        <f>342+18</f>
        <v>360</v>
      </c>
      <c r="C202" s="63">
        <v>5</v>
      </c>
      <c r="D202" s="63">
        <f>18+17</f>
        <v>35</v>
      </c>
      <c r="E202" s="93"/>
      <c r="F202" s="93"/>
      <c r="G202" s="93"/>
      <c r="H202" s="93"/>
      <c r="I202" s="52">
        <f t="shared" si="7"/>
        <v>7.2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63">
        <v>65</v>
      </c>
      <c r="B203" s="63">
        <v>356</v>
      </c>
      <c r="C203" s="63"/>
      <c r="D203" s="63"/>
      <c r="E203" s="93"/>
      <c r="F203" s="93"/>
      <c r="G203" s="93"/>
      <c r="H203" s="93"/>
      <c r="I203" s="52">
        <f t="shared" si="7"/>
        <v>6.2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63">
        <v>70</v>
      </c>
      <c r="B204" s="63">
        <f>366+16</f>
        <v>382</v>
      </c>
      <c r="C204" s="63">
        <v>6</v>
      </c>
      <c r="D204" s="63">
        <f>16+15</f>
        <v>31</v>
      </c>
      <c r="E204" s="68"/>
      <c r="F204" s="68"/>
      <c r="G204" s="68"/>
      <c r="H204" s="68"/>
      <c r="I204" s="52">
        <f t="shared" si="7"/>
        <v>5.2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63">
        <v>75</v>
      </c>
      <c r="B205" s="63">
        <v>375</v>
      </c>
      <c r="C205" s="63"/>
      <c r="D205" s="63"/>
      <c r="E205" s="68"/>
      <c r="F205" s="68"/>
      <c r="G205" s="68"/>
      <c r="H205" s="68"/>
      <c r="I205" s="52">
        <f t="shared" si="7"/>
        <v>4.8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63">
        <v>80</v>
      </c>
      <c r="B206" s="53">
        <f>382+14</f>
        <v>396</v>
      </c>
      <c r="C206" s="63">
        <v>7</v>
      </c>
      <c r="D206" s="53">
        <f>B206</f>
        <v>396</v>
      </c>
      <c r="E206" s="57"/>
      <c r="F206" s="57"/>
      <c r="G206" s="57"/>
      <c r="H206" s="57"/>
      <c r="I206" s="52">
        <f t="shared" si="7"/>
        <v>4.2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Hêtre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27</v>
      </c>
      <c r="B218" s="63">
        <v>77</v>
      </c>
      <c r="C218" s="53">
        <v>1</v>
      </c>
      <c r="D218" s="63">
        <v>12</v>
      </c>
      <c r="E218" s="54"/>
      <c r="F218" s="54"/>
      <c r="G218" s="54"/>
      <c r="H218" s="54">
        <v>1</v>
      </c>
      <c r="I218" s="56">
        <f>IFERROR(B218/A218,"")</f>
        <v>2.8518518518518516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30</v>
      </c>
      <c r="B219" s="63">
        <v>102</v>
      </c>
      <c r="C219" s="53">
        <v>2</v>
      </c>
      <c r="D219" s="63">
        <v>13</v>
      </c>
      <c r="E219" s="54"/>
      <c r="F219" s="54"/>
      <c r="G219" s="54"/>
      <c r="H219" s="54">
        <v>1</v>
      </c>
      <c r="I219" s="56">
        <f t="shared" ref="I219:I237" si="8">IF(A219&lt;&gt;0,(B219-(B218-D218))/(A219-A218),"")</f>
        <v>12.333333333333334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36</v>
      </c>
      <c r="B220" s="63">
        <v>174</v>
      </c>
      <c r="C220" s="53">
        <v>3</v>
      </c>
      <c r="D220" s="63">
        <v>60</v>
      </c>
      <c r="E220" s="54"/>
      <c r="F220" s="54"/>
      <c r="G220" s="54"/>
      <c r="H220" s="54"/>
      <c r="I220" s="56">
        <f t="shared" si="8"/>
        <v>14.166666666666666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42</v>
      </c>
      <c r="B221" s="63">
        <v>205</v>
      </c>
      <c r="C221" s="53">
        <v>4</v>
      </c>
      <c r="D221" s="63">
        <v>59</v>
      </c>
      <c r="E221" s="54"/>
      <c r="F221" s="54"/>
      <c r="G221" s="54"/>
      <c r="H221" s="54"/>
      <c r="I221" s="56">
        <f t="shared" si="8"/>
        <v>15.166666666666666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48</v>
      </c>
      <c r="B222" s="63">
        <v>240</v>
      </c>
      <c r="C222" s="53">
        <v>5</v>
      </c>
      <c r="D222" s="63">
        <v>63</v>
      </c>
      <c r="E222" s="54"/>
      <c r="F222" s="54"/>
      <c r="G222" s="54"/>
      <c r="H222" s="54"/>
      <c r="I222" s="56">
        <f t="shared" si="8"/>
        <v>15.666666666666666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54</v>
      </c>
      <c r="B223" s="63">
        <v>270</v>
      </c>
      <c r="C223" s="53">
        <v>6</v>
      </c>
      <c r="D223" s="63">
        <v>64</v>
      </c>
      <c r="E223" s="54"/>
      <c r="F223" s="54"/>
      <c r="G223" s="54"/>
      <c r="H223" s="54"/>
      <c r="I223" s="56">
        <f t="shared" si="8"/>
        <v>15.5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60</v>
      </c>
      <c r="B224" s="63">
        <v>295</v>
      </c>
      <c r="C224" s="53">
        <v>7</v>
      </c>
      <c r="D224" s="63">
        <v>61</v>
      </c>
      <c r="E224" s="54"/>
      <c r="F224" s="54"/>
      <c r="G224" s="54"/>
      <c r="H224" s="54"/>
      <c r="I224" s="56">
        <f t="shared" si="8"/>
        <v>14.833333333333334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69</v>
      </c>
      <c r="B225" s="63">
        <v>358</v>
      </c>
      <c r="C225" s="53">
        <v>8</v>
      </c>
      <c r="D225" s="63">
        <v>84</v>
      </c>
      <c r="E225" s="54"/>
      <c r="F225" s="54"/>
      <c r="G225" s="54"/>
      <c r="H225" s="54"/>
      <c r="I225" s="56">
        <f t="shared" si="8"/>
        <v>13.777777777777779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78</v>
      </c>
      <c r="B226" s="63">
        <v>387</v>
      </c>
      <c r="C226" s="53">
        <v>9</v>
      </c>
      <c r="D226" s="63">
        <v>39</v>
      </c>
      <c r="E226" s="54"/>
      <c r="F226" s="54"/>
      <c r="G226" s="54"/>
      <c r="H226" s="54"/>
      <c r="I226" s="56">
        <f t="shared" si="8"/>
        <v>12.555555555555555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3">
        <v>84</v>
      </c>
      <c r="B227" s="63">
        <v>420</v>
      </c>
      <c r="C227" s="53"/>
      <c r="D227" s="63"/>
      <c r="E227" s="54"/>
      <c r="F227" s="54"/>
      <c r="G227" s="54"/>
      <c r="H227" s="54"/>
      <c r="I227" s="56">
        <f t="shared" si="8"/>
        <v>12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3">
        <v>90</v>
      </c>
      <c r="B228" s="63">
        <v>489</v>
      </c>
      <c r="C228" s="53"/>
      <c r="D228" s="63"/>
      <c r="E228" s="54"/>
      <c r="F228" s="54"/>
      <c r="G228" s="54"/>
      <c r="H228" s="54"/>
      <c r="I228" s="56">
        <f t="shared" si="8"/>
        <v>11.5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3">
        <v>96</v>
      </c>
      <c r="B229" s="63">
        <v>557</v>
      </c>
      <c r="C229" s="53"/>
      <c r="D229" s="63"/>
      <c r="E229" s="54"/>
      <c r="F229" s="54"/>
      <c r="G229" s="54"/>
      <c r="H229" s="54"/>
      <c r="I229" s="56">
        <f t="shared" si="8"/>
        <v>11.333333333333334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3">
        <v>99</v>
      </c>
      <c r="B230" s="63">
        <v>591</v>
      </c>
      <c r="C230" s="53">
        <v>10</v>
      </c>
      <c r="D230" s="63">
        <f>B230</f>
        <v>591</v>
      </c>
      <c r="E230" s="57"/>
      <c r="F230" s="57"/>
      <c r="G230" s="57"/>
      <c r="H230" s="57"/>
      <c r="I230" s="56">
        <f t="shared" si="8"/>
        <v>11.333333333333334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Tilleul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10</v>
      </c>
      <c r="B244" s="63">
        <f>72/1.56</f>
        <v>46.153846153846153</v>
      </c>
      <c r="C244" s="63"/>
      <c r="D244" s="63"/>
      <c r="E244" s="54"/>
      <c r="F244" s="54"/>
      <c r="G244" s="54"/>
      <c r="H244" s="66"/>
      <c r="I244" s="56">
        <f>IFERROR(B244/A244,"")</f>
        <v>4.615384615384615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15</v>
      </c>
      <c r="B245" s="63">
        <f>(141+16)/1.56</f>
        <v>100.64102564102564</v>
      </c>
      <c r="C245" s="63"/>
      <c r="D245" s="63"/>
      <c r="E245" s="66"/>
      <c r="F245" s="66"/>
      <c r="G245" s="66"/>
      <c r="H245" s="66"/>
      <c r="I245" s="56">
        <f>IF(A245&lt;&gt;0,(B245-(B244-D244))/(A245-A244),"")</f>
        <v>10.897435897435896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20</v>
      </c>
      <c r="B246" s="63">
        <f>(204+16+27)/1.56</f>
        <v>158.33333333333331</v>
      </c>
      <c r="C246" s="63">
        <v>1</v>
      </c>
      <c r="D246" s="63">
        <f>(16+27+33)/1.56</f>
        <v>48.717948717948715</v>
      </c>
      <c r="E246" s="66"/>
      <c r="F246" s="66"/>
      <c r="G246" s="66"/>
      <c r="H246" s="66">
        <v>1</v>
      </c>
      <c r="I246" s="56">
        <f>IF(A246&lt;&gt;0,(B246-(B245-D245))/(A246-A245),"")</f>
        <v>11.538461538461537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25</v>
      </c>
      <c r="B247" s="63">
        <f>257/1.56</f>
        <v>164.74358974358975</v>
      </c>
      <c r="C247" s="63"/>
      <c r="D247" s="63"/>
      <c r="E247" s="66"/>
      <c r="F247" s="66"/>
      <c r="G247" s="66"/>
      <c r="H247" s="66"/>
      <c r="I247" s="56">
        <f t="shared" ref="I247:I263" si="9">IF(A247&lt;&gt;0,(B247-(B246-D246))/(A247-A246),"")</f>
        <v>11.025641025641031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30</v>
      </c>
      <c r="B248" s="63">
        <f>(302+35)/1.56</f>
        <v>216.02564102564102</v>
      </c>
      <c r="C248" s="63">
        <v>2</v>
      </c>
      <c r="D248" s="63">
        <f>(35+35)/1.56</f>
        <v>44.871794871794869</v>
      </c>
      <c r="E248" s="66"/>
      <c r="F248" s="66"/>
      <c r="G248" s="66"/>
      <c r="H248" s="66">
        <v>1</v>
      </c>
      <c r="I248" s="56">
        <f t="shared" si="9"/>
        <v>10.256410256410254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35</v>
      </c>
      <c r="B249" s="63">
        <f>341/1.56</f>
        <v>218.58974358974359</v>
      </c>
      <c r="C249" s="63"/>
      <c r="D249" s="63"/>
      <c r="E249" s="66"/>
      <c r="F249" s="66"/>
      <c r="G249" s="66"/>
      <c r="H249" s="66"/>
      <c r="I249" s="56">
        <f t="shared" si="9"/>
        <v>9.4871794871794854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40</v>
      </c>
      <c r="B250" s="63">
        <f>(375+35)/1.56</f>
        <v>262.82051282051282</v>
      </c>
      <c r="C250" s="63">
        <v>3</v>
      </c>
      <c r="D250" s="63">
        <f>(35+32)/1.56</f>
        <v>42.948717948717949</v>
      </c>
      <c r="E250" s="66"/>
      <c r="F250" s="66"/>
      <c r="G250" s="66"/>
      <c r="H250" s="66"/>
      <c r="I250" s="56">
        <f t="shared" si="9"/>
        <v>8.8461538461538449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>
        <v>45</v>
      </c>
      <c r="B251" s="58">
        <f>407/1.56</f>
        <v>260.89743589743591</v>
      </c>
      <c r="C251" s="58"/>
      <c r="D251" s="58"/>
      <c r="E251" s="66"/>
      <c r="F251" s="66"/>
      <c r="G251" s="66"/>
      <c r="H251" s="66"/>
      <c r="I251" s="56">
        <f t="shared" si="9"/>
        <v>8.2051282051282097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>
        <v>50</v>
      </c>
      <c r="B252" s="58">
        <f>(433+33)/1.56</f>
        <v>298.71794871794873</v>
      </c>
      <c r="C252" s="58">
        <v>4</v>
      </c>
      <c r="D252" s="58">
        <f>(33+32)/1.56</f>
        <v>41.666666666666664</v>
      </c>
      <c r="E252" s="66"/>
      <c r="F252" s="66"/>
      <c r="G252" s="66"/>
      <c r="H252" s="66"/>
      <c r="I252" s="56">
        <f t="shared" si="9"/>
        <v>7.5641025641025639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>
        <v>55</v>
      </c>
      <c r="B253" s="58">
        <f>457/1.56</f>
        <v>292.94871794871796</v>
      </c>
      <c r="C253" s="58"/>
      <c r="D253" s="58"/>
      <c r="E253" s="66"/>
      <c r="F253" s="66"/>
      <c r="G253" s="66"/>
      <c r="H253" s="66"/>
      <c r="I253" s="56">
        <f t="shared" si="9"/>
        <v>7.1794871794871824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>
        <v>60</v>
      </c>
      <c r="B254" s="58">
        <f>(478+30)/1.56</f>
        <v>325.64102564102564</v>
      </c>
      <c r="C254" s="58">
        <v>5</v>
      </c>
      <c r="D254" s="58">
        <f>(30+29)/1.56</f>
        <v>37.820512820512818</v>
      </c>
      <c r="E254" s="66"/>
      <c r="F254" s="66"/>
      <c r="G254" s="66"/>
      <c r="H254" s="66"/>
      <c r="I254" s="56">
        <f t="shared" si="9"/>
        <v>6.5384615384615357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>
        <v>65</v>
      </c>
      <c r="B255" s="58">
        <f>498/1.56</f>
        <v>319.23076923076923</v>
      </c>
      <c r="C255" s="58"/>
      <c r="D255" s="58"/>
      <c r="E255" s="66"/>
      <c r="F255" s="66"/>
      <c r="G255" s="66"/>
      <c r="H255" s="66"/>
      <c r="I255" s="56">
        <f t="shared" si="9"/>
        <v>6.2820512820512819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>
        <v>70</v>
      </c>
      <c r="B256" s="58">
        <f>(516+28)/1.56</f>
        <v>348.71794871794873</v>
      </c>
      <c r="C256" s="58">
        <v>6</v>
      </c>
      <c r="D256" s="58">
        <f>(28+27)/1.56</f>
        <v>35.256410256410255</v>
      </c>
      <c r="E256" s="67"/>
      <c r="F256" s="67"/>
      <c r="G256" s="67"/>
      <c r="H256" s="67"/>
      <c r="I256" s="56">
        <f t="shared" si="9"/>
        <v>5.8974358974359005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>
        <v>75</v>
      </c>
      <c r="B257" s="63">
        <f>532/1.56</f>
        <v>341.02564102564099</v>
      </c>
      <c r="C257" s="94"/>
      <c r="D257" s="63"/>
      <c r="E257" s="57"/>
      <c r="F257" s="57"/>
      <c r="G257" s="57"/>
      <c r="H257" s="57"/>
      <c r="I257" s="56">
        <f t="shared" si="9"/>
        <v>5.5128205128205083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>
        <v>80</v>
      </c>
      <c r="B258" s="53">
        <f>(548+26)/1.56</f>
        <v>367.94871794871796</v>
      </c>
      <c r="C258" s="53">
        <v>7</v>
      </c>
      <c r="D258" s="53">
        <f>(26+24)/1.56</f>
        <v>32.051282051282051</v>
      </c>
      <c r="E258" s="57"/>
      <c r="F258" s="57"/>
      <c r="G258" s="57"/>
      <c r="H258" s="57"/>
      <c r="I258" s="56">
        <f t="shared" si="9"/>
        <v>5.3846153846153921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>
        <v>85</v>
      </c>
      <c r="B259" s="53">
        <f>562/1.56</f>
        <v>360.25641025641022</v>
      </c>
      <c r="C259" s="53"/>
      <c r="D259" s="53"/>
      <c r="E259" s="57"/>
      <c r="F259" s="57"/>
      <c r="G259" s="57"/>
      <c r="H259" s="57"/>
      <c r="I259" s="56">
        <f t="shared" si="9"/>
        <v>4.8717948717948616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>
        <v>90</v>
      </c>
      <c r="B260" s="53">
        <f>(575+24)/1.56</f>
        <v>383.97435897435895</v>
      </c>
      <c r="C260" s="53">
        <v>8</v>
      </c>
      <c r="D260" s="53">
        <f>(24+23)/1.56</f>
        <v>30.128205128205128</v>
      </c>
      <c r="E260" s="57"/>
      <c r="F260" s="57"/>
      <c r="G260" s="57"/>
      <c r="H260" s="57"/>
      <c r="I260" s="56">
        <f t="shared" si="9"/>
        <v>4.7435897435897463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>
        <v>95</v>
      </c>
      <c r="B261" s="53">
        <f>587/1.56</f>
        <v>376.28205128205127</v>
      </c>
      <c r="C261" s="53"/>
      <c r="D261" s="53"/>
      <c r="E261" s="57"/>
      <c r="F261" s="57"/>
      <c r="G261" s="57"/>
      <c r="H261" s="57"/>
      <c r="I261" s="56">
        <f t="shared" si="9"/>
        <v>4.4871794871794917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>
        <v>100</v>
      </c>
      <c r="B262" s="53">
        <f>(599+22)/1.56</f>
        <v>398.07692307692304</v>
      </c>
      <c r="C262" s="53">
        <v>9</v>
      </c>
      <c r="D262" s="53">
        <f>(22+21)/1.56</f>
        <v>27.564102564102562</v>
      </c>
      <c r="E262" s="57"/>
      <c r="F262" s="57"/>
      <c r="G262" s="57"/>
      <c r="H262" s="57"/>
      <c r="I262" s="56">
        <f t="shared" si="9"/>
        <v>4.3589743589743533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>
        <v>110</v>
      </c>
      <c r="B263" s="53">
        <f>(620+20)/1.56</f>
        <v>410.25641025641022</v>
      </c>
      <c r="C263" s="53">
        <v>10</v>
      </c>
      <c r="D263" s="53">
        <f>B263</f>
        <v>410.25641025641022</v>
      </c>
      <c r="E263" s="57"/>
      <c r="F263" s="57"/>
      <c r="G263" s="57"/>
      <c r="H263" s="57"/>
      <c r="I263" s="56">
        <f t="shared" si="9"/>
        <v>3.9743589743589722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Alisier torminal</v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20</v>
      </c>
      <c r="B270" s="63">
        <f>67+6</f>
        <v>73</v>
      </c>
      <c r="C270" s="63"/>
      <c r="D270" s="63"/>
      <c r="E270" s="54"/>
      <c r="F270" s="54"/>
      <c r="G270" s="54"/>
      <c r="H270" s="54"/>
      <c r="I270" s="56">
        <f>IFERROR(B270/A270,"")</f>
        <v>3.65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>
        <v>25</v>
      </c>
      <c r="B271" s="63">
        <f>75+6+28</f>
        <v>109</v>
      </c>
      <c r="C271" s="63">
        <v>1</v>
      </c>
      <c r="D271" s="63">
        <f>6+28</f>
        <v>34</v>
      </c>
      <c r="E271" s="54"/>
      <c r="F271" s="54"/>
      <c r="G271" s="54"/>
      <c r="H271" s="54">
        <v>1</v>
      </c>
      <c r="I271" s="56">
        <f>IF(A271&lt;&gt;0,(B271-(B270-D270))/(A271-A270),"")</f>
        <v>7.2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>
        <v>30</v>
      </c>
      <c r="B272" s="63">
        <f>93+28</f>
        <v>121</v>
      </c>
      <c r="C272" s="63"/>
      <c r="D272" s="63"/>
      <c r="E272" s="54"/>
      <c r="F272" s="54"/>
      <c r="G272" s="54"/>
      <c r="H272" s="54"/>
      <c r="I272" s="56">
        <f t="shared" ref="I272:I289" si="10">IF(A272&lt;&gt;0,(B272-(B271-D271))/(A272-A271),"")</f>
        <v>9.1999999999999993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>
        <v>35</v>
      </c>
      <c r="B273" s="63">
        <f>119+28+28</f>
        <v>175</v>
      </c>
      <c r="C273" s="63">
        <v>2</v>
      </c>
      <c r="D273" s="63">
        <f>28+28</f>
        <v>56</v>
      </c>
      <c r="E273" s="54"/>
      <c r="F273" s="54"/>
      <c r="G273" s="54"/>
      <c r="H273" s="54"/>
      <c r="I273" s="56">
        <f t="shared" si="10"/>
        <v>10.8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>
        <v>40</v>
      </c>
      <c r="B274" s="63">
        <f>147+28</f>
        <v>175</v>
      </c>
      <c r="C274" s="63"/>
      <c r="D274" s="63"/>
      <c r="E274" s="54"/>
      <c r="F274" s="54"/>
      <c r="G274" s="54"/>
      <c r="H274" s="54"/>
      <c r="I274" s="56">
        <f t="shared" si="10"/>
        <v>11.2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>
        <v>45</v>
      </c>
      <c r="B275" s="63">
        <f>176+28+28</f>
        <v>232</v>
      </c>
      <c r="C275" s="63">
        <v>3</v>
      </c>
      <c r="D275" s="63">
        <f>28+28</f>
        <v>56</v>
      </c>
      <c r="E275" s="54"/>
      <c r="F275" s="54"/>
      <c r="G275" s="54"/>
      <c r="H275" s="54"/>
      <c r="I275" s="56">
        <f t="shared" si="10"/>
        <v>11.4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>
        <v>50</v>
      </c>
      <c r="B276" s="63">
        <f>203+28</f>
        <v>231</v>
      </c>
      <c r="C276" s="63"/>
      <c r="D276" s="63"/>
      <c r="E276" s="54"/>
      <c r="F276" s="54"/>
      <c r="G276" s="54"/>
      <c r="H276" s="54"/>
      <c r="I276" s="56">
        <f t="shared" si="10"/>
        <v>11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283">
        <v>55</v>
      </c>
      <c r="B277" s="63">
        <f>226+28+28</f>
        <v>282</v>
      </c>
      <c r="C277" s="63">
        <v>4</v>
      </c>
      <c r="D277" s="63">
        <f>28+28</f>
        <v>56</v>
      </c>
      <c r="E277" s="54"/>
      <c r="F277" s="54"/>
      <c r="G277" s="54"/>
      <c r="H277" s="54"/>
      <c r="I277" s="56">
        <f t="shared" si="10"/>
        <v>10.199999999999999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283">
        <v>60</v>
      </c>
      <c r="B278" s="63">
        <f>245+28</f>
        <v>273</v>
      </c>
      <c r="C278" s="63"/>
      <c r="D278" s="63"/>
      <c r="E278" s="54"/>
      <c r="F278" s="54"/>
      <c r="G278" s="54"/>
      <c r="H278" s="54"/>
      <c r="I278" s="56">
        <f t="shared" si="10"/>
        <v>9.4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283">
        <v>65</v>
      </c>
      <c r="B279" s="63">
        <f>261+28+28</f>
        <v>317</v>
      </c>
      <c r="C279" s="63">
        <v>5</v>
      </c>
      <c r="D279" s="63">
        <f>28+28</f>
        <v>56</v>
      </c>
      <c r="E279" s="54"/>
      <c r="F279" s="54"/>
      <c r="G279" s="54"/>
      <c r="H279" s="54"/>
      <c r="I279" s="56">
        <f t="shared" si="10"/>
        <v>8.8000000000000007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283">
        <v>70</v>
      </c>
      <c r="B280" s="63">
        <f>274+28</f>
        <v>302</v>
      </c>
      <c r="C280" s="63"/>
      <c r="D280" s="63"/>
      <c r="E280" s="54"/>
      <c r="F280" s="54"/>
      <c r="G280" s="54"/>
      <c r="H280" s="54"/>
      <c r="I280" s="56">
        <f t="shared" si="10"/>
        <v>8.1999999999999993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283">
        <v>75</v>
      </c>
      <c r="B281" s="63">
        <f>284+28+28</f>
        <v>340</v>
      </c>
      <c r="C281" s="63">
        <v>6</v>
      </c>
      <c r="D281" s="63">
        <f>28+28</f>
        <v>56</v>
      </c>
      <c r="E281" s="54"/>
      <c r="F281" s="54"/>
      <c r="G281" s="54"/>
      <c r="H281" s="54"/>
      <c r="I281" s="56">
        <f t="shared" si="10"/>
        <v>7.6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283">
        <v>80</v>
      </c>
      <c r="B282" s="63">
        <f>292+28</f>
        <v>320</v>
      </c>
      <c r="C282" s="63"/>
      <c r="D282" s="63"/>
      <c r="E282" s="54"/>
      <c r="F282" s="54"/>
      <c r="G282" s="54"/>
      <c r="H282" s="54"/>
      <c r="I282" s="56">
        <f t="shared" si="10"/>
        <v>7.2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283">
        <v>90</v>
      </c>
      <c r="B283" s="63">
        <f>302+28+28+28</f>
        <v>386</v>
      </c>
      <c r="C283" s="63">
        <v>7</v>
      </c>
      <c r="D283" s="63">
        <f>28+28+28</f>
        <v>84</v>
      </c>
      <c r="E283" s="54"/>
      <c r="F283" s="54"/>
      <c r="G283" s="54"/>
      <c r="H283" s="54"/>
      <c r="I283" s="56">
        <f t="shared" si="10"/>
        <v>6.6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283">
        <v>100</v>
      </c>
      <c r="B284" s="53">
        <v>361</v>
      </c>
      <c r="C284" s="53"/>
      <c r="D284" s="53"/>
      <c r="E284" s="54"/>
      <c r="F284" s="54"/>
      <c r="G284" s="54"/>
      <c r="H284" s="54"/>
      <c r="I284" s="56">
        <f t="shared" si="10"/>
        <v>5.9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283">
        <v>110</v>
      </c>
      <c r="B285" s="53">
        <v>413</v>
      </c>
      <c r="C285" s="53">
        <v>8</v>
      </c>
      <c r="D285" s="53">
        <v>106</v>
      </c>
      <c r="E285" s="54"/>
      <c r="F285" s="54"/>
      <c r="G285" s="54"/>
      <c r="H285" s="54"/>
      <c r="I285" s="56">
        <f t="shared" si="10"/>
        <v>5.2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283">
        <v>120</v>
      </c>
      <c r="B286" s="53">
        <v>352</v>
      </c>
      <c r="C286" s="53"/>
      <c r="D286" s="53"/>
      <c r="E286" s="54"/>
      <c r="F286" s="54"/>
      <c r="G286" s="54"/>
      <c r="H286" s="54"/>
      <c r="I286" s="56">
        <f t="shared" si="10"/>
        <v>4.5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283">
        <v>130</v>
      </c>
      <c r="B287" s="53">
        <v>394</v>
      </c>
      <c r="C287" s="53">
        <v>9</v>
      </c>
      <c r="D287" s="53">
        <v>91</v>
      </c>
      <c r="E287" s="54"/>
      <c r="F287" s="54"/>
      <c r="G287" s="54"/>
      <c r="H287" s="54"/>
      <c r="I287" s="56">
        <f t="shared" si="10"/>
        <v>4.2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283">
        <v>140</v>
      </c>
      <c r="B288" s="53">
        <v>341</v>
      </c>
      <c r="C288" s="53"/>
      <c r="D288" s="53"/>
      <c r="E288" s="54"/>
      <c r="F288" s="54"/>
      <c r="G288" s="54"/>
      <c r="H288" s="54"/>
      <c r="I288" s="56">
        <f t="shared" si="10"/>
        <v>3.8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283">
        <v>150</v>
      </c>
      <c r="B289" s="53">
        <v>376</v>
      </c>
      <c r="C289" s="53">
        <v>10</v>
      </c>
      <c r="D289" s="53">
        <v>376</v>
      </c>
      <c r="E289" s="54"/>
      <c r="F289" s="54"/>
      <c r="G289" s="54"/>
      <c r="H289" s="54"/>
      <c r="I289" s="56">
        <f t="shared" si="10"/>
        <v>3.5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Merisier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Châtaignier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Aulne glutineux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Chêne pédonculé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Charme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Erable sycomore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Hêtre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Tilleul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>Alisier torminal</v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529.25712986118265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292.57482726862594</v>
      </c>
      <c r="AO3" s="62">
        <f>IF('Données projet'!E10&gt;30,$AM$33-$H$33,LOOKUP('Données projet'!$E$10,$A$3:$A$203,AM3:AM203)-LOOKUP('Données projet'!$E$10,$A$3:$A$203,$H$3:$H$203))</f>
        <v>283.48738729114024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397.24545766894346</v>
      </c>
      <c r="BJ3" s="62">
        <f>IF('Données projet'!E11&gt;30,$BH$33-$H$33,LOOKUP('Données projet'!$E$11,$A$3:$A$203,BH3:BH203)-LOOKUP('Données projet'!$E$11,$A$3:$A$203,$H$3:$H$203))</f>
        <v>431.44557882369696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277.27246253233807</v>
      </c>
      <c r="CE3" s="62">
        <f>IF('Données projet'!E12&gt;30,$CC$33-$H$33,LOOKUP('Données projet'!$E$12,$A$3:$A$203,CC3:CC203)-LOOKUP('Données projet'!$E$12,$A$3:$A$203,$H$3:$H$203))</f>
        <v>269.61868559913404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402.15128814037058</v>
      </c>
      <c r="CZ3" s="62">
        <f>IF('Données projet'!E13&gt;30,$CX$33-$H$33,LOOKUP('Données projet'!$E$13,$A$3:$A$203,CX3:CX203)-LOOKUP('Données projet'!$E$13,$A$3:$A$203,$H$3:$H$203))</f>
        <v>232.85411068442738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485.18236169209541</v>
      </c>
      <c r="DU3" s="62">
        <f>IF('Données projet'!E14&gt;30,$DS$33-$H$33,LOOKUP('Données projet'!$E$14,$A$3:$A$203,DS3:DS203)-LOOKUP('Données projet'!$E$14,$A$3:$A$203,$H$3:$H$203))</f>
        <v>417.30339652956951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427.78067187784063</v>
      </c>
      <c r="EP3" s="62">
        <f>IF('Données projet'!E15&gt;30,$EN$33-$H$33,LOOKUP('Données projet'!$E$15,$A$3:$A$203,EN3:EN203)-LOOKUP('Données projet'!$E$15,$A$3:$A$203,$H$3:$H$203))</f>
        <v>464.22892523825118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448.44001099301806</v>
      </c>
      <c r="FK3" s="62">
        <f>IF('Données projet'!E16&gt;30,$FI$33-$H$33,LOOKUP('Données projet'!$E$16,$A$3:$A$203,FI3:FI203)-LOOKUP('Données projet'!$E$16,$A$3:$A$203,$H$3:$H$203))</f>
        <v>230.82970731138215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408.91016501484626</v>
      </c>
      <c r="GF3" s="62">
        <f>IF('Données projet'!E17&gt;30,$GD$33-$H$33,LOOKUP('Données projet'!$E$17,$A$3:$A$203,GD3:GD203)-LOOKUP('Données projet'!$E$17,$A$3:$A$203,$H$3:$H$203))</f>
        <v>354.22396807666433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562.69380557620775</v>
      </c>
      <c r="HA3" s="62">
        <f>IF('Données projet'!E18&gt;30,$GY$33-$H$33,LOOKUP('Données projet'!$E$18,$A$3:$A$203,GY3:GY203)-LOOKUP('Données projet'!$E$18,$A$3:$A$203,$H$3:$H$203))</f>
        <v>294.45557293177131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529.25712986118265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2.6666666666666665</v>
      </c>
      <c r="AI4" s="14">
        <f>IF('Données projet'!$A$62&gt;35,AI3+AH4-AQ3,IF(A4&lt;'Données projet'!$A$62,$AF$205^A4,IF(A4='Données projet'!$A$62,'Données projet'!$B$62,AI3+AH4-AQ3)))</f>
        <v>1.2788040393997409</v>
      </c>
      <c r="AJ4" s="14">
        <f>AI4*VLOOKUP('Données projet'!$B$10,Paramètres!$A$1:$I$89,3,0)*VLOOKUP('Données projet'!$B$10,Paramètres!$A$1:$I$89,5,0)</f>
        <v>0.99746715073179792</v>
      </c>
      <c r="AK4" s="14">
        <f>EXP(-1.0587+0.8836*LN(AJ4)+0.284)</f>
        <v>0.45981048445793882</v>
      </c>
      <c r="AL4" s="22">
        <f t="shared" ref="AL4:AL67" si="4">(AJ4+AK4)*0.475*44/12</f>
        <v>2.5380918812887914</v>
      </c>
      <c r="AM4" s="62">
        <f t="shared" ref="AM4:AM67" si="5">AL4+(AD4+AE4)*44/12</f>
        <v>260.42698077017764</v>
      </c>
      <c r="AN4" s="62">
        <f ca="1">AVERAGE(OFFSET($AM$3,0,0,'Données projet'!$E$10+1,1))-AVERAGE(OFFSET($H$3,0,0,'Données projet'!$E$10+1,1))</f>
        <v>292.57482726862594</v>
      </c>
      <c r="AO4" s="62">
        <f>$AO$3</f>
        <v>283.48738729114024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1.9</v>
      </c>
      <c r="BD4" s="13">
        <f>IF('Données projet'!$A$88&gt;35,BD3+BC4-BL3,IF(A4&lt;'Données projet'!$A$88,$BA$205^A4,IF(A4='Données projet'!$A$88,'Données projet'!$B$88,BD3+BC4-BL3)))</f>
        <v>1.3423796509621049</v>
      </c>
      <c r="BE4" s="14">
        <f>BD4*VLOOKUP('Données projet'!$B$11,Paramètres!$A$1:$I$89,3,0)*VLOOKUP('Données projet'!$B$11,Paramètres!$A$1:$I$89,5,0)</f>
        <v>0.98423276008541516</v>
      </c>
      <c r="BF4" s="14">
        <f>EXP(-1.0587+0.8836*LN(BE4)+0.284)</f>
        <v>0.45441566615213064</v>
      </c>
      <c r="BG4" s="22">
        <f t="shared" ref="BG4:BG67" si="7">(BE4+BF4)*0.475*44/12</f>
        <v>2.5056460090303925</v>
      </c>
      <c r="BH4" s="62">
        <f t="shared" ref="BH4:BH67" si="8">BG4+(AY4+AZ4)*44/12</f>
        <v>260.39453489791924</v>
      </c>
      <c r="BI4" s="62">
        <f ca="1">AVERAGE(OFFSET($BH$3,0,0,'Données projet'!$E$11+1,1))-AVERAGE(OFFSET($H$3,0,0,'Données projet'!$E$11+1,1))</f>
        <v>397.24545766894346</v>
      </c>
      <c r="BJ4" s="62">
        <f>$BJ$3</f>
        <v>431.44557882369696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1.1000000000000001</v>
      </c>
      <c r="BY4" s="13">
        <f>IF('Données projet'!$A$114&gt;35,BY3+BX4-CG3,IF(A4&lt;'Données projet'!$A$114,$BV$205^A4,IF(A4='Données projet'!$A$114,'Données projet'!$B$114,BY3+BX4-CG3)))</f>
        <v>1.2709816152101407</v>
      </c>
      <c r="BZ4" s="14">
        <f>BY4*VLOOKUP('Données projet'!$B$12,Paramètres!$A$1:$I$89,3,0)*VLOOKUP('Données projet'!$B$12,Paramètres!$A$1:$I$89,5,0)</f>
        <v>0.83274715428568413</v>
      </c>
      <c r="CA4" s="14">
        <f>EXP(-1.0587+0.8836*LN(BZ4)+0.284)</f>
        <v>0.39202836439738087</v>
      </c>
      <c r="CB4" s="22">
        <f t="shared" ref="CB4:CB67" si="10">(BZ4+CA4)*0.475*44/12</f>
        <v>2.1331506950396717</v>
      </c>
      <c r="CC4" s="62">
        <f t="shared" ref="CC4:CC67" si="11">CB4+(BT4+BU4)*44/12</f>
        <v>260.02203958392852</v>
      </c>
      <c r="CD4" s="62">
        <f ca="1">AVERAGE(OFFSET($CC$3,0,0,'Données projet'!$E$12+1,1))-AVERAGE(OFFSET($H$3,0,0,'Données projet'!$E$12+1,1))</f>
        <v>277.27246253233807</v>
      </c>
      <c r="CE4" s="62">
        <f>$CE$3</f>
        <v>269.61868559913404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1.0155020926567102</v>
      </c>
      <c r="CV4" s="14">
        <f>EXP(-1.0587+0.8836*LN(CU4)+0.284)</f>
        <v>0.46714880239274614</v>
      </c>
      <c r="CW4" s="22">
        <f t="shared" ref="CW4:CW67" si="13">(CU4+CV4)*0.475*44/12</f>
        <v>2.5822836422111366</v>
      </c>
      <c r="CX4" s="62">
        <f t="shared" ref="CX4:CX67" si="14">CW4+(CO4+CP4)*44/12</f>
        <v>260.47117253109997</v>
      </c>
      <c r="CY4" s="62">
        <f ca="1">AVERAGE(OFFSET($CX$3,0,0,'Données projet'!$E$13+1,1))-AVERAGE(OFFSET($H$3,0,0,'Données projet'!$E$13+1,1))</f>
        <v>402.15128814037058</v>
      </c>
      <c r="CZ4" s="62">
        <f>$CZ$3</f>
        <v>232.85411068442738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3.4615384615384612</v>
      </c>
      <c r="DO4" s="13">
        <f>IF('Données projet'!$A$166&gt;35,DO3+DN4-DW3,IF(A4&lt;'Données projet'!$A$166,$DL$205^A4,IF(A4='Données projet'!$A$166,'Données projet'!$B$166,DO3+DN4-DW3)))</f>
        <v>1.4253677099879467</v>
      </c>
      <c r="DP4" s="18">
        <f>DO4*VLOOKUP('Données projet'!$B$14,Paramètres!$A$1:$I$89,3,0)*VLOOKUP('Données projet'!$B$14,Paramètres!$A$1:$I$89,5,0)</f>
        <v>1.3563799128245302</v>
      </c>
      <c r="DQ4" s="14">
        <f>EXP(-1.0587+0.8836*LN(DP4)+0.284)</f>
        <v>0.60328735884622386</v>
      </c>
      <c r="DR4" s="22">
        <f t="shared" ref="DR4:DR67" si="16">(DP4+DQ4)*0.475*44/12</f>
        <v>3.4130871648265626</v>
      </c>
      <c r="DS4" s="62">
        <f t="shared" ref="DS4:DS67" si="17">DR4+(DJ4+DK4)*44/12</f>
        <v>261.30197605371541</v>
      </c>
      <c r="DT4" s="62">
        <f ca="1">AVERAGE(OFFSET($DS$3,0,0,'Données projet'!$E$14+1,1))-AVERAGE(OFFSET($H$3,0,0,'Données projet'!$E$14+1,1))</f>
        <v>485.18236169209541</v>
      </c>
      <c r="DU4" s="62">
        <f>$DU$3</f>
        <v>417.30339652956951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1.9</v>
      </c>
      <c r="EJ4" s="13">
        <f>IF('Données projet'!$A$192&gt;35,EJ3+EI4-ER3,IF(A4&lt;'Données projet'!$A$192,$EG$205^A4,IF(A4='Données projet'!$A$192,'Données projet'!$B$192,EJ3+EI4-ER3)))</f>
        <v>1.3423796509621049</v>
      </c>
      <c r="EK4" s="18">
        <f>EJ4*VLOOKUP('Données projet'!$B$15,Paramètres!$A$1:$I$89,3,0)*VLOOKUP('Données projet'!$B$15,Paramètres!$A$1:$I$89,5,0)</f>
        <v>1.0679972503054507</v>
      </c>
      <c r="EL4" s="14">
        <f>EXP(-1.0587+0.8836*LN(EK4)+0.284)</f>
        <v>0.48842359485523285</v>
      </c>
      <c r="EM4" s="22">
        <f t="shared" ref="EM4:EM67" si="19">(EK4+EL4)*0.475*44/12</f>
        <v>2.7107663053215236</v>
      </c>
      <c r="EN4" s="62">
        <f t="shared" ref="EN4:EN67" si="20">EM4+(EE4+EF4)*44/12</f>
        <v>260.59965519421036</v>
      </c>
      <c r="EO4" s="62">
        <f ca="1">AVERAGE(OFFSET($EN$3,0,0,'Données projet'!$E$15+1,1))-AVERAGE(OFFSET($H$3,0,0,'Données projet'!$E$15+1,1))</f>
        <v>427.78067187784063</v>
      </c>
      <c r="EP4" s="62">
        <f>$EP$3</f>
        <v>464.22892523825118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2.8518518518518516</v>
      </c>
      <c r="FE4" s="13">
        <f>IF('Données projet'!$A$218&gt;35,FE3+FD4-FM3,IF(A4&lt;'Données projet'!$A$218,$FB$205^A4,IF(A4='Données projet'!$A$218,'Données projet'!$B$218,FE3+FD4-FM3)))</f>
        <v>1.1745459910013509</v>
      </c>
      <c r="FF4" s="18">
        <f>FE4*VLOOKUP('Données projet'!$B$16,Paramètres!$A$1:$I$89,3,0)*VLOOKUP('Données projet'!$B$16,Paramètres!$A$1:$I$89,5,0)</f>
        <v>1.0077604602791592</v>
      </c>
      <c r="FG4" s="14">
        <f>EXP(-1.0587+0.8836*LN(FF4)+0.284)</f>
        <v>0.46400064914900446</v>
      </c>
      <c r="FH4" s="22">
        <f t="shared" ref="FH4:FH67" si="22">(FF4+FG4)*0.475*44/12</f>
        <v>2.563317265587385</v>
      </c>
      <c r="FI4" s="62">
        <f t="shared" ref="FI4:FI67" si="23">FH4+(EZ4+FA4)*44/12</f>
        <v>260.45220615447624</v>
      </c>
      <c r="FJ4" s="62">
        <f ca="1">AVERAGE(OFFSET($FI$3,0,0,'Données projet'!$E$16+1,1))-AVERAGE(OFFSET($H$3,0,0,'Données projet'!$E$16+1,1))</f>
        <v>448.44001099301806</v>
      </c>
      <c r="FK4" s="62">
        <f>$FK$3</f>
        <v>230.82970731138215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4.615384615384615</v>
      </c>
      <c r="FZ4" s="13">
        <f>IF('Données projet'!$A$244&gt;35,FZ3+FY4-GH3,IF(A4&lt;'Données projet'!$A$244,$FW$205^A4,IF(A4='Données projet'!$A$244,'Données projet'!$B$244,FZ3+FY4-GH3)))</f>
        <v>1.4669685047497352</v>
      </c>
      <c r="GA4" s="18">
        <f>FZ4*VLOOKUP('Données projet'!$B$17,Paramètres!$A$1:$I$89,3,0)*VLOOKUP('Données projet'!$B$17,Paramètres!$A$1:$I$89,5,0)</f>
        <v>0.98404247298612235</v>
      </c>
      <c r="GB4" s="14">
        <f>EXP(-1.0587+0.8836*LN(GA4)+0.284)</f>
        <v>0.45433803689697932</v>
      </c>
      <c r="GC4" s="22">
        <f t="shared" ref="GC4:GC67" si="25">(GA4+GB4)*0.475*44/12</f>
        <v>2.5051793880464022</v>
      </c>
      <c r="GD4" s="62">
        <f t="shared" ref="GD4:GD67" si="26">GC4+(FU4+FV4)*44/12</f>
        <v>260.39406827693529</v>
      </c>
      <c r="GE4" s="62">
        <f ca="1">AVERAGE(OFFSET($GD$3,0,0,'Données projet'!$E$17+1,1))-AVERAGE(OFFSET($H$3,0,0,'Données projet'!$E$17+1,1))</f>
        <v>408.91016501484626</v>
      </c>
      <c r="GF4" s="62">
        <f>$GF$3</f>
        <v>354.22396807666433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3.65</v>
      </c>
      <c r="GU4" s="13">
        <f>IF('Données projet'!$A$270&gt;35,GU3+GT4-HC3,IF(A4&lt;'Données projet'!$A$270,$GR$205^A4,IF(A4='Données projet'!$A$270,'Données projet'!$B$270,GU3+GT4-HC3)))</f>
        <v>1.2392705892426346</v>
      </c>
      <c r="GV4" s="18">
        <f>GU4*VLOOKUP('Données projet'!$B$18,Paramètres!$A$1:$I$89,3,0)*VLOOKUP('Données projet'!$B$18,Paramètres!$A$1:$I$89,5,0)</f>
        <v>1.1986225139154763</v>
      </c>
      <c r="GW4" s="14">
        <f>EXP(-1.0587+0.8836*LN(GV4)+0.284)</f>
        <v>0.54084878793982472</v>
      </c>
      <c r="GX4" s="22">
        <f t="shared" ref="GX4:GX67" si="28">(GV4+GW4)*0.475*44/12</f>
        <v>3.0295791840646493</v>
      </c>
      <c r="GY4" s="62">
        <f t="shared" ref="GY4:GY67" si="29">GX4+(GP4+GQ4)*44/12</f>
        <v>260.91846807295349</v>
      </c>
      <c r="GZ4" s="62">
        <f ca="1">AVERAGE(OFFSET($GY$3,0,0,'Données projet'!$E$18+1,1))-AVERAGE(OFFSET($H$3,0,0,'Données projet'!$E$18+1,1))</f>
        <v>562.69380557620775</v>
      </c>
      <c r="HA4" s="62">
        <f>$HA$3</f>
        <v>294.45557293177131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529.25712986118265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2.6666666666666665</v>
      </c>
      <c r="AI5" s="14">
        <f>IF('Données projet'!$A$62&gt;35,AI4+AH5-AQ4,IF(A5&lt;'Données projet'!$A$62,$AF$205^A5,IF(A5='Données projet'!$A$62,'Données projet'!$B$62,AI4+AH5-AQ4)))</f>
        <v>1.6353397711850939</v>
      </c>
      <c r="AJ5" s="14">
        <f>AI5*VLOOKUP('Données projet'!$B$10,Paramètres!$A$1:$I$89,3,0)*VLOOKUP('Données projet'!$B$10,Paramètres!$A$1:$I$89,5,0)</f>
        <v>1.2755650215243732</v>
      </c>
      <c r="AK5" s="14">
        <f t="shared" ref="AK5:AK68" si="35">EXP(-1.0587+0.8836*LN(AJ5)+0.284)</f>
        <v>0.57141400910743001</v>
      </c>
      <c r="AL5" s="22">
        <f t="shared" si="4"/>
        <v>3.2168218116837237</v>
      </c>
      <c r="AM5" s="62">
        <f t="shared" si="5"/>
        <v>262.32793292279484</v>
      </c>
      <c r="AN5" s="62">
        <f ca="1">AVERAGE(OFFSET($AM$3,0,0,'Données projet'!$E$10+1,1))-AVERAGE(OFFSET($H$3,0,0,'Données projet'!$E$10+1,1))</f>
        <v>292.57482726862594</v>
      </c>
      <c r="AO5" s="62">
        <f t="shared" ref="AO5:AO68" si="36">$AO$3</f>
        <v>283.48738729114024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1.9</v>
      </c>
      <c r="BD5" s="13">
        <f>IF('Données projet'!$A$88&gt;35,BD4+BC5-BL4,IF(A5&lt;'Données projet'!$A$88,$BA$205^A5,IF(A5='Données projet'!$A$88,'Données projet'!$B$88,BD4+BC5-BL4)))</f>
        <v>1.8019831273171425</v>
      </c>
      <c r="BE5" s="14">
        <f>BD5*VLOOKUP('Données projet'!$B$11,Paramètres!$A$1:$I$89,3,0)*VLOOKUP('Données projet'!$B$11,Paramètres!$A$1:$I$89,5,0)</f>
        <v>1.3212140289489287</v>
      </c>
      <c r="BF5" s="14">
        <f t="shared" ref="BF5:BF68" si="37">EXP(-1.0587+0.8836*LN(BE5)+0.284)</f>
        <v>0.58944591680017422</v>
      </c>
      <c r="BG5" s="22">
        <f t="shared" si="7"/>
        <v>3.327732738846354</v>
      </c>
      <c r="BH5" s="62">
        <f t="shared" si="8"/>
        <v>262.43884384995749</v>
      </c>
      <c r="BI5" s="62">
        <f ca="1">AVERAGE(OFFSET($BH$3,0,0,'Données projet'!$E$11+1,1))-AVERAGE(OFFSET($H$3,0,0,'Données projet'!$E$11+1,1))</f>
        <v>397.24545766894346</v>
      </c>
      <c r="BJ5" s="62">
        <f t="shared" ref="BJ5:BJ68" si="38">$BJ$3</f>
        <v>431.44557882369696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1.1000000000000001</v>
      </c>
      <c r="BY5" s="13">
        <f>IF('Données projet'!$A$114&gt;35,BY4+BX5-CG4,IF(A5&lt;'Données projet'!$A$114,$BV$205^A5,IF(A5='Données projet'!$A$114,'Données projet'!$B$114,BY4+BX5-CG4)))</f>
        <v>1.6153942662021783</v>
      </c>
      <c r="BZ5" s="14">
        <f>BY5*VLOOKUP('Données projet'!$B$12,Paramètres!$A$1:$I$89,3,0)*VLOOKUP('Données projet'!$B$12,Paramètres!$A$1:$I$89,5,0)</f>
        <v>1.0584063232156671</v>
      </c>
      <c r="CA5" s="14">
        <f t="shared" ref="CA5:CA68" si="39">EXP(-1.0587+0.8836*LN(BZ5)+0.284)</f>
        <v>0.48454592807852009</v>
      </c>
      <c r="CB5" s="22">
        <f t="shared" si="10"/>
        <v>2.6873085043373757</v>
      </c>
      <c r="CC5" s="62">
        <f t="shared" si="11"/>
        <v>261.79841961544849</v>
      </c>
      <c r="CD5" s="62">
        <f ca="1">AVERAGE(OFFSET($CC$3,0,0,'Données projet'!$E$12+1,1))-AVERAGE(OFFSET($H$3,0,0,'Données projet'!$E$12+1,1))</f>
        <v>277.27246253233807</v>
      </c>
      <c r="CE5" s="62">
        <f t="shared" ref="CE5:CE68" si="40">$CE$3</f>
        <v>269.61868559913404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1.2241743829417828</v>
      </c>
      <c r="CV5" s="14">
        <f t="shared" ref="CV5:CV68" si="41">EXP(-1.0587+0.8836*LN(CU5)+0.284)</f>
        <v>0.55102384568700224</v>
      </c>
      <c r="CW5" s="22">
        <f t="shared" si="13"/>
        <v>3.0918035815284672</v>
      </c>
      <c r="CX5" s="62">
        <f t="shared" si="14"/>
        <v>262.20291469263964</v>
      </c>
      <c r="CY5" s="62">
        <f ca="1">AVERAGE(OFFSET($CX$3,0,0,'Données projet'!$E$13+1,1))-AVERAGE(OFFSET($H$3,0,0,'Données projet'!$E$13+1,1))</f>
        <v>402.15128814037058</v>
      </c>
      <c r="CZ5" s="62">
        <f t="shared" ref="CZ5:CZ68" si="42">$CZ$3</f>
        <v>232.85411068442738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3.4615384615384612</v>
      </c>
      <c r="DO5" s="13">
        <f>IF('Données projet'!$A$166&gt;35,DO4+DN5-DW4,IF(A5&lt;'Données projet'!$A$166,$DL$205^A5,IF(A5='Données projet'!$A$166,'Données projet'!$B$166,DO4+DN5-DW4)))</f>
        <v>2.0316731086762831</v>
      </c>
      <c r="DP5" s="18">
        <f>DO5*VLOOKUP('Données projet'!$B$14,Paramètres!$A$1:$I$89,3,0)*VLOOKUP('Données projet'!$B$14,Paramètres!$A$1:$I$89,5,0)</f>
        <v>1.9333401302163511</v>
      </c>
      <c r="DQ5" s="14">
        <f t="shared" ref="DQ5:DQ68" si="43">EXP(-1.0587+0.8836*LN(DP5)+0.284)</f>
        <v>0.82515217433842525</v>
      </c>
      <c r="DR5" s="22">
        <f t="shared" si="16"/>
        <v>4.8043740970995685</v>
      </c>
      <c r="DS5" s="62">
        <f t="shared" si="17"/>
        <v>263.91548520821073</v>
      </c>
      <c r="DT5" s="62">
        <f ca="1">AVERAGE(OFFSET($DS$3,0,0,'Données projet'!$E$14+1,1))-AVERAGE(OFFSET($H$3,0,0,'Données projet'!$E$14+1,1))</f>
        <v>485.18236169209541</v>
      </c>
      <c r="DU5" s="62">
        <f t="shared" ref="DU5:DU68" si="44">$DU$3</f>
        <v>417.30339652956951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1.9</v>
      </c>
      <c r="EJ5" s="13">
        <f>IF('Données projet'!$A$192&gt;35,EJ4+EI5-ER4,IF(A5&lt;'Données projet'!$A$192,$EG$205^A5,IF(A5='Données projet'!$A$192,'Données projet'!$B$192,EJ4+EI5-ER4)))</f>
        <v>1.8019831273171425</v>
      </c>
      <c r="EK5" s="18">
        <f>EJ5*VLOOKUP('Données projet'!$B$15,Paramètres!$A$1:$I$89,3,0)*VLOOKUP('Données projet'!$B$15,Paramètres!$A$1:$I$89,5,0)</f>
        <v>1.4336577760935185</v>
      </c>
      <c r="EL5" s="14">
        <f t="shared" ref="EL5:EL68" si="45">EXP(-1.0587+0.8836*LN(EK5)+0.284)</f>
        <v>0.63355934907379652</v>
      </c>
      <c r="EM5" s="22">
        <f t="shared" si="19"/>
        <v>3.6004031596664068</v>
      </c>
      <c r="EN5" s="62">
        <f t="shared" si="20"/>
        <v>262.71151427077757</v>
      </c>
      <c r="EO5" s="62">
        <f ca="1">AVERAGE(OFFSET($EN$3,0,0,'Données projet'!$E$15+1,1))-AVERAGE(OFFSET($H$3,0,0,'Données projet'!$E$15+1,1))</f>
        <v>427.78067187784063</v>
      </c>
      <c r="EP5" s="62">
        <f t="shared" ref="EP5:EP68" si="46">$EP$3</f>
        <v>464.22892523825118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2.8518518518518516</v>
      </c>
      <c r="FE5" s="13">
        <f>IF('Données projet'!$A$218&gt;35,FE4+FD5-FM4,IF(A5&lt;'Données projet'!$A$218,$FB$205^A5,IF(A5='Données projet'!$A$218,'Données projet'!$B$218,FE4+FD5-FM4)))</f>
        <v>1.3795582849773456</v>
      </c>
      <c r="FF5" s="18">
        <f>FE5*VLOOKUP('Données projet'!$B$16,Paramètres!$A$1:$I$89,3,0)*VLOOKUP('Données projet'!$B$16,Paramètres!$A$1:$I$89,5,0)</f>
        <v>1.1836610085105626</v>
      </c>
      <c r="FG5" s="14">
        <f t="shared" ref="FG5:FG68" si="47">EXP(-1.0587+0.8836*LN(FF5)+0.284)</f>
        <v>0.53487924210431825</v>
      </c>
      <c r="FH5" s="22">
        <f t="shared" si="22"/>
        <v>2.9931242698209175</v>
      </c>
      <c r="FI5" s="62">
        <f t="shared" si="23"/>
        <v>262.10423538093204</v>
      </c>
      <c r="FJ5" s="62">
        <f ca="1">AVERAGE(OFFSET($FI$3,0,0,'Données projet'!$E$16+1,1))-AVERAGE(OFFSET($H$3,0,0,'Données projet'!$E$16+1,1))</f>
        <v>448.44001099301806</v>
      </c>
      <c r="FK5" s="62">
        <f t="shared" ref="FK5:FK68" si="48">$FK$3</f>
        <v>230.82970731138215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4.615384615384615</v>
      </c>
      <c r="FZ5" s="13">
        <f>IF('Données projet'!$A$244&gt;35,FZ4+FY5-GH4,IF(A5&lt;'Données projet'!$A$244,$FW$205^A5,IF(A5='Données projet'!$A$244,'Données projet'!$B$244,FZ4+FY5-GH4)))</f>
        <v>2.1519965939276737</v>
      </c>
      <c r="GA5" s="18">
        <f>FZ5*VLOOKUP('Données projet'!$B$17,Paramètres!$A$1:$I$89,3,0)*VLOOKUP('Données projet'!$B$17,Paramètres!$A$1:$I$89,5,0)</f>
        <v>1.4435593152066835</v>
      </c>
      <c r="GB5" s="14">
        <f t="shared" ref="GB5:GB68" si="49">EXP(-1.0587+0.8836*LN(GA5)+0.284)</f>
        <v>0.63742414056230023</v>
      </c>
      <c r="GC5" s="22">
        <f t="shared" si="25"/>
        <v>3.624379518797646</v>
      </c>
      <c r="GD5" s="62">
        <f t="shared" si="26"/>
        <v>262.73549062990878</v>
      </c>
      <c r="GE5" s="62">
        <f ca="1">AVERAGE(OFFSET($GD$3,0,0,'Données projet'!$E$17+1,1))-AVERAGE(OFFSET($H$3,0,0,'Données projet'!$E$17+1,1))</f>
        <v>408.91016501484626</v>
      </c>
      <c r="GF5" s="62">
        <f t="shared" ref="GF5:GF68" si="50">$GF$3</f>
        <v>354.22396807666433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3.65</v>
      </c>
      <c r="GU5" s="13">
        <f>IF('Données projet'!$A$270&gt;35,GU4+GT5-HC4,IF(A5&lt;'Données projet'!$A$270,$GR$205^A5,IF(A5='Données projet'!$A$270,'Données projet'!$B$270,GU4+GT5-HC4)))</f>
        <v>1.5357915933617867</v>
      </c>
      <c r="GV5" s="18">
        <f>GU5*VLOOKUP('Données projet'!$B$18,Paramètres!$A$1:$I$89,3,0)*VLOOKUP('Données projet'!$B$18,Paramètres!$A$1:$I$89,5,0)</f>
        <v>1.4854176290995202</v>
      </c>
      <c r="GW5" s="14">
        <f t="shared" ref="GW5:GW68" si="51">EXP(-1.0587+0.8836*LN(GV5)+0.284)</f>
        <v>0.65372856897250708</v>
      </c>
      <c r="GX5" s="22">
        <f t="shared" si="28"/>
        <v>3.725679628308781</v>
      </c>
      <c r="GY5" s="62">
        <f t="shared" si="29"/>
        <v>262.83679073941994</v>
      </c>
      <c r="GZ5" s="62">
        <f ca="1">AVERAGE(OFFSET($GY$3,0,0,'Données projet'!$E$18+1,1))-AVERAGE(OFFSET($H$3,0,0,'Données projet'!$E$18+1,1))</f>
        <v>562.69380557620775</v>
      </c>
      <c r="HA5" s="62">
        <f t="shared" ref="HA5:HA68" si="52">$HA$3</f>
        <v>294.45557293177131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529.25712986118265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2.6666666666666665</v>
      </c>
      <c r="AI6" s="14">
        <f>IF('Données projet'!$A$62&gt;35,AI5+AH6-AQ5,IF(A6&lt;'Données projet'!$A$62,$AF$205^A6,IF(A6='Données projet'!$A$62,'Données projet'!$B$62,AI5+AH6-AQ5)))</f>
        <v>2.0912791051825459</v>
      </c>
      <c r="AJ6" s="14">
        <f>AI6*VLOOKUP('Données projet'!$B$10,Paramètres!$A$1:$I$89,3,0)*VLOOKUP('Données projet'!$B$10,Paramètres!$A$1:$I$89,5,0)</f>
        <v>1.6311977020423858</v>
      </c>
      <c r="AK6" s="14">
        <f t="shared" si="35"/>
        <v>0.71010553443370616</v>
      </c>
      <c r="AL6" s="22">
        <f t="shared" si="4"/>
        <v>4.0777698035291934</v>
      </c>
      <c r="AM6" s="62">
        <f t="shared" si="5"/>
        <v>264.41110313686249</v>
      </c>
      <c r="AN6" s="62">
        <f ca="1">AVERAGE(OFFSET($AM$3,0,0,'Données projet'!$E$10+1,1))-AVERAGE(OFFSET($H$3,0,0,'Données projet'!$E$10+1,1))</f>
        <v>292.57482726862594</v>
      </c>
      <c r="AO6" s="62">
        <f t="shared" si="36"/>
        <v>283.48738729114024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1.9</v>
      </c>
      <c r="BD6" s="13">
        <f>IF('Données projet'!$A$88&gt;35,BD5+BC6-BL5,IF(A6&lt;'Données projet'!$A$88,$BA$205^A6,IF(A6='Données projet'!$A$88,'Données projet'!$B$88,BD5+BC6-BL5)))</f>
        <v>2.4189454814875879</v>
      </c>
      <c r="BE6" s="14">
        <f>BD6*VLOOKUP('Données projet'!$B$11,Paramètres!$A$1:$I$89,3,0)*VLOOKUP('Données projet'!$B$11,Paramètres!$A$1:$I$89,5,0)</f>
        <v>1.7735708270266992</v>
      </c>
      <c r="BF6" s="14">
        <f t="shared" si="37"/>
        <v>0.76460059525341872</v>
      </c>
      <c r="BG6" s="22">
        <f t="shared" si="7"/>
        <v>4.4206485604712045</v>
      </c>
      <c r="BH6" s="62">
        <f t="shared" si="8"/>
        <v>264.75398189380451</v>
      </c>
      <c r="BI6" s="62">
        <f ca="1">AVERAGE(OFFSET($BH$3,0,0,'Données projet'!$E$11+1,1))-AVERAGE(OFFSET($H$3,0,0,'Données projet'!$E$11+1,1))</f>
        <v>397.24545766894346</v>
      </c>
      <c r="BJ6" s="62">
        <f t="shared" si="38"/>
        <v>431.44557882369696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1.1000000000000001</v>
      </c>
      <c r="BY6" s="13">
        <f>IF('Données projet'!$A$114&gt;35,BY5+BX6-CG5,IF(A6&lt;'Données projet'!$A$114,$BV$205^A6,IF(A6='Données projet'!$A$114,'Données projet'!$B$114,BY5+BX6-CG5)))</f>
        <v>2.0531364136588448</v>
      </c>
      <c r="BZ6" s="14">
        <f>BY6*VLOOKUP('Données projet'!$B$12,Paramètres!$A$1:$I$89,3,0)*VLOOKUP('Données projet'!$B$12,Paramètres!$A$1:$I$89,5,0)</f>
        <v>1.3452149782292753</v>
      </c>
      <c r="CA6" s="14">
        <f t="shared" si="39"/>
        <v>0.59889737003693966</v>
      </c>
      <c r="CB6" s="22">
        <f t="shared" si="10"/>
        <v>3.3859956732303242</v>
      </c>
      <c r="CC6" s="62">
        <f t="shared" si="11"/>
        <v>263.71932900656361</v>
      </c>
      <c r="CD6" s="62">
        <f ca="1">AVERAGE(OFFSET($CC$3,0,0,'Données projet'!$E$12+1,1))-AVERAGE(OFFSET($H$3,0,0,'Données projet'!$E$12+1,1))</f>
        <v>277.27246253233807</v>
      </c>
      <c r="CE6" s="62">
        <f t="shared" si="40"/>
        <v>269.61868559913404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1.4757260774621526</v>
      </c>
      <c r="CV6" s="14">
        <f t="shared" si="41"/>
        <v>0.64995837934402878</v>
      </c>
      <c r="CW6" s="22">
        <f t="shared" si="13"/>
        <v>3.7022337622707653</v>
      </c>
      <c r="CX6" s="62">
        <f t="shared" si="14"/>
        <v>264.03556709560405</v>
      </c>
      <c r="CY6" s="62">
        <f ca="1">AVERAGE(OFFSET($CX$3,0,0,'Données projet'!$E$13+1,1))-AVERAGE(OFFSET($H$3,0,0,'Données projet'!$E$13+1,1))</f>
        <v>402.15128814037058</v>
      </c>
      <c r="CZ6" s="62">
        <f t="shared" si="42"/>
        <v>232.85411068442738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3.4615384615384612</v>
      </c>
      <c r="DO6" s="13">
        <f>IF('Données projet'!$A$166&gt;35,DO5+DN6-DW5,IF(A6&lt;'Données projet'!$A$166,$DL$205^A6,IF(A6='Données projet'!$A$166,'Données projet'!$B$166,DO5+DN6-DW5)))</f>
        <v>2.8958812463580066</v>
      </c>
      <c r="DP6" s="18">
        <f>DO6*VLOOKUP('Données projet'!$B$14,Paramètres!$A$1:$I$89,3,0)*VLOOKUP('Données projet'!$B$14,Paramètres!$A$1:$I$89,5,0)</f>
        <v>2.7557205940342793</v>
      </c>
      <c r="DQ6" s="14">
        <f t="shared" si="43"/>
        <v>1.1286099415668089</v>
      </c>
      <c r="DR6" s="22">
        <f t="shared" si="16"/>
        <v>6.7652090161718945</v>
      </c>
      <c r="DS6" s="62">
        <f t="shared" si="17"/>
        <v>267.09854234950524</v>
      </c>
      <c r="DT6" s="62">
        <f ca="1">AVERAGE(OFFSET($DS$3,0,0,'Données projet'!$E$14+1,1))-AVERAGE(OFFSET($H$3,0,0,'Données projet'!$E$14+1,1))</f>
        <v>485.18236169209541</v>
      </c>
      <c r="DU6" s="62">
        <f t="shared" si="44"/>
        <v>417.30339652956951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1.9</v>
      </c>
      <c r="EJ6" s="13">
        <f>IF('Données projet'!$A$192&gt;35,EJ5+EI6-ER5,IF(A6&lt;'Données projet'!$A$192,$EG$205^A6,IF(A6='Données projet'!$A$192,'Données projet'!$B$192,EJ5+EI6-ER5)))</f>
        <v>2.4189454814875879</v>
      </c>
      <c r="EK6" s="18">
        <f>EJ6*VLOOKUP('Données projet'!$B$15,Paramètres!$A$1:$I$89,3,0)*VLOOKUP('Données projet'!$B$15,Paramètres!$A$1:$I$89,5,0)</f>
        <v>1.9245130250715252</v>
      </c>
      <c r="EL6" s="14">
        <f t="shared" si="45"/>
        <v>0.82182239561499026</v>
      </c>
      <c r="EM6" s="22">
        <f t="shared" si="19"/>
        <v>4.7832008576956815</v>
      </c>
      <c r="EN6" s="62">
        <f t="shared" si="20"/>
        <v>265.11653419102902</v>
      </c>
      <c r="EO6" s="62">
        <f ca="1">AVERAGE(OFFSET($EN$3,0,0,'Données projet'!$E$15+1,1))-AVERAGE(OFFSET($H$3,0,0,'Données projet'!$E$15+1,1))</f>
        <v>427.78067187784063</v>
      </c>
      <c r="EP6" s="62">
        <f t="shared" si="46"/>
        <v>464.22892523825118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2.8518518518518516</v>
      </c>
      <c r="FE6" s="13">
        <f>IF('Données projet'!$A$218&gt;35,FE5+FD6-FM5,IF(A6&lt;'Données projet'!$A$218,$FB$205^A6,IF(A6='Données projet'!$A$218,'Données projet'!$B$218,FE5+FD6-FM5)))</f>
        <v>1.6203546529728405</v>
      </c>
      <c r="FF6" s="18">
        <f>FE6*VLOOKUP('Données projet'!$B$16,Paramètres!$A$1:$I$89,3,0)*VLOOKUP('Données projet'!$B$16,Paramètres!$A$1:$I$89,5,0)</f>
        <v>1.3902642922506974</v>
      </c>
      <c r="FG6" s="14">
        <f t="shared" si="47"/>
        <v>0.61658492107457386</v>
      </c>
      <c r="FH6" s="22">
        <f t="shared" si="22"/>
        <v>3.495262379874847</v>
      </c>
      <c r="FI6" s="62">
        <f t="shared" si="23"/>
        <v>263.82859571320819</v>
      </c>
      <c r="FJ6" s="62">
        <f ca="1">AVERAGE(OFFSET($FI$3,0,0,'Données projet'!$E$16+1,1))-AVERAGE(OFFSET($H$3,0,0,'Données projet'!$E$16+1,1))</f>
        <v>448.44001099301806</v>
      </c>
      <c r="FK6" s="62">
        <f t="shared" si="48"/>
        <v>230.82970731138215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4.615384615384615</v>
      </c>
      <c r="FZ6" s="13">
        <f>IF('Données projet'!$A$244&gt;35,FZ5+FY6-GH5,IF(A6&lt;'Données projet'!$A$244,$FW$205^A6,IF(A6='Données projet'!$A$244,'Données projet'!$B$244,FZ5+FY6-GH5)))</f>
        <v>3.1569112256206027</v>
      </c>
      <c r="GA6" s="18">
        <f>FZ6*VLOOKUP('Données projet'!$B$17,Paramètres!$A$1:$I$89,3,0)*VLOOKUP('Données projet'!$B$17,Paramètres!$A$1:$I$89,5,0)</f>
        <v>2.1176560501463002</v>
      </c>
      <c r="GB6" s="14">
        <f t="shared" si="49"/>
        <v>0.89428905787106128</v>
      </c>
      <c r="GC6" s="22">
        <f t="shared" si="25"/>
        <v>5.245804396463571</v>
      </c>
      <c r="GD6" s="62">
        <f t="shared" si="26"/>
        <v>265.57913772979691</v>
      </c>
      <c r="GE6" s="62">
        <f ca="1">AVERAGE(OFFSET($GD$3,0,0,'Données projet'!$E$17+1,1))-AVERAGE(OFFSET($H$3,0,0,'Données projet'!$E$17+1,1))</f>
        <v>408.91016501484626</v>
      </c>
      <c r="GF6" s="62">
        <f t="shared" si="50"/>
        <v>354.22396807666433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3.65</v>
      </c>
      <c r="GU6" s="13">
        <f>IF('Données projet'!$A$270&gt;35,GU5+GT6-HC5,IF(A6&lt;'Données projet'!$A$270,$GR$205^A6,IF(A6='Données projet'!$A$270,'Données projet'!$B$270,GU5+GT6-HC5)))</f>
        <v>1.9032613528593461</v>
      </c>
      <c r="GV6" s="18">
        <f>GU6*VLOOKUP('Données projet'!$B$18,Paramètres!$A$1:$I$89,3,0)*VLOOKUP('Données projet'!$B$18,Paramètres!$A$1:$I$89,5,0)</f>
        <v>1.8408343804855598</v>
      </c>
      <c r="GW6" s="14">
        <f t="shared" si="51"/>
        <v>0.79016732850363813</v>
      </c>
      <c r="GX6" s="22">
        <f t="shared" si="28"/>
        <v>4.5823279764895188</v>
      </c>
      <c r="GY6" s="62">
        <f t="shared" si="29"/>
        <v>264.91566130982284</v>
      </c>
      <c r="GZ6" s="62">
        <f ca="1">AVERAGE(OFFSET($GY$3,0,0,'Données projet'!$E$18+1,1))-AVERAGE(OFFSET($H$3,0,0,'Données projet'!$E$18+1,1))</f>
        <v>562.69380557620775</v>
      </c>
      <c r="HA6" s="62">
        <f t="shared" si="52"/>
        <v>294.45557293177131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529.25712986118265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2.6666666666666665</v>
      </c>
      <c r="AI7" s="14">
        <f>IF('Données projet'!$A$62&gt;35,AI6+AH7-AQ6,IF(A7&lt;'Données projet'!$A$62,$AF$205^A7,IF(A7='Données projet'!$A$62,'Données projet'!$B$62,AI6+AH7-AQ6)))</f>
        <v>2.6743361672197152</v>
      </c>
      <c r="AJ7" s="14">
        <f>AI7*VLOOKUP('Données projet'!$B$10,Paramètres!$A$1:$I$89,3,0)*VLOOKUP('Données projet'!$B$10,Paramètres!$A$1:$I$89,5,0)</f>
        <v>2.0859822104313781</v>
      </c>
      <c r="AK7" s="14">
        <f t="shared" si="35"/>
        <v>0.88245976121767966</v>
      </c>
      <c r="AL7" s="22">
        <f t="shared" si="4"/>
        <v>5.1700364339554419</v>
      </c>
      <c r="AM7" s="62">
        <f t="shared" si="5"/>
        <v>266.72559198951097</v>
      </c>
      <c r="AN7" s="62">
        <f ca="1">AVERAGE(OFFSET($AM$3,0,0,'Données projet'!$E$10+1,1))-AVERAGE(OFFSET($H$3,0,0,'Données projet'!$E$10+1,1))</f>
        <v>292.57482726862594</v>
      </c>
      <c r="AO7" s="62">
        <f t="shared" si="36"/>
        <v>283.48738729114024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1.9</v>
      </c>
      <c r="BD7" s="13">
        <f>IF('Données projet'!$A$88&gt;35,BD6+BC7-BL6,IF(A7&lt;'Données projet'!$A$88,$BA$205^A7,IF(A7='Données projet'!$A$88,'Données projet'!$B$88,BD6+BC7-BL6)))</f>
        <v>3.247143191135669</v>
      </c>
      <c r="BE7" s="14">
        <f>BD7*VLOOKUP('Données projet'!$B$11,Paramètres!$A$1:$I$89,3,0)*VLOOKUP('Données projet'!$B$11,Paramètres!$A$1:$I$89,5,0)</f>
        <v>2.3808053877406725</v>
      </c>
      <c r="BF7" s="14">
        <f t="shared" si="37"/>
        <v>0.99180273134383279</v>
      </c>
      <c r="BG7" s="22">
        <f t="shared" si="7"/>
        <v>5.8739591407388465</v>
      </c>
      <c r="BH7" s="62">
        <f t="shared" si="8"/>
        <v>267.4295146962944</v>
      </c>
      <c r="BI7" s="62">
        <f ca="1">AVERAGE(OFFSET($BH$3,0,0,'Données projet'!$E$11+1,1))-AVERAGE(OFFSET($H$3,0,0,'Données projet'!$E$11+1,1))</f>
        <v>397.24545766894346</v>
      </c>
      <c r="BJ7" s="62">
        <f t="shared" si="38"/>
        <v>431.44557882369696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1.1000000000000001</v>
      </c>
      <c r="BY7" s="13">
        <f>IF('Données projet'!$A$114&gt;35,BY6+BX7-CG6,IF(A7&lt;'Données projet'!$A$114,$BV$205^A7,IF(A7='Données projet'!$A$114,'Données projet'!$B$114,BY6+BX7-CG6)))</f>
        <v>2.6094986352788743</v>
      </c>
      <c r="BZ7" s="14">
        <f>BY7*VLOOKUP('Données projet'!$B$12,Paramètres!$A$1:$I$89,3,0)*VLOOKUP('Données projet'!$B$12,Paramètres!$A$1:$I$89,5,0)</f>
        <v>1.7097435058347183</v>
      </c>
      <c r="CA7" s="14">
        <f t="shared" si="39"/>
        <v>0.74023542259349984</v>
      </c>
      <c r="CB7" s="22">
        <f t="shared" si="10"/>
        <v>4.2670466336791462</v>
      </c>
      <c r="CC7" s="62">
        <f t="shared" si="11"/>
        <v>265.82260218923471</v>
      </c>
      <c r="CD7" s="62">
        <f ca="1">AVERAGE(OFFSET($CC$3,0,0,'Données projet'!$E$12+1,1))-AVERAGE(OFFSET($H$3,0,0,'Données projet'!$E$12+1,1))</f>
        <v>277.27246253233807</v>
      </c>
      <c r="CE7" s="62">
        <f t="shared" si="40"/>
        <v>269.61868559913404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1.7789683284079942</v>
      </c>
      <c r="CV7" s="14">
        <f t="shared" si="41"/>
        <v>0.76665628572357314</v>
      </c>
      <c r="CW7" s="22">
        <f t="shared" si="13"/>
        <v>4.4336295362791462</v>
      </c>
      <c r="CX7" s="62">
        <f t="shared" si="14"/>
        <v>265.98918509183471</v>
      </c>
      <c r="CY7" s="62">
        <f ca="1">AVERAGE(OFFSET($CX$3,0,0,'Données projet'!$E$13+1,1))-AVERAGE(OFFSET($H$3,0,0,'Données projet'!$E$13+1,1))</f>
        <v>402.15128814037058</v>
      </c>
      <c r="CZ7" s="62">
        <f t="shared" si="42"/>
        <v>232.85411068442738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3.4615384615384612</v>
      </c>
      <c r="DO7" s="13">
        <f>IF('Données projet'!$A$166&gt;35,DO6+DN7-DW6,IF(A7&lt;'Données projet'!$A$166,$DL$205^A7,IF(A7='Données projet'!$A$166,'Données projet'!$B$166,DO6+DN7-DW6)))</f>
        <v>4.1276956205183524</v>
      </c>
      <c r="DP7" s="18">
        <f>DO7*VLOOKUP('Données projet'!$B$14,Paramètres!$A$1:$I$89,3,0)*VLOOKUP('Données projet'!$B$14,Paramètres!$A$1:$I$89,5,0)</f>
        <v>3.927915152485264</v>
      </c>
      <c r="DQ7" s="14">
        <f t="shared" si="43"/>
        <v>1.543667265040763</v>
      </c>
      <c r="DR7" s="22">
        <f t="shared" si="16"/>
        <v>9.5296727105244958</v>
      </c>
      <c r="DS7" s="62">
        <f t="shared" si="17"/>
        <v>271.08522826608004</v>
      </c>
      <c r="DT7" s="62">
        <f ca="1">AVERAGE(OFFSET($DS$3,0,0,'Données projet'!$E$14+1,1))-AVERAGE(OFFSET($H$3,0,0,'Données projet'!$E$14+1,1))</f>
        <v>485.18236169209541</v>
      </c>
      <c r="DU7" s="62">
        <f t="shared" si="44"/>
        <v>417.30339652956951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1.9</v>
      </c>
      <c r="EJ7" s="13">
        <f>IF('Données projet'!$A$192&gt;35,EJ6+EI7-ER6,IF(A7&lt;'Données projet'!$A$192,$EG$205^A7,IF(A7='Données projet'!$A$192,'Données projet'!$B$192,EJ6+EI7-ER6)))</f>
        <v>3.247143191135669</v>
      </c>
      <c r="EK7" s="18">
        <f>EJ7*VLOOKUP('Données projet'!$B$15,Paramètres!$A$1:$I$89,3,0)*VLOOKUP('Données projet'!$B$15,Paramètres!$A$1:$I$89,5,0)</f>
        <v>2.5834271228675387</v>
      </c>
      <c r="EL7" s="14">
        <f t="shared" si="45"/>
        <v>1.066028069701316</v>
      </c>
      <c r="EM7" s="22">
        <f t="shared" si="19"/>
        <v>6.3561344603907548</v>
      </c>
      <c r="EN7" s="62">
        <f t="shared" si="20"/>
        <v>267.91169001594631</v>
      </c>
      <c r="EO7" s="62">
        <f ca="1">AVERAGE(OFFSET($EN$3,0,0,'Données projet'!$E$15+1,1))-AVERAGE(OFFSET($H$3,0,0,'Données projet'!$E$15+1,1))</f>
        <v>427.78067187784063</v>
      </c>
      <c r="EP7" s="62">
        <f t="shared" si="46"/>
        <v>464.22892523825118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2.8518518518518516</v>
      </c>
      <c r="FE7" s="13">
        <f>IF('Données projet'!$A$218&gt;35,FE6+FD7-FM6,IF(A7&lt;'Données projet'!$A$218,$FB$205^A7,IF(A7='Données projet'!$A$218,'Données projet'!$B$218,FE6+FD7-FM6)))</f>
        <v>1.903181061649635</v>
      </c>
      <c r="FF7" s="18">
        <f>FE7*VLOOKUP('Données projet'!$B$16,Paramètres!$A$1:$I$89,3,0)*VLOOKUP('Données projet'!$B$16,Paramètres!$A$1:$I$89,5,0)</f>
        <v>1.632929350895387</v>
      </c>
      <c r="FG7" s="14">
        <f t="shared" si="47"/>
        <v>0.71077158163934118</v>
      </c>
      <c r="FH7" s="22">
        <f t="shared" si="22"/>
        <v>4.0819457908313188</v>
      </c>
      <c r="FI7" s="62">
        <f t="shared" si="23"/>
        <v>265.63750134638684</v>
      </c>
      <c r="FJ7" s="62">
        <f ca="1">AVERAGE(OFFSET($FI$3,0,0,'Données projet'!$E$16+1,1))-AVERAGE(OFFSET($H$3,0,0,'Données projet'!$E$16+1,1))</f>
        <v>448.44001099301806</v>
      </c>
      <c r="FK7" s="62">
        <f t="shared" si="48"/>
        <v>230.82970731138215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4.615384615384615</v>
      </c>
      <c r="FZ7" s="13">
        <f>IF('Données projet'!$A$244&gt;35,FZ6+FY7-GH6,IF(A7&lt;'Données projet'!$A$244,$FW$205^A7,IF(A7='Données projet'!$A$244,'Données projet'!$B$244,FZ6+FY7-GH6)))</f>
        <v>4.6310893402763087</v>
      </c>
      <c r="GA7" s="18">
        <f>FZ7*VLOOKUP('Données projet'!$B$17,Paramètres!$A$1:$I$89,3,0)*VLOOKUP('Données projet'!$B$17,Paramètres!$A$1:$I$89,5,0)</f>
        <v>3.1065347294573482</v>
      </c>
      <c r="GB7" s="14">
        <f t="shared" si="49"/>
        <v>1.2546636817400934</v>
      </c>
      <c r="GC7" s="22">
        <f t="shared" si="25"/>
        <v>7.5957538995022098</v>
      </c>
      <c r="GD7" s="62">
        <f t="shared" si="26"/>
        <v>269.15130945505774</v>
      </c>
      <c r="GE7" s="62">
        <f ca="1">AVERAGE(OFFSET($GD$3,0,0,'Données projet'!$E$17+1,1))-AVERAGE(OFFSET($H$3,0,0,'Données projet'!$E$17+1,1))</f>
        <v>408.91016501484626</v>
      </c>
      <c r="GF7" s="62">
        <f t="shared" si="50"/>
        <v>354.22396807666433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3.65</v>
      </c>
      <c r="GU7" s="13">
        <f>IF('Données projet'!$A$270&gt;35,GU6+GT7-HC6,IF(A7&lt;'Données projet'!$A$270,$GR$205^A7,IF(A7='Données projet'!$A$270,'Données projet'!$B$270,GU6+GT7-HC6)))</f>
        <v>2.3586558182407358</v>
      </c>
      <c r="GV7" s="18">
        <f>GU7*VLOOKUP('Données projet'!$B$18,Paramètres!$A$1:$I$89,3,0)*VLOOKUP('Données projet'!$B$18,Paramètres!$A$1:$I$89,5,0)</f>
        <v>2.2812919074024398</v>
      </c>
      <c r="GW7" s="14">
        <f t="shared" si="51"/>
        <v>0.95508202741684722</v>
      </c>
      <c r="GX7" s="22">
        <f t="shared" si="28"/>
        <v>5.6366846031435918</v>
      </c>
      <c r="GY7" s="62">
        <f t="shared" si="29"/>
        <v>267.19224015869912</v>
      </c>
      <c r="GZ7" s="62">
        <f ca="1">AVERAGE(OFFSET($GY$3,0,0,'Données projet'!$E$18+1,1))-AVERAGE(OFFSET($H$3,0,0,'Données projet'!$E$18+1,1))</f>
        <v>562.69380557620775</v>
      </c>
      <c r="HA7" s="62">
        <f t="shared" si="52"/>
        <v>294.45557293177131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529.25712986118265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2.6666666666666665</v>
      </c>
      <c r="AI8" s="14">
        <f>IF('Données projet'!$A$62&gt;35,AI7+AH8-AQ7,IF(A8&lt;'Données projet'!$A$62,$AF$205^A8,IF(A8='Données projet'!$A$62,'Données projet'!$B$62,AI7+AH8-AQ7)))</f>
        <v>3.4199518933533928</v>
      </c>
      <c r="AJ8" s="14">
        <f>AI8*VLOOKUP('Données projet'!$B$10,Paramètres!$A$1:$I$89,3,0)*VLOOKUP('Données projet'!$B$10,Paramètres!$A$1:$I$89,5,0)</f>
        <v>2.6675624768156463</v>
      </c>
      <c r="AK8" s="14">
        <f t="shared" si="35"/>
        <v>1.0966471776471767</v>
      </c>
      <c r="AL8" s="22">
        <f t="shared" si="4"/>
        <v>6.5559984815227494</v>
      </c>
      <c r="AM8" s="62">
        <f t="shared" si="5"/>
        <v>269.33377625930052</v>
      </c>
      <c r="AN8" s="62">
        <f ca="1">AVERAGE(OFFSET($AM$3,0,0,'Données projet'!$E$10+1,1))-AVERAGE(OFFSET($H$3,0,0,'Données projet'!$E$10+1,1))</f>
        <v>292.57482726862594</v>
      </c>
      <c r="AO8" s="62">
        <f t="shared" si="36"/>
        <v>283.48738729114024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1.9</v>
      </c>
      <c r="BD8" s="13">
        <f>IF('Données projet'!$A$88&gt;35,BD7+BC8-BL7,IF(A8&lt;'Données projet'!$A$88,$BA$205^A8,IF(A8='Données projet'!$A$88,'Données projet'!$B$88,BD7+BC8-BL7)))</f>
        <v>4.3588989435406749</v>
      </c>
      <c r="BE8" s="14">
        <f>BD8*VLOOKUP('Données projet'!$B$11,Paramètres!$A$1:$I$89,3,0)*VLOOKUP('Données projet'!$B$11,Paramètres!$A$1:$I$89,5,0)</f>
        <v>3.1959447054040226</v>
      </c>
      <c r="BF8" s="14">
        <f t="shared" si="37"/>
        <v>1.2865182998910156</v>
      </c>
      <c r="BG8" s="22">
        <f t="shared" si="7"/>
        <v>7.8069564008888577</v>
      </c>
      <c r="BH8" s="62">
        <f t="shared" si="8"/>
        <v>270.58473417866662</v>
      </c>
      <c r="BI8" s="62">
        <f ca="1">AVERAGE(OFFSET($BH$3,0,0,'Données projet'!$E$11+1,1))-AVERAGE(OFFSET($H$3,0,0,'Données projet'!$E$11+1,1))</f>
        <v>397.24545766894346</v>
      </c>
      <c r="BJ8" s="62">
        <f t="shared" si="38"/>
        <v>431.44557882369696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1.1000000000000001</v>
      </c>
      <c r="BY8" s="13">
        <f>IF('Données projet'!$A$114&gt;35,BY7+BX8-CG7,IF(A8&lt;'Données projet'!$A$114,$BV$205^A8,IF(A8='Données projet'!$A$114,'Données projet'!$B$114,BY7+BX8-CG7)))</f>
        <v>3.3166247903554016</v>
      </c>
      <c r="BZ8" s="14">
        <f>BY8*VLOOKUP('Données projet'!$B$12,Paramètres!$A$1:$I$89,3,0)*VLOOKUP('Données projet'!$B$12,Paramètres!$A$1:$I$89,5,0)</f>
        <v>2.173052562640859</v>
      </c>
      <c r="CA8" s="14">
        <f t="shared" si="39"/>
        <v>0.91492884804015795</v>
      </c>
      <c r="CB8" s="22">
        <f t="shared" si="10"/>
        <v>5.3782342902694369</v>
      </c>
      <c r="CC8" s="62">
        <f t="shared" si="11"/>
        <v>268.15601206804723</v>
      </c>
      <c r="CD8" s="62">
        <f ca="1">AVERAGE(OFFSET($CC$3,0,0,'Données projet'!$E$12+1,1))-AVERAGE(OFFSET($H$3,0,0,'Données projet'!$E$12+1,1))</f>
        <v>277.27246253233807</v>
      </c>
      <c r="CE8" s="62">
        <f t="shared" si="40"/>
        <v>269.61868559913404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2.1445228635663907</v>
      </c>
      <c r="CV8" s="14">
        <f t="shared" si="41"/>
        <v>0.90430692044106609</v>
      </c>
      <c r="CW8" s="22">
        <f t="shared" si="13"/>
        <v>5.3100452071463202</v>
      </c>
      <c r="CX8" s="62">
        <f t="shared" si="14"/>
        <v>268.08782298492412</v>
      </c>
      <c r="CY8" s="62">
        <f ca="1">AVERAGE(OFFSET($CX$3,0,0,'Données projet'!$E$13+1,1))-AVERAGE(OFFSET($H$3,0,0,'Données projet'!$E$13+1,1))</f>
        <v>402.15128814037058</v>
      </c>
      <c r="CZ8" s="62">
        <f t="shared" si="42"/>
        <v>232.85411068442738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3.4615384615384612</v>
      </c>
      <c r="DO8" s="13">
        <f>IF('Données projet'!$A$166&gt;35,DO7+DN8-DW7,IF(A8&lt;'Données projet'!$A$166,$DL$205^A8,IF(A8='Données projet'!$A$166,'Données projet'!$B$166,DO7+DN8-DW7)))</f>
        <v>5.8834840541455202</v>
      </c>
      <c r="DP8" s="18">
        <f>DO8*VLOOKUP('Données projet'!$B$14,Paramètres!$A$1:$I$89,3,0)*VLOOKUP('Données projet'!$B$14,Paramètres!$A$1:$I$89,5,0)</f>
        <v>5.5987234259248773</v>
      </c>
      <c r="DQ8" s="14">
        <f t="shared" si="43"/>
        <v>2.1113659710017458</v>
      </c>
      <c r="DR8" s="22">
        <f t="shared" si="16"/>
        <v>13.4284056996472</v>
      </c>
      <c r="DS8" s="62">
        <f t="shared" si="17"/>
        <v>276.20618347742499</v>
      </c>
      <c r="DT8" s="62">
        <f ca="1">AVERAGE(OFFSET($DS$3,0,0,'Données projet'!$E$14+1,1))-AVERAGE(OFFSET($H$3,0,0,'Données projet'!$E$14+1,1))</f>
        <v>485.18236169209541</v>
      </c>
      <c r="DU8" s="62">
        <f t="shared" si="44"/>
        <v>417.30339652956951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1.9</v>
      </c>
      <c r="EJ8" s="13">
        <f>IF('Données projet'!$A$192&gt;35,EJ7+EI8-ER7,IF(A8&lt;'Données projet'!$A$192,$EG$205^A8,IF(A8='Données projet'!$A$192,'Données projet'!$B$192,EJ7+EI8-ER7)))</f>
        <v>4.3588989435406749</v>
      </c>
      <c r="EK8" s="18">
        <f>EJ8*VLOOKUP('Données projet'!$B$15,Paramètres!$A$1:$I$89,3,0)*VLOOKUP('Données projet'!$B$15,Paramètres!$A$1:$I$89,5,0)</f>
        <v>3.467939999480961</v>
      </c>
      <c r="EL8" s="14">
        <f t="shared" si="45"/>
        <v>1.382799801337496</v>
      </c>
      <c r="EM8" s="22">
        <f t="shared" si="19"/>
        <v>8.4483718197588118</v>
      </c>
      <c r="EN8" s="62">
        <f t="shared" si="20"/>
        <v>271.22614959753656</v>
      </c>
      <c r="EO8" s="62">
        <f ca="1">AVERAGE(OFFSET($EN$3,0,0,'Données projet'!$E$15+1,1))-AVERAGE(OFFSET($H$3,0,0,'Données projet'!$E$15+1,1))</f>
        <v>427.78067187784063</v>
      </c>
      <c r="EP8" s="62">
        <f t="shared" si="46"/>
        <v>464.22892523825118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2.8518518518518516</v>
      </c>
      <c r="FE8" s="13">
        <f>IF('Données projet'!$A$218&gt;35,FE7+FD8-FM7,IF(A8&lt;'Données projet'!$A$218,$FB$205^A8,IF(A8='Données projet'!$A$218,'Données projet'!$B$218,FE7+FD8-FM7)))</f>
        <v>2.2353736861102735</v>
      </c>
      <c r="FF8" s="18">
        <f>FE8*VLOOKUP('Données projet'!$B$16,Paramètres!$A$1:$I$89,3,0)*VLOOKUP('Données projet'!$B$16,Paramètres!$A$1:$I$89,5,0)</f>
        <v>1.9179506226826148</v>
      </c>
      <c r="FG8" s="14">
        <f t="shared" si="47"/>
        <v>0.81934576081692545</v>
      </c>
      <c r="FH8" s="22">
        <f t="shared" si="22"/>
        <v>4.767457867928365</v>
      </c>
      <c r="FI8" s="62">
        <f t="shared" si="23"/>
        <v>267.54523564570616</v>
      </c>
      <c r="FJ8" s="62">
        <f ca="1">AVERAGE(OFFSET($FI$3,0,0,'Données projet'!$E$16+1,1))-AVERAGE(OFFSET($H$3,0,0,'Données projet'!$E$16+1,1))</f>
        <v>448.44001099301806</v>
      </c>
      <c r="FK8" s="62">
        <f t="shared" si="48"/>
        <v>230.82970731138215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4.615384615384615</v>
      </c>
      <c r="FZ8" s="13">
        <f>IF('Données projet'!$A$244&gt;35,FZ7+FY8-GH7,IF(A8&lt;'Données projet'!$A$244,$FW$205^A8,IF(A8='Données projet'!$A$244,'Données projet'!$B$244,FZ7+FY8-GH7)))</f>
        <v>6.7936622048675739</v>
      </c>
      <c r="GA8" s="18">
        <f>FZ8*VLOOKUP('Données projet'!$B$17,Paramètres!$A$1:$I$89,3,0)*VLOOKUP('Données projet'!$B$17,Paramètres!$A$1:$I$89,5,0)</f>
        <v>4.5571886070251688</v>
      </c>
      <c r="GB8" s="14">
        <f t="shared" si="49"/>
        <v>1.7602596614847237</v>
      </c>
      <c r="GC8" s="22">
        <f t="shared" si="25"/>
        <v>11.002889067654728</v>
      </c>
      <c r="GD8" s="62">
        <f t="shared" si="26"/>
        <v>273.78066684543251</v>
      </c>
      <c r="GE8" s="62">
        <f ca="1">AVERAGE(OFFSET($GD$3,0,0,'Données projet'!$E$17+1,1))-AVERAGE(OFFSET($H$3,0,0,'Données projet'!$E$17+1,1))</f>
        <v>408.91016501484626</v>
      </c>
      <c r="GF8" s="62">
        <f t="shared" si="50"/>
        <v>354.22396807666433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3.65</v>
      </c>
      <c r="GU8" s="13">
        <f>IF('Données projet'!$A$270&gt;35,GU7+GT8-HC7,IF(A8&lt;'Données projet'!$A$270,$GR$205^A8,IF(A8='Données projet'!$A$270,'Données projet'!$B$270,GU7+GT8-HC7)))</f>
        <v>2.9230127856917649</v>
      </c>
      <c r="GV8" s="18">
        <f>GU8*VLOOKUP('Données projet'!$B$18,Paramètres!$A$1:$I$89,3,0)*VLOOKUP('Données projet'!$B$18,Paramètres!$A$1:$I$89,5,0)</f>
        <v>2.8271379663210752</v>
      </c>
      <c r="GW8" s="14">
        <f t="shared" si="51"/>
        <v>1.1544158385061292</v>
      </c>
      <c r="GX8" s="22">
        <f t="shared" si="28"/>
        <v>6.9345395434073795</v>
      </c>
      <c r="GY8" s="62">
        <f t="shared" si="29"/>
        <v>269.71231732118514</v>
      </c>
      <c r="GZ8" s="62">
        <f ca="1">AVERAGE(OFFSET($GY$3,0,0,'Données projet'!$E$18+1,1))-AVERAGE(OFFSET($H$3,0,0,'Données projet'!$E$18+1,1))</f>
        <v>562.69380557620775</v>
      </c>
      <c r="HA8" s="62">
        <f t="shared" si="52"/>
        <v>294.45557293177131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529.25712986118265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2.6666666666666665</v>
      </c>
      <c r="AI9" s="14">
        <f>IF('Données projet'!$A$62&gt;35,AI8+AH9-AQ8,IF(A9&lt;'Données projet'!$A$62,$AF$205^A9,IF(A9='Données projet'!$A$62,'Données projet'!$B$62,AI8+AH9-AQ8)))</f>
        <v>4.3734482957731098</v>
      </c>
      <c r="AJ9" s="14">
        <f>AI9*VLOOKUP('Données projet'!$B$10,Paramètres!$A$1:$I$89,3,0)*VLOOKUP('Données projet'!$B$10,Paramètres!$A$1:$I$89,5,0)</f>
        <v>3.4112896707030256</v>
      </c>
      <c r="AK9" s="14">
        <f t="shared" si="35"/>
        <v>1.3628213830192535</v>
      </c>
      <c r="AL9" s="22">
        <f t="shared" si="4"/>
        <v>8.3149100852329703</v>
      </c>
      <c r="AM9" s="62">
        <f t="shared" si="5"/>
        <v>272.31491008523295</v>
      </c>
      <c r="AN9" s="62">
        <f ca="1">AVERAGE(OFFSET($AM$3,0,0,'Données projet'!$E$10+1,1))-AVERAGE(OFFSET($H$3,0,0,'Données projet'!$E$10+1,1))</f>
        <v>292.57482726862594</v>
      </c>
      <c r="AO9" s="62">
        <f t="shared" si="36"/>
        <v>283.48738729114024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1.9</v>
      </c>
      <c r="BD9" s="13">
        <f>IF('Données projet'!$A$88&gt;35,BD8+BC9-BL8,IF(A9&lt;'Données projet'!$A$88,$BA$205^A9,IF(A9='Données projet'!$A$88,'Données projet'!$B$88,BD8+BC9-BL8)))</f>
        <v>5.8512972424092187</v>
      </c>
      <c r="BE9" s="14">
        <f>BD9*VLOOKUP('Données projet'!$B$11,Paramètres!$A$1:$I$89,3,0)*VLOOKUP('Données projet'!$B$11,Paramètres!$A$1:$I$89,5,0)</f>
        <v>4.290171138134439</v>
      </c>
      <c r="BF9" s="14">
        <f t="shared" si="37"/>
        <v>1.6688090117596963</v>
      </c>
      <c r="BG9" s="22">
        <f t="shared" si="7"/>
        <v>10.378557094398952</v>
      </c>
      <c r="BH9" s="62">
        <f t="shared" si="8"/>
        <v>274.37855709439896</v>
      </c>
      <c r="BI9" s="62">
        <f ca="1">AVERAGE(OFFSET($BH$3,0,0,'Données projet'!$E$11+1,1))-AVERAGE(OFFSET($H$3,0,0,'Données projet'!$E$11+1,1))</f>
        <v>397.24545766894346</v>
      </c>
      <c r="BJ9" s="62">
        <f t="shared" si="38"/>
        <v>431.44557882369696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1.1000000000000001</v>
      </c>
      <c r="BY9" s="13">
        <f>IF('Données projet'!$A$114&gt;35,BY8+BX9-CG8,IF(A9&lt;'Données projet'!$A$114,$BV$205^A9,IF(A9='Données projet'!$A$114,'Données projet'!$B$114,BY8+BX9-CG8)))</f>
        <v>4.2153691330919028</v>
      </c>
      <c r="BZ9" s="14">
        <f>BY9*VLOOKUP('Données projet'!$B$12,Paramètres!$A$1:$I$89,3,0)*VLOOKUP('Données projet'!$B$12,Paramètres!$A$1:$I$89,5,0)</f>
        <v>2.7619098560018145</v>
      </c>
      <c r="CA9" s="14">
        <f t="shared" si="39"/>
        <v>1.1308494182070246</v>
      </c>
      <c r="CB9" s="22">
        <f t="shared" si="10"/>
        <v>6.7798890692470613</v>
      </c>
      <c r="CC9" s="62">
        <f t="shared" si="11"/>
        <v>270.77988906924708</v>
      </c>
      <c r="CD9" s="62">
        <f ca="1">AVERAGE(OFFSET($CC$3,0,0,'Données projet'!$E$12+1,1))-AVERAGE(OFFSET($H$3,0,0,'Données projet'!$E$12+1,1))</f>
        <v>277.27246253233807</v>
      </c>
      <c r="CE9" s="62">
        <f t="shared" si="40"/>
        <v>269.61868559913404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2.5851940357334171</v>
      </c>
      <c r="CV9" s="14">
        <f t="shared" si="41"/>
        <v>1.0666722775067177</v>
      </c>
      <c r="CW9" s="22">
        <f t="shared" si="13"/>
        <v>6.3603338288932347</v>
      </c>
      <c r="CX9" s="62">
        <f t="shared" si="14"/>
        <v>270.36033382889326</v>
      </c>
      <c r="CY9" s="62">
        <f ca="1">AVERAGE(OFFSET($CX$3,0,0,'Données projet'!$E$13+1,1))-AVERAGE(OFFSET($H$3,0,0,'Données projet'!$E$13+1,1))</f>
        <v>402.15128814037058</v>
      </c>
      <c r="CZ9" s="62">
        <f t="shared" si="42"/>
        <v>232.85411068442738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3.4615384615384612</v>
      </c>
      <c r="DO9" s="13">
        <f>IF('Données projet'!$A$166&gt;35,DO8+DN9-DW8,IF(A9&lt;'Données projet'!$A$166,$DL$205^A9,IF(A9='Données projet'!$A$166,'Données projet'!$B$166,DO8+DN9-DW8)))</f>
        <v>8.3861281930080001</v>
      </c>
      <c r="DP9" s="18">
        <f>DO9*VLOOKUP('Données projet'!$B$14,Paramètres!$A$1:$I$89,3,0)*VLOOKUP('Données projet'!$B$14,Paramètres!$A$1:$I$89,5,0)</f>
        <v>7.9802395884664126</v>
      </c>
      <c r="DQ9" s="14">
        <f t="shared" si="43"/>
        <v>2.8878414179408205</v>
      </c>
      <c r="DR9" s="22">
        <f t="shared" si="16"/>
        <v>18.928574419492598</v>
      </c>
      <c r="DS9" s="62">
        <f t="shared" si="17"/>
        <v>282.92857441949258</v>
      </c>
      <c r="DT9" s="62">
        <f ca="1">AVERAGE(OFFSET($DS$3,0,0,'Données projet'!$E$14+1,1))-AVERAGE(OFFSET($H$3,0,0,'Données projet'!$E$14+1,1))</f>
        <v>485.18236169209541</v>
      </c>
      <c r="DU9" s="62">
        <f t="shared" si="44"/>
        <v>417.30339652956951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1.9</v>
      </c>
      <c r="EJ9" s="13">
        <f>IF('Données projet'!$A$192&gt;35,EJ8+EI9-ER8,IF(A9&lt;'Données projet'!$A$192,$EG$205^A9,IF(A9='Données projet'!$A$192,'Données projet'!$B$192,EJ8+EI9-ER8)))</f>
        <v>5.8512972424092187</v>
      </c>
      <c r="EK9" s="18">
        <f>EJ9*VLOOKUP('Données projet'!$B$15,Paramètres!$A$1:$I$89,3,0)*VLOOKUP('Données projet'!$B$15,Paramètres!$A$1:$I$89,5,0)</f>
        <v>4.6552920860607747</v>
      </c>
      <c r="EL9" s="14">
        <f t="shared" si="45"/>
        <v>1.7937006960002178</v>
      </c>
      <c r="EM9" s="22">
        <f t="shared" si="19"/>
        <v>11.231995762089561</v>
      </c>
      <c r="EN9" s="62">
        <f t="shared" si="20"/>
        <v>275.23199576208958</v>
      </c>
      <c r="EO9" s="62">
        <f ca="1">AVERAGE(OFFSET($EN$3,0,0,'Données projet'!$E$15+1,1))-AVERAGE(OFFSET($H$3,0,0,'Données projet'!$E$15+1,1))</f>
        <v>427.78067187784063</v>
      </c>
      <c r="EP9" s="62">
        <f t="shared" si="46"/>
        <v>464.22892523825118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2.8518518518518516</v>
      </c>
      <c r="FE9" s="13">
        <f>IF('Données projet'!$A$218&gt;35,FE8+FD9-FM8,IF(A9&lt;'Données projet'!$A$218,$FB$205^A9,IF(A9='Données projet'!$A$218,'Données projet'!$B$218,FE8+FD9-FM8)))</f>
        <v>2.6255492014107342</v>
      </c>
      <c r="FF9" s="18">
        <f>FE9*VLOOKUP('Données projet'!$B$16,Paramètres!$A$1:$I$89,3,0)*VLOOKUP('Données projet'!$B$16,Paramètres!$A$1:$I$89,5,0)</f>
        <v>2.2527212148104101</v>
      </c>
      <c r="FG9" s="14">
        <f t="shared" si="47"/>
        <v>0.94450522940196935</v>
      </c>
      <c r="FH9" s="22">
        <f t="shared" si="22"/>
        <v>5.5685027236698934</v>
      </c>
      <c r="FI9" s="62">
        <f t="shared" si="23"/>
        <v>269.56850272366989</v>
      </c>
      <c r="FJ9" s="62">
        <f ca="1">AVERAGE(OFFSET($FI$3,0,0,'Données projet'!$E$16+1,1))-AVERAGE(OFFSET($H$3,0,0,'Données projet'!$E$16+1,1))</f>
        <v>448.44001099301806</v>
      </c>
      <c r="FK9" s="62">
        <f t="shared" si="48"/>
        <v>230.82970731138215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4.615384615384615</v>
      </c>
      <c r="FZ9" s="13">
        <f>IF('Données projet'!$A$244&gt;35,FZ8+FY9-GH8,IF(A9&lt;'Données projet'!$A$244,$FW$205^A9,IF(A9='Données projet'!$A$244,'Données projet'!$B$244,FZ8+FY9-GH8)))</f>
        <v>9.9660884864493742</v>
      </c>
      <c r="GA9" s="18">
        <f>FZ9*VLOOKUP('Données projet'!$B$17,Paramètres!$A$1:$I$89,3,0)*VLOOKUP('Données projet'!$B$17,Paramètres!$A$1:$I$89,5,0)</f>
        <v>6.6852521567102405</v>
      </c>
      <c r="GB9" s="14">
        <f t="shared" si="49"/>
        <v>2.4695973279094066</v>
      </c>
      <c r="GC9" s="22">
        <f t="shared" si="25"/>
        <v>15.94469618571255</v>
      </c>
      <c r="GD9" s="62">
        <f t="shared" si="26"/>
        <v>279.94469618571253</v>
      </c>
      <c r="GE9" s="62">
        <f ca="1">AVERAGE(OFFSET($GD$3,0,0,'Données projet'!$E$17+1,1))-AVERAGE(OFFSET($H$3,0,0,'Données projet'!$E$17+1,1))</f>
        <v>408.91016501484626</v>
      </c>
      <c r="GF9" s="62">
        <f t="shared" si="50"/>
        <v>354.22396807666433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3.65</v>
      </c>
      <c r="GU9" s="13">
        <f>IF('Données projet'!$A$270&gt;35,GU8+GT9-HC8,IF(A9&lt;'Données projet'!$A$270,$GR$205^A9,IF(A9='Données projet'!$A$270,'Données projet'!$B$270,GU8+GT9-HC8)))</f>
        <v>3.6224037772879885</v>
      </c>
      <c r="GV9" s="18">
        <f>GU9*VLOOKUP('Données projet'!$B$18,Paramètres!$A$1:$I$89,3,0)*VLOOKUP('Données projet'!$B$18,Paramètres!$A$1:$I$89,5,0)</f>
        <v>3.5035889333929422</v>
      </c>
      <c r="GW9" s="14">
        <f t="shared" si="51"/>
        <v>1.3953523257036018</v>
      </c>
      <c r="GX9" s="22">
        <f t="shared" si="28"/>
        <v>8.5323226929264795</v>
      </c>
      <c r="GY9" s="62">
        <f t="shared" si="29"/>
        <v>272.53232269292647</v>
      </c>
      <c r="GZ9" s="62">
        <f ca="1">AVERAGE(OFFSET($GY$3,0,0,'Données projet'!$E$18+1,1))-AVERAGE(OFFSET($H$3,0,0,'Données projet'!$E$18+1,1))</f>
        <v>562.69380557620775</v>
      </c>
      <c r="HA9" s="62">
        <f t="shared" si="52"/>
        <v>294.45557293177131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529.25712986118265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2.6666666666666665</v>
      </c>
      <c r="AI10" s="14">
        <f>IF('Données projet'!$A$62&gt;35,AI9+AH10-AQ9,IF(A10&lt;'Données projet'!$A$62,$AF$205^A10,IF(A10='Données projet'!$A$62,'Données projet'!$B$62,AI9+AH10-AQ9)))</f>
        <v>5.5927833467405659</v>
      </c>
      <c r="AJ10" s="14">
        <f>AI10*VLOOKUP('Données projet'!$B$10,Paramètres!$A$1:$I$89,3,0)*VLOOKUP('Données projet'!$B$10,Paramètres!$A$1:$I$89,5,0)</f>
        <v>4.3623710104576414</v>
      </c>
      <c r="AK10" s="14">
        <f t="shared" si="35"/>
        <v>1.6936004212396314</v>
      </c>
      <c r="AL10" s="22">
        <f t="shared" si="4"/>
        <v>10.54748357687275</v>
      </c>
      <c r="AM10" s="62">
        <f t="shared" si="5"/>
        <v>275.76970579909499</v>
      </c>
      <c r="AN10" s="62">
        <f ca="1">AVERAGE(OFFSET($AM$3,0,0,'Données projet'!$E$10+1,1))-AVERAGE(OFFSET($H$3,0,0,'Données projet'!$E$10+1,1))</f>
        <v>292.57482726862594</v>
      </c>
      <c r="AO10" s="62">
        <f t="shared" si="36"/>
        <v>283.48738729114024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1.9</v>
      </c>
      <c r="BD10" s="13">
        <f>IF('Données projet'!$A$88&gt;35,BD9+BC10-BL9,IF(A10&lt;'Données projet'!$A$88,$BA$205^A10,IF(A10='Données projet'!$A$88,'Données projet'!$B$88,BD9+BC10-BL9)))</f>
        <v>7.8546623499408135</v>
      </c>
      <c r="BE10" s="14">
        <f>BD10*VLOOKUP('Données projet'!$B$11,Paramètres!$A$1:$I$89,3,0)*VLOOKUP('Données projet'!$B$11,Paramètres!$A$1:$I$89,5,0)</f>
        <v>5.7590384349766044</v>
      </c>
      <c r="BF10" s="14">
        <f t="shared" si="37"/>
        <v>2.1646979432521807</v>
      </c>
      <c r="BG10" s="22">
        <f t="shared" si="7"/>
        <v>13.800507525415135</v>
      </c>
      <c r="BH10" s="62">
        <f t="shared" si="8"/>
        <v>279.02272974763736</v>
      </c>
      <c r="BI10" s="62">
        <f ca="1">AVERAGE(OFFSET($BH$3,0,0,'Données projet'!$E$11+1,1))-AVERAGE(OFFSET($H$3,0,0,'Données projet'!$E$11+1,1))</f>
        <v>397.24545766894346</v>
      </c>
      <c r="BJ10" s="62">
        <f t="shared" si="38"/>
        <v>431.44557882369696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1.1000000000000001</v>
      </c>
      <c r="BY10" s="13">
        <f>IF('Données projet'!$A$114&gt;35,BY9+BX10-CG9,IF(A10&lt;'Données projet'!$A$114,$BV$205^A10,IF(A10='Données projet'!$A$114,'Données projet'!$B$114,BY9+BX10-CG9)))</f>
        <v>5.3576566694841175</v>
      </c>
      <c r="BZ10" s="14">
        <f>BY10*VLOOKUP('Données projet'!$B$12,Paramètres!$A$1:$I$89,3,0)*VLOOKUP('Données projet'!$B$12,Paramètres!$A$1:$I$89,5,0)</f>
        <v>3.510336649845994</v>
      </c>
      <c r="CA10" s="14">
        <f t="shared" si="39"/>
        <v>1.397726620379814</v>
      </c>
      <c r="CB10" s="22">
        <f t="shared" si="10"/>
        <v>8.5482101956432839</v>
      </c>
      <c r="CC10" s="62">
        <f t="shared" si="11"/>
        <v>273.77043241786549</v>
      </c>
      <c r="CD10" s="62">
        <f ca="1">AVERAGE(OFFSET($CC$3,0,0,'Données projet'!$E$12+1,1))-AVERAGE(OFFSET($H$3,0,0,'Données projet'!$E$12+1,1))</f>
        <v>277.27246253233807</v>
      </c>
      <c r="CE10" s="62">
        <f t="shared" si="40"/>
        <v>269.61868559913404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3.1164173233748005</v>
      </c>
      <c r="CV10" s="14">
        <f t="shared" si="41"/>
        <v>1.2581898046809412</v>
      </c>
      <c r="CW10" s="22">
        <f t="shared" si="13"/>
        <v>7.6191074146970825</v>
      </c>
      <c r="CX10" s="62">
        <f t="shared" si="14"/>
        <v>272.84132963691928</v>
      </c>
      <c r="CY10" s="62">
        <f ca="1">AVERAGE(OFFSET($CX$3,0,0,'Données projet'!$E$13+1,1))-AVERAGE(OFFSET($H$3,0,0,'Données projet'!$E$13+1,1))</f>
        <v>402.15128814037058</v>
      </c>
      <c r="CZ10" s="62">
        <f t="shared" si="42"/>
        <v>232.85411068442738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3.4615384615384612</v>
      </c>
      <c r="DO10" s="13">
        <f>IF('Données projet'!$A$166&gt;35,DO9+DN10-DW9,IF(A10&lt;'Données projet'!$A$166,$DL$205^A10,IF(A10='Données projet'!$A$166,'Données projet'!$B$166,DO9+DN10-DW9)))</f>
        <v>11.953316338133172</v>
      </c>
      <c r="DP10" s="18">
        <f>DO10*VLOOKUP('Données projet'!$B$14,Paramètres!$A$1:$I$89,3,0)*VLOOKUP('Données projet'!$B$14,Paramètres!$A$1:$I$89,5,0)</f>
        <v>11.374775827367527</v>
      </c>
      <c r="DQ10" s="14">
        <f t="shared" si="43"/>
        <v>3.9498732904261398</v>
      </c>
      <c r="DR10" s="22">
        <f t="shared" si="16"/>
        <v>26.690430546823972</v>
      </c>
      <c r="DS10" s="62">
        <f t="shared" si="17"/>
        <v>291.91265276904619</v>
      </c>
      <c r="DT10" s="62">
        <f ca="1">AVERAGE(OFFSET($DS$3,0,0,'Données projet'!$E$14+1,1))-AVERAGE(OFFSET($H$3,0,0,'Données projet'!$E$14+1,1))</f>
        <v>485.18236169209541</v>
      </c>
      <c r="DU10" s="62">
        <f t="shared" si="44"/>
        <v>417.30339652956951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1.9</v>
      </c>
      <c r="EJ10" s="13">
        <f>IF('Données projet'!$A$192&gt;35,EJ9+EI10-ER9,IF(A10&lt;'Données projet'!$A$192,$EG$205^A10,IF(A10='Données projet'!$A$192,'Données projet'!$B$192,EJ9+EI10-ER9)))</f>
        <v>7.8546623499408135</v>
      </c>
      <c r="EK10" s="18">
        <f>EJ10*VLOOKUP('Données projet'!$B$15,Paramètres!$A$1:$I$89,3,0)*VLOOKUP('Données projet'!$B$15,Paramètres!$A$1:$I$89,5,0)</f>
        <v>6.2491693656129108</v>
      </c>
      <c r="EL10" s="14">
        <f t="shared" si="45"/>
        <v>2.326701366112224</v>
      </c>
      <c r="EM10" s="22">
        <f t="shared" si="19"/>
        <v>14.936308191087944</v>
      </c>
      <c r="EN10" s="62">
        <f t="shared" si="20"/>
        <v>280.15853041331019</v>
      </c>
      <c r="EO10" s="62">
        <f ca="1">AVERAGE(OFFSET($EN$3,0,0,'Données projet'!$E$15+1,1))-AVERAGE(OFFSET($H$3,0,0,'Données projet'!$E$15+1,1))</f>
        <v>427.78067187784063</v>
      </c>
      <c r="EP10" s="62">
        <f t="shared" si="46"/>
        <v>464.22892523825118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2.8518518518518516</v>
      </c>
      <c r="FE10" s="13">
        <f>IF('Données projet'!$A$218&gt;35,FE9+FD10-FM9,IF(A10&lt;'Données projet'!$A$218,$FB$205^A10,IF(A10='Données projet'!$A$218,'Données projet'!$B$218,FE9+FD10-FM9)))</f>
        <v>3.0838282886937765</v>
      </c>
      <c r="FF10" s="18">
        <f>FE10*VLOOKUP('Données projet'!$B$16,Paramètres!$A$1:$I$89,3,0)*VLOOKUP('Données projet'!$B$16,Paramètres!$A$1:$I$89,5,0)</f>
        <v>2.6459246716992606</v>
      </c>
      <c r="FG10" s="14">
        <f t="shared" si="47"/>
        <v>1.0887834794900406</v>
      </c>
      <c r="FH10" s="22">
        <f t="shared" si="22"/>
        <v>6.5046166966546997</v>
      </c>
      <c r="FI10" s="62">
        <f t="shared" si="23"/>
        <v>271.72683891887692</v>
      </c>
      <c r="FJ10" s="62">
        <f ca="1">AVERAGE(OFFSET($FI$3,0,0,'Données projet'!$E$16+1,1))-AVERAGE(OFFSET($H$3,0,0,'Données projet'!$E$16+1,1))</f>
        <v>448.44001099301806</v>
      </c>
      <c r="FK10" s="62">
        <f t="shared" si="48"/>
        <v>230.82970731138215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4.615384615384615</v>
      </c>
      <c r="FZ10" s="13">
        <f>IF('Données projet'!$A$244&gt;35,FZ9+FY10-GH9,IF(A10&lt;'Données projet'!$A$244,$FW$205^A10,IF(A10='Données projet'!$A$244,'Données projet'!$B$244,FZ9+FY10-GH9)))</f>
        <v>14.61993792517019</v>
      </c>
      <c r="GA10" s="18">
        <f>FZ10*VLOOKUP('Données projet'!$B$17,Paramètres!$A$1:$I$89,3,0)*VLOOKUP('Données projet'!$B$17,Paramètres!$A$1:$I$89,5,0)</f>
        <v>9.8070543602041642</v>
      </c>
      <c r="GB10" s="14">
        <f t="shared" si="49"/>
        <v>3.464779143364022</v>
      </c>
      <c r="GC10" s="22">
        <f t="shared" si="25"/>
        <v>23.115110018714589</v>
      </c>
      <c r="GD10" s="62">
        <f t="shared" si="26"/>
        <v>288.3373322409368</v>
      </c>
      <c r="GE10" s="62">
        <f ca="1">AVERAGE(OFFSET($GD$3,0,0,'Données projet'!$E$17+1,1))-AVERAGE(OFFSET($H$3,0,0,'Données projet'!$E$17+1,1))</f>
        <v>408.91016501484626</v>
      </c>
      <c r="GF10" s="62">
        <f t="shared" si="50"/>
        <v>354.22396807666433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3.65</v>
      </c>
      <c r="GU10" s="13">
        <f>IF('Données projet'!$A$270&gt;35,GU9+GT10-HC9,IF(A10&lt;'Données projet'!$A$270,$GR$205^A10,IF(A10='Données projet'!$A$270,'Données projet'!$B$270,GU9+GT10-HC9)))</f>
        <v>4.4891384635544309</v>
      </c>
      <c r="GV10" s="18">
        <f>GU10*VLOOKUP('Données projet'!$B$18,Paramètres!$A$1:$I$89,3,0)*VLOOKUP('Données projet'!$B$18,Paramètres!$A$1:$I$89,5,0)</f>
        <v>4.3418947219498456</v>
      </c>
      <c r="GW10" s="14">
        <f t="shared" si="51"/>
        <v>1.6865743243491664</v>
      </c>
      <c r="GX10" s="22">
        <f t="shared" si="28"/>
        <v>10.499583588970779</v>
      </c>
      <c r="GY10" s="62">
        <f t="shared" si="29"/>
        <v>275.72180581119301</v>
      </c>
      <c r="GZ10" s="62">
        <f ca="1">AVERAGE(OFFSET($GY$3,0,0,'Données projet'!$E$18+1,1))-AVERAGE(OFFSET($H$3,0,0,'Données projet'!$E$18+1,1))</f>
        <v>562.69380557620775</v>
      </c>
      <c r="HA10" s="62">
        <f t="shared" si="52"/>
        <v>294.45557293177131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529.25712986118265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2.6666666666666665</v>
      </c>
      <c r="AI11" s="14">
        <f>IF('Données projet'!$A$62&gt;35,AI10+AH11-AQ10,IF(A11&lt;'Données projet'!$A$62,$AF$205^A11,IF(A11='Données projet'!$A$62,'Données projet'!$B$62,AI10+AH11-AQ10)))</f>
        <v>7.1520739352994367</v>
      </c>
      <c r="AJ11" s="14">
        <f>AI11*VLOOKUP('Données projet'!$B$10,Paramètres!$A$1:$I$89,3,0)*VLOOKUP('Données projet'!$B$10,Paramètres!$A$1:$I$89,5,0)</f>
        <v>5.5786176695335605</v>
      </c>
      <c r="AK11" s="14">
        <f t="shared" si="35"/>
        <v>2.1046649418345189</v>
      </c>
      <c r="AL11" s="22">
        <f t="shared" si="4"/>
        <v>13.381717214799407</v>
      </c>
      <c r="AM11" s="62">
        <f t="shared" si="5"/>
        <v>279.82616165924384</v>
      </c>
      <c r="AN11" s="62">
        <f ca="1">AVERAGE(OFFSET($AM$3,0,0,'Données projet'!$E$10+1,1))-AVERAGE(OFFSET($H$3,0,0,'Données projet'!$E$10+1,1))</f>
        <v>292.57482726862594</v>
      </c>
      <c r="AO11" s="62">
        <f t="shared" si="36"/>
        <v>283.48738729114024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1.9</v>
      </c>
      <c r="BD11" s="13">
        <f>IF('Données projet'!$A$88&gt;35,BD10+BC11-BL10,IF(A11&lt;'Données projet'!$A$88,$BA$205^A11,IF(A11='Données projet'!$A$88,'Données projet'!$B$88,BD10+BC11-BL10)))</f>
        <v>10.543938903738736</v>
      </c>
      <c r="BE11" s="14">
        <f>BD11*VLOOKUP('Données projet'!$B$11,Paramètres!$A$1:$I$89,3,0)*VLOOKUP('Données projet'!$B$11,Paramètres!$A$1:$I$89,5,0)</f>
        <v>7.730816004221241</v>
      </c>
      <c r="BF11" s="14">
        <f t="shared" si="37"/>
        <v>2.8079409641844508</v>
      </c>
      <c r="BG11" s="22">
        <f t="shared" si="7"/>
        <v>18.355001719973249</v>
      </c>
      <c r="BH11" s="62">
        <f t="shared" si="8"/>
        <v>284.7994461644177</v>
      </c>
      <c r="BI11" s="62">
        <f ca="1">AVERAGE(OFFSET($BH$3,0,0,'Données projet'!$E$11+1,1))-AVERAGE(OFFSET($H$3,0,0,'Données projet'!$E$11+1,1))</f>
        <v>397.24545766894346</v>
      </c>
      <c r="BJ11" s="62">
        <f t="shared" si="38"/>
        <v>431.44557882369696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1.1000000000000001</v>
      </c>
      <c r="BY11" s="13">
        <f>IF('Données projet'!$A$114&gt;35,BY10+BX11-CG10,IF(A11&lt;'Données projet'!$A$114,$BV$205^A11,IF(A11='Données projet'!$A$114,'Données projet'!$B$114,BY10+BX11-CG10)))</f>
        <v>6.8094831275223076</v>
      </c>
      <c r="BZ11" s="14">
        <f>BY11*VLOOKUP('Données projet'!$B$12,Paramètres!$A$1:$I$89,3,0)*VLOOKUP('Données projet'!$B$12,Paramètres!$A$1:$I$89,5,0)</f>
        <v>4.4615733451526163</v>
      </c>
      <c r="CA11" s="14">
        <f t="shared" si="39"/>
        <v>1.7275860727911023</v>
      </c>
      <c r="CB11" s="22">
        <f t="shared" si="10"/>
        <v>10.779452652918643</v>
      </c>
      <c r="CC11" s="62">
        <f t="shared" si="11"/>
        <v>277.22389709736308</v>
      </c>
      <c r="CD11" s="62">
        <f ca="1">AVERAGE(OFFSET($CC$3,0,0,'Données projet'!$E$12+1,1))-AVERAGE(OFFSET($H$3,0,0,'Données projet'!$E$12+1,1))</f>
        <v>277.27246253233807</v>
      </c>
      <c r="CE11" s="62">
        <f t="shared" si="40"/>
        <v>269.61868559913404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3.7567999922587045</v>
      </c>
      <c r="CV11" s="14">
        <f t="shared" si="41"/>
        <v>1.4840936789913857</v>
      </c>
      <c r="CW11" s="22">
        <f t="shared" si="13"/>
        <v>9.127889810760573</v>
      </c>
      <c r="CX11" s="62">
        <f t="shared" si="14"/>
        <v>275.57233425520502</v>
      </c>
      <c r="CY11" s="62">
        <f ca="1">AVERAGE(OFFSET($CX$3,0,0,'Données projet'!$E$13+1,1))-AVERAGE(OFFSET($H$3,0,0,'Données projet'!$E$13+1,1))</f>
        <v>402.15128814037058</v>
      </c>
      <c r="CZ11" s="62">
        <f t="shared" si="42"/>
        <v>232.85411068442738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3.4615384615384612</v>
      </c>
      <c r="DO11" s="13">
        <f>IF('Données projet'!$A$166&gt;35,DO10+DN11-DW10,IF(A11&lt;'Données projet'!$A$166,$DL$205^A11,IF(A11='Données projet'!$A$166,'Données projet'!$B$166,DO10+DN11-DW10)))</f>
        <v>17.037871135646387</v>
      </c>
      <c r="DP11" s="18">
        <f>DO11*VLOOKUP('Données projet'!$B$14,Paramètres!$A$1:$I$89,3,0)*VLOOKUP('Données projet'!$B$14,Paramètres!$A$1:$I$89,5,0)</f>
        <v>16.213238172681102</v>
      </c>
      <c r="DQ11" s="14">
        <f t="shared" si="43"/>
        <v>5.4024777515472078</v>
      </c>
      <c r="DR11" s="22">
        <f t="shared" si="16"/>
        <v>37.647371901364309</v>
      </c>
      <c r="DS11" s="62">
        <f t="shared" si="17"/>
        <v>304.09181634580875</v>
      </c>
      <c r="DT11" s="62">
        <f ca="1">AVERAGE(OFFSET($DS$3,0,0,'Données projet'!$E$14+1,1))-AVERAGE(OFFSET($H$3,0,0,'Données projet'!$E$14+1,1))</f>
        <v>485.18236169209541</v>
      </c>
      <c r="DU11" s="62">
        <f t="shared" si="44"/>
        <v>417.30339652956951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1.9</v>
      </c>
      <c r="EJ11" s="13">
        <f>IF('Données projet'!$A$192&gt;35,EJ10+EI11-ER10,IF(A11&lt;'Données projet'!$A$192,$EG$205^A11,IF(A11='Données projet'!$A$192,'Données projet'!$B$192,EJ10+EI11-ER10)))</f>
        <v>10.543938903738736</v>
      </c>
      <c r="EK11" s="18">
        <f>EJ11*VLOOKUP('Données projet'!$B$15,Paramètres!$A$1:$I$89,3,0)*VLOOKUP('Données projet'!$B$15,Paramètres!$A$1:$I$89,5,0)</f>
        <v>8.3887577918145393</v>
      </c>
      <c r="EL11" s="14">
        <f t="shared" si="45"/>
        <v>3.0180839306915423</v>
      </c>
      <c r="EM11" s="22">
        <f t="shared" si="19"/>
        <v>19.866916000031427</v>
      </c>
      <c r="EN11" s="62">
        <f t="shared" si="20"/>
        <v>286.31136044447589</v>
      </c>
      <c r="EO11" s="62">
        <f ca="1">AVERAGE(OFFSET($EN$3,0,0,'Données projet'!$E$15+1,1))-AVERAGE(OFFSET($H$3,0,0,'Données projet'!$E$15+1,1))</f>
        <v>427.78067187784063</v>
      </c>
      <c r="EP11" s="62">
        <f t="shared" si="46"/>
        <v>464.22892523825118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2.8518518518518516</v>
      </c>
      <c r="FE11" s="13">
        <f>IF('Données projet'!$A$218&gt;35,FE10+FD11-FM10,IF(A11&lt;'Données projet'!$A$218,$FB$205^A11,IF(A11='Données projet'!$A$218,'Données projet'!$B$218,FE10+FD11-FM10)))</f>
        <v>3.6220981534218315</v>
      </c>
      <c r="FF11" s="18">
        <f>FE11*VLOOKUP('Données projet'!$B$16,Paramètres!$A$1:$I$89,3,0)*VLOOKUP('Données projet'!$B$16,Paramètres!$A$1:$I$89,5,0)</f>
        <v>3.1077602156359316</v>
      </c>
      <c r="FG11" s="14">
        <f t="shared" si="47"/>
        <v>1.2551010077107021</v>
      </c>
      <c r="FH11" s="22">
        <f t="shared" si="22"/>
        <v>7.5986499639953875</v>
      </c>
      <c r="FI11" s="62">
        <f t="shared" si="23"/>
        <v>274.04309440843986</v>
      </c>
      <c r="FJ11" s="62">
        <f ca="1">AVERAGE(OFFSET($FI$3,0,0,'Données projet'!$E$16+1,1))-AVERAGE(OFFSET($H$3,0,0,'Données projet'!$E$16+1,1))</f>
        <v>448.44001099301806</v>
      </c>
      <c r="FK11" s="62">
        <f t="shared" si="48"/>
        <v>230.82970731138215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4.615384615384615</v>
      </c>
      <c r="FZ11" s="13">
        <f>IF('Données projet'!$A$244&gt;35,FZ10+FY11-GH10,IF(A11&lt;'Données projet'!$A$244,$FW$205^A11,IF(A11='Données projet'!$A$244,'Données projet'!$B$244,FZ10+FY11-GH10)))</f>
        <v>21.446988477620856</v>
      </c>
      <c r="GA11" s="18">
        <f>FZ11*VLOOKUP('Données projet'!$B$17,Paramètres!$A$1:$I$89,3,0)*VLOOKUP('Données projet'!$B$17,Paramètres!$A$1:$I$89,5,0)</f>
        <v>14.386639870788072</v>
      </c>
      <c r="GB11" s="14">
        <f t="shared" si="49"/>
        <v>4.860992671405536</v>
      </c>
      <c r="GC11" s="22">
        <f t="shared" si="25"/>
        <v>33.522960010987198</v>
      </c>
      <c r="GD11" s="62">
        <f t="shared" si="26"/>
        <v>299.96740445543168</v>
      </c>
      <c r="GE11" s="62">
        <f ca="1">AVERAGE(OFFSET($GD$3,0,0,'Données projet'!$E$17+1,1))-AVERAGE(OFFSET($H$3,0,0,'Données projet'!$E$17+1,1))</f>
        <v>408.91016501484626</v>
      </c>
      <c r="GF11" s="62">
        <f t="shared" si="50"/>
        <v>354.22396807666433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3.65</v>
      </c>
      <c r="GU11" s="13">
        <f>IF('Données projet'!$A$270&gt;35,GU10+GT11-HC10,IF(A11&lt;'Données projet'!$A$270,$GR$205^A11,IF(A11='Données projet'!$A$270,'Données projet'!$B$270,GU10+GT11-HC10)))</f>
        <v>5.563257268920875</v>
      </c>
      <c r="GV11" s="18">
        <f>GU11*VLOOKUP('Données projet'!$B$18,Paramètres!$A$1:$I$89,3,0)*VLOOKUP('Données projet'!$B$18,Paramètres!$A$1:$I$89,5,0)</f>
        <v>5.3807824305002701</v>
      </c>
      <c r="GW11" s="14">
        <f t="shared" si="51"/>
        <v>2.0385768519929188</v>
      </c>
      <c r="GX11" s="22">
        <f t="shared" si="28"/>
        <v>12.922050750342303</v>
      </c>
      <c r="GY11" s="62">
        <f t="shared" si="29"/>
        <v>279.36649519478675</v>
      </c>
      <c r="GZ11" s="62">
        <f ca="1">AVERAGE(OFFSET($GY$3,0,0,'Données projet'!$E$18+1,1))-AVERAGE(OFFSET($H$3,0,0,'Données projet'!$E$18+1,1))</f>
        <v>562.69380557620775</v>
      </c>
      <c r="HA11" s="62">
        <f t="shared" si="52"/>
        <v>294.45557293177131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529.25712986118265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2.6666666666666665</v>
      </c>
      <c r="AI12" s="14">
        <f>IF('Données projet'!$A$62&gt;35,AI11+AH12-AQ11,IF(A12&lt;'Données projet'!$A$62,$AF$205^A12,IF(A12='Données projet'!$A$62,'Données projet'!$B$62,AI11+AH12-AQ11)))</f>
        <v>9.1461010385465205</v>
      </c>
      <c r="AJ12" s="14">
        <f>AI12*VLOOKUP('Données projet'!$B$10,Paramètres!$A$1:$I$89,3,0)*VLOOKUP('Données projet'!$B$10,Paramètres!$A$1:$I$89,5,0)</f>
        <v>7.1339588100662858</v>
      </c>
      <c r="AK12" s="14">
        <f t="shared" si="35"/>
        <v>2.6155015444227643</v>
      </c>
      <c r="AL12" s="22">
        <f t="shared" si="4"/>
        <v>16.980310117401761</v>
      </c>
      <c r="AM12" s="62">
        <f t="shared" si="5"/>
        <v>284.64697678406844</v>
      </c>
      <c r="AN12" s="62">
        <f ca="1">AVERAGE(OFFSET($AM$3,0,0,'Données projet'!$E$10+1,1))-AVERAGE(OFFSET($H$3,0,0,'Données projet'!$E$10+1,1))</f>
        <v>292.57482726862594</v>
      </c>
      <c r="AO12" s="62">
        <f t="shared" si="36"/>
        <v>283.48738729114024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1.9</v>
      </c>
      <c r="BD12" s="13">
        <f>IF('Données projet'!$A$88&gt;35,BD11+BC12-BL11,IF(A12&lt;'Données projet'!$A$88,$BA$205^A12,IF(A12='Données projet'!$A$88,'Données projet'!$B$88,BD11+BC12-BL11)))</f>
        <v>14.153969025366564</v>
      </c>
      <c r="BE12" s="14">
        <f>BD12*VLOOKUP('Données projet'!$B$11,Paramètres!$A$1:$I$89,3,0)*VLOOKUP('Données projet'!$B$11,Paramètres!$A$1:$I$89,5,0)</f>
        <v>10.377690089398765</v>
      </c>
      <c r="BF12" s="14">
        <f t="shared" si="37"/>
        <v>3.6423245482922235</v>
      </c>
      <c r="BG12" s="22">
        <f t="shared" si="7"/>
        <v>24.418192160645134</v>
      </c>
      <c r="BH12" s="62">
        <f t="shared" si="8"/>
        <v>292.08485882731179</v>
      </c>
      <c r="BI12" s="62">
        <f ca="1">AVERAGE(OFFSET($BH$3,0,0,'Données projet'!$E$11+1,1))-AVERAGE(OFFSET($H$3,0,0,'Données projet'!$E$11+1,1))</f>
        <v>397.24545766894346</v>
      </c>
      <c r="BJ12" s="62">
        <f t="shared" si="38"/>
        <v>431.44557882369696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1.1000000000000001</v>
      </c>
      <c r="BY12" s="13">
        <f>IF('Données projet'!$A$114&gt;35,BY11+BX12-CG11,IF(A12&lt;'Données projet'!$A$114,$BV$205^A12,IF(A12='Données projet'!$A$114,'Données projet'!$B$114,BY11+BX12-CG11)))</f>
        <v>8.6547278641645029</v>
      </c>
      <c r="BZ12" s="14">
        <f>BY12*VLOOKUP('Données projet'!$B$12,Paramètres!$A$1:$I$89,3,0)*VLOOKUP('Données projet'!$B$12,Paramètres!$A$1:$I$89,5,0)</f>
        <v>5.6705776966005823</v>
      </c>
      <c r="CA12" s="14">
        <f t="shared" si="39"/>
        <v>2.1352914049034637</v>
      </c>
      <c r="CB12" s="22">
        <f t="shared" si="10"/>
        <v>13.59522201845288</v>
      </c>
      <c r="CC12" s="62">
        <f t="shared" si="11"/>
        <v>281.26188868511957</v>
      </c>
      <c r="CD12" s="62">
        <f ca="1">AVERAGE(OFFSET($CC$3,0,0,'Données projet'!$E$12+1,1))-AVERAGE(OFFSET($H$3,0,0,'Données projet'!$E$12+1,1))</f>
        <v>277.27246253233807</v>
      </c>
      <c r="CE12" s="62">
        <f t="shared" si="40"/>
        <v>269.61868559913404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4.5287728559252471</v>
      </c>
      <c r="CV12" s="14">
        <f t="shared" si="41"/>
        <v>1.7505578568733651</v>
      </c>
      <c r="CW12" s="22">
        <f t="shared" si="13"/>
        <v>10.93650099145758</v>
      </c>
      <c r="CX12" s="62">
        <f t="shared" si="14"/>
        <v>278.60316765812428</v>
      </c>
      <c r="CY12" s="62">
        <f ca="1">AVERAGE(OFFSET($CX$3,0,0,'Données projet'!$E$13+1,1))-AVERAGE(OFFSET($H$3,0,0,'Données projet'!$E$13+1,1))</f>
        <v>402.15128814037058</v>
      </c>
      <c r="CZ12" s="62">
        <f t="shared" si="42"/>
        <v>232.85411068442738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3.4615384615384612</v>
      </c>
      <c r="DO12" s="13">
        <f>IF('Données projet'!$A$166&gt;35,DO11+DN12-DW11,IF(A12&lt;'Données projet'!$A$166,$DL$205^A12,IF(A12='Données projet'!$A$166,'Données projet'!$B$166,DO11+DN12-DW11)))</f>
        <v>24.285231363686027</v>
      </c>
      <c r="DP12" s="18">
        <f>DO12*VLOOKUP('Données projet'!$B$14,Paramètres!$A$1:$I$89,3,0)*VLOOKUP('Données projet'!$B$14,Paramètres!$A$1:$I$89,5,0)</f>
        <v>23.109826165683625</v>
      </c>
      <c r="DQ12" s="14">
        <f t="shared" si="43"/>
        <v>7.3892916835349158</v>
      </c>
      <c r="DR12" s="22">
        <f t="shared" si="16"/>
        <v>53.119296920722292</v>
      </c>
      <c r="DS12" s="62">
        <f t="shared" si="17"/>
        <v>320.78596358738901</v>
      </c>
      <c r="DT12" s="62">
        <f ca="1">AVERAGE(OFFSET($DS$3,0,0,'Données projet'!$E$14+1,1))-AVERAGE(OFFSET($H$3,0,0,'Données projet'!$E$14+1,1))</f>
        <v>485.18236169209541</v>
      </c>
      <c r="DU12" s="62">
        <f t="shared" si="44"/>
        <v>417.30339652956951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1.9</v>
      </c>
      <c r="EJ12" s="13">
        <f>IF('Données projet'!$A$192&gt;35,EJ11+EI12-ER11,IF(A12&lt;'Données projet'!$A$192,$EG$205^A12,IF(A12='Données projet'!$A$192,'Données projet'!$B$192,EJ11+EI12-ER11)))</f>
        <v>14.153969025366564</v>
      </c>
      <c r="EK12" s="18">
        <f>EJ12*VLOOKUP('Données projet'!$B$15,Paramètres!$A$1:$I$89,3,0)*VLOOKUP('Données projet'!$B$15,Paramètres!$A$1:$I$89,5,0)</f>
        <v>11.260897756581638</v>
      </c>
      <c r="EL12" s="14">
        <f t="shared" si="45"/>
        <v>3.9149117911590028</v>
      </c>
      <c r="EM12" s="22">
        <f t="shared" si="19"/>
        <v>26.431201628981615</v>
      </c>
      <c r="EN12" s="62">
        <f t="shared" si="20"/>
        <v>294.09786829564831</v>
      </c>
      <c r="EO12" s="62">
        <f ca="1">AVERAGE(OFFSET($EN$3,0,0,'Données projet'!$E$15+1,1))-AVERAGE(OFFSET($H$3,0,0,'Données projet'!$E$15+1,1))</f>
        <v>427.78067187784063</v>
      </c>
      <c r="EP12" s="62">
        <f t="shared" si="46"/>
        <v>464.22892523825118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2.8518518518518516</v>
      </c>
      <c r="FE12" s="13">
        <f>IF('Données projet'!$A$218&gt;35,FE11+FD12-FM11,IF(A12&lt;'Données projet'!$A$218,$FB$205^A12,IF(A12='Données projet'!$A$218,'Données projet'!$B$218,FE11+FD12-FM11)))</f>
        <v>4.254320865115008</v>
      </c>
      <c r="FF12" s="18">
        <f>FE12*VLOOKUP('Données projet'!$B$16,Paramètres!$A$1:$I$89,3,0)*VLOOKUP('Données projet'!$B$16,Paramètres!$A$1:$I$89,5,0)</f>
        <v>3.6502073022686772</v>
      </c>
      <c r="FG12" s="14">
        <f t="shared" si="47"/>
        <v>1.4468244322500574</v>
      </c>
      <c r="FH12" s="22">
        <f t="shared" si="22"/>
        <v>8.8773302709534629</v>
      </c>
      <c r="FI12" s="62">
        <f t="shared" si="23"/>
        <v>276.54399693762014</v>
      </c>
      <c r="FJ12" s="62">
        <f ca="1">AVERAGE(OFFSET($FI$3,0,0,'Données projet'!$E$16+1,1))-AVERAGE(OFFSET($H$3,0,0,'Données projet'!$E$16+1,1))</f>
        <v>448.44001099301806</v>
      </c>
      <c r="FK12" s="62">
        <f t="shared" si="48"/>
        <v>230.82970731138215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4.615384615384615</v>
      </c>
      <c r="FZ12" s="13">
        <f>IF('Données projet'!$A$244&gt;35,FZ11+FY12-GH11,IF(A12&lt;'Données projet'!$A$244,$FW$205^A12,IF(A12='Données projet'!$A$244,'Données projet'!$B$244,FZ11+FY12-GH11)))</f>
        <v>31.462056618400265</v>
      </c>
      <c r="GA12" s="18">
        <f>FZ12*VLOOKUP('Données projet'!$B$17,Paramètres!$A$1:$I$89,3,0)*VLOOKUP('Données projet'!$B$17,Paramètres!$A$1:$I$89,5,0)</f>
        <v>21.104747579622899</v>
      </c>
      <c r="GB12" s="14">
        <f t="shared" si="49"/>
        <v>6.8198429896216215</v>
      </c>
      <c r="GC12" s="22">
        <f t="shared" si="25"/>
        <v>48.635328574767534</v>
      </c>
      <c r="GD12" s="62">
        <f t="shared" si="26"/>
        <v>316.30199524143421</v>
      </c>
      <c r="GE12" s="62">
        <f ca="1">AVERAGE(OFFSET($GD$3,0,0,'Données projet'!$E$17+1,1))-AVERAGE(OFFSET($H$3,0,0,'Données projet'!$E$17+1,1))</f>
        <v>408.91016501484626</v>
      </c>
      <c r="GF12" s="62">
        <f t="shared" si="50"/>
        <v>354.22396807666433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3.65</v>
      </c>
      <c r="GU12" s="13">
        <f>IF('Données projet'!$A$270&gt;35,GU11+GT12-HC11,IF(A12&lt;'Données projet'!$A$270,$GR$205^A12,IF(A12='Données projet'!$A$270,'Données projet'!$B$270,GU11+GT12-HC11)))</f>
        <v>6.8943811137639424</v>
      </c>
      <c r="GV12" s="18">
        <f>GU12*VLOOKUP('Données projet'!$B$18,Paramètres!$A$1:$I$89,3,0)*VLOOKUP('Données projet'!$B$18,Paramètres!$A$1:$I$89,5,0)</f>
        <v>6.6682454132324853</v>
      </c>
      <c r="GW12" s="14">
        <f t="shared" si="51"/>
        <v>2.4640453263659414</v>
      </c>
      <c r="GX12" s="22">
        <f t="shared" si="28"/>
        <v>15.905406371467258</v>
      </c>
      <c r="GY12" s="62">
        <f t="shared" si="29"/>
        <v>283.57207303813396</v>
      </c>
      <c r="GZ12" s="62">
        <f ca="1">AVERAGE(OFFSET($GY$3,0,0,'Données projet'!$E$18+1,1))-AVERAGE(OFFSET($H$3,0,0,'Données projet'!$E$18+1,1))</f>
        <v>562.69380557620775</v>
      </c>
      <c r="HA12" s="62">
        <f t="shared" si="52"/>
        <v>294.45557293177131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529.25712986118265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2.6666666666666665</v>
      </c>
      <c r="AI13" s="14">
        <f>IF('Données projet'!$A$62&gt;35,AI12+AH13-AQ12,IF(A13&lt;'Données projet'!$A$62,$AF$205^A13,IF(A13='Données projet'!$A$62,'Données projet'!$B$62,AI12+AH13-AQ12)))</f>
        <v>11.696070952851455</v>
      </c>
      <c r="AJ13" s="14">
        <f>AI13*VLOOKUP('Données projet'!$B$10,Paramètres!$A$1:$I$89,3,0)*VLOOKUP('Données projet'!$B$10,Paramètres!$A$1:$I$89,5,0)</f>
        <v>9.1229353432241354</v>
      </c>
      <c r="AK13" s="14">
        <f t="shared" si="35"/>
        <v>3.2503265450485803</v>
      </c>
      <c r="AL13" s="22">
        <f t="shared" si="4"/>
        <v>21.550097788741649</v>
      </c>
      <c r="AM13" s="62">
        <f t="shared" si="5"/>
        <v>290.43898667763051</v>
      </c>
      <c r="AN13" s="62">
        <f ca="1">AVERAGE(OFFSET($AM$3,0,0,'Données projet'!$E$10+1,1))-AVERAGE(OFFSET($H$3,0,0,'Données projet'!$E$10+1,1))</f>
        <v>292.57482726862594</v>
      </c>
      <c r="AO13" s="62">
        <f t="shared" si="36"/>
        <v>283.48738729114024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19</v>
      </c>
      <c r="BB13" s="13">
        <f>VLOOKUP(A13,'Données projet'!$A$87:$I$107,9,0)</f>
        <v>1.9</v>
      </c>
      <c r="BC13" s="13">
        <f t="array" ref="BC13">INDEX(BB:BB,MIN(IF(ISNUMBER(BB13:BB209),ROW(BB13:BB209),"")))</f>
        <v>1.9</v>
      </c>
      <c r="BD13" s="13">
        <f>IF('Données projet'!$A$88&gt;35,BD12+BC13-BL12,IF(A13&lt;'Données projet'!$A$88,$BA$205^A13,IF(A13='Données projet'!$A$88,'Données projet'!$B$88,BD12+BC13-BL12)))</f>
        <v>19</v>
      </c>
      <c r="BE13" s="14">
        <f>BD13*VLOOKUP('Données projet'!$B$11,Paramètres!$A$1:$I$89,3,0)*VLOOKUP('Données projet'!$B$11,Paramètres!$A$1:$I$89,5,0)</f>
        <v>13.9308</v>
      </c>
      <c r="BF13" s="14">
        <f t="shared" si="37"/>
        <v>4.7246463812124082</v>
      </c>
      <c r="BG13" s="22">
        <f t="shared" si="7"/>
        <v>32.491569113944941</v>
      </c>
      <c r="BH13" s="62">
        <f t="shared" si="8"/>
        <v>301.38045800283379</v>
      </c>
      <c r="BI13" s="62">
        <f ca="1">AVERAGE(OFFSET($BH$3,0,0,'Données projet'!$E$11+1,1))-AVERAGE(OFFSET($H$3,0,0,'Données projet'!$E$11+1,1))</f>
        <v>397.24545766894346</v>
      </c>
      <c r="BJ13" s="62">
        <f t="shared" si="38"/>
        <v>431.44557882369696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11</v>
      </c>
      <c r="BW13" s="13">
        <f>VLOOKUP(A13,'Données projet'!$A$113:$I$133,9,0)</f>
        <v>1.1000000000000001</v>
      </c>
      <c r="BX13" s="13">
        <f t="array" ref="BX13">INDEX(BW:BW,MIN(IF(ISNUMBER(BW13:BW209),ROW(BW13:BW209),"")))</f>
        <v>1.1000000000000001</v>
      </c>
      <c r="BY13" s="13">
        <f>IF('Données projet'!$A$114&gt;35,BY12+BX13-CG12,IF(A13&lt;'Données projet'!$A$114,$BV$205^A13,IF(A13='Données projet'!$A$114,'Données projet'!$B$114,BY12+BX13-CG12)))</f>
        <v>11</v>
      </c>
      <c r="BZ13" s="14">
        <f>BY13*VLOOKUP('Données projet'!$B$12,Paramètres!$A$1:$I$89,3,0)*VLOOKUP('Données projet'!$B$12,Paramètres!$A$1:$I$89,5,0)</f>
        <v>7.2072000000000003</v>
      </c>
      <c r="CA13" s="14">
        <f t="shared" si="39"/>
        <v>2.6392140198770462</v>
      </c>
      <c r="CB13" s="22">
        <f t="shared" si="10"/>
        <v>17.149171084619187</v>
      </c>
      <c r="CC13" s="62">
        <f t="shared" si="11"/>
        <v>286.03805997350804</v>
      </c>
      <c r="CD13" s="62">
        <f ca="1">AVERAGE(OFFSET($CC$3,0,0,'Données projet'!$E$12+1,1))-AVERAGE(OFFSET($H$3,0,0,'Données projet'!$E$12+1,1))</f>
        <v>277.27246253233807</v>
      </c>
      <c r="CE13" s="62">
        <f t="shared" si="40"/>
        <v>269.61868559913404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5.4593759643387862</v>
      </c>
      <c r="CV13" s="14">
        <f t="shared" si="41"/>
        <v>2.0648648084962673</v>
      </c>
      <c r="CW13" s="22">
        <f t="shared" si="13"/>
        <v>13.104719346021051</v>
      </c>
      <c r="CX13" s="62">
        <f t="shared" si="14"/>
        <v>281.99360823490991</v>
      </c>
      <c r="CY13" s="62">
        <f ca="1">AVERAGE(OFFSET($CX$3,0,0,'Données projet'!$E$13+1,1))-AVERAGE(OFFSET($H$3,0,0,'Données projet'!$E$13+1,1))</f>
        <v>402.15128814037058</v>
      </c>
      <c r="CZ13" s="62">
        <f t="shared" si="42"/>
        <v>232.85411068442738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34.615384615384613</v>
      </c>
      <c r="DM13" s="13">
        <f>VLOOKUP(A13,'Données projet'!$A$165:$I$185,9,0)</f>
        <v>3.4615384615384612</v>
      </c>
      <c r="DN13" s="13">
        <f t="array" ref="DN13">INDEX(DM:DM,MIN(IF(ISNUMBER(DM13:DM209),ROW(DM13:DM209),"")))</f>
        <v>3.4615384615384612</v>
      </c>
      <c r="DO13" s="13">
        <f>IF('Données projet'!$A$166&gt;35,DO12+DN13-DW12,IF(A13&lt;'Données projet'!$A$166,$DL$205^A13,IF(A13='Données projet'!$A$166,'Données projet'!$B$166,DO12+DN13-DW12)))</f>
        <v>34.615384615384613</v>
      </c>
      <c r="DP13" s="18">
        <f>DO13*VLOOKUP('Données projet'!$B$14,Paramètres!$A$1:$I$89,3,0)*VLOOKUP('Données projet'!$B$14,Paramètres!$A$1:$I$89,5,0)</f>
        <v>32.94</v>
      </c>
      <c r="DQ13" s="14">
        <f t="shared" si="43"/>
        <v>10.106775834240313</v>
      </c>
      <c r="DR13" s="22">
        <f t="shared" si="16"/>
        <v>74.973134577968537</v>
      </c>
      <c r="DS13" s="62">
        <f t="shared" si="17"/>
        <v>343.86202346685741</v>
      </c>
      <c r="DT13" s="62">
        <f ca="1">AVERAGE(OFFSET($DS$3,0,0,'Données projet'!$E$14+1,1))-AVERAGE(OFFSET($H$3,0,0,'Données projet'!$E$14+1,1))</f>
        <v>485.18236169209541</v>
      </c>
      <c r="DU13" s="62">
        <f t="shared" si="44"/>
        <v>417.30339652956951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>
        <f>VLOOKUP(A13,'Données projet'!$A$191:$I$211,2,0)</f>
        <v>19</v>
      </c>
      <c r="EH13" s="13">
        <f>VLOOKUP(A13,'Données projet'!$A$191:$I$211,9,0)</f>
        <v>1.9</v>
      </c>
      <c r="EI13" s="13">
        <f t="array" ref="EI13">INDEX(EH:EH,MIN(IF(ISNUMBER(EH13:EH209),ROW(EH13:EH209),"")))</f>
        <v>1.9</v>
      </c>
      <c r="EJ13" s="13">
        <f>IF('Données projet'!$A$192&gt;35,EJ12+EI13-ER12,IF(A13&lt;'Données projet'!$A$192,$EG$205^A13,IF(A13='Données projet'!$A$192,'Données projet'!$B$192,EJ12+EI13-ER12)))</f>
        <v>19</v>
      </c>
      <c r="EK13" s="18">
        <f>EJ13*VLOOKUP('Données projet'!$B$15,Paramètres!$A$1:$I$89,3,0)*VLOOKUP('Données projet'!$B$15,Paramètres!$A$1:$I$89,5,0)</f>
        <v>15.116400000000001</v>
      </c>
      <c r="EL13" s="14">
        <f t="shared" si="45"/>
        <v>5.0782333044806913</v>
      </c>
      <c r="EM13" s="22">
        <f t="shared" si="19"/>
        <v>35.172319671970541</v>
      </c>
      <c r="EN13" s="62">
        <f t="shared" si="20"/>
        <v>304.06120856085943</v>
      </c>
      <c r="EO13" s="62">
        <f ca="1">AVERAGE(OFFSET($EN$3,0,0,'Données projet'!$E$15+1,1))-AVERAGE(OFFSET($H$3,0,0,'Données projet'!$E$15+1,1))</f>
        <v>427.78067187784063</v>
      </c>
      <c r="EP13" s="62">
        <f t="shared" si="46"/>
        <v>464.22892523825118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2.8518518518518516</v>
      </c>
      <c r="FE13" s="13">
        <f>IF('Données projet'!$A$218&gt;35,FE12+FD13-FM12,IF(A13&lt;'Données projet'!$A$218,$FB$205^A13,IF(A13='Données projet'!$A$218,'Données projet'!$B$218,FE12+FD13-FM12)))</f>
        <v>4.9968955165542326</v>
      </c>
      <c r="FF13" s="18">
        <f>FE13*VLOOKUP('Données projet'!$B$16,Paramètres!$A$1:$I$89,3,0)*VLOOKUP('Données projet'!$B$16,Paramètres!$A$1:$I$89,5,0)</f>
        <v>4.287336353203532</v>
      </c>
      <c r="FG13" s="14">
        <f t="shared" si="47"/>
        <v>1.6678346403162176</v>
      </c>
      <c r="FH13" s="22">
        <f t="shared" si="22"/>
        <v>10.371922813713566</v>
      </c>
      <c r="FI13" s="62">
        <f t="shared" si="23"/>
        <v>279.26081170260244</v>
      </c>
      <c r="FJ13" s="62">
        <f ca="1">AVERAGE(OFFSET($FI$3,0,0,'Données projet'!$E$16+1,1))-AVERAGE(OFFSET($H$3,0,0,'Données projet'!$E$16+1,1))</f>
        <v>448.44001099301806</v>
      </c>
      <c r="FK13" s="62">
        <f t="shared" si="48"/>
        <v>230.82970731138215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>
        <f>VLOOKUP(A13,'Données projet'!$A$243:$I$263,2,0)</f>
        <v>46.153846153846153</v>
      </c>
      <c r="FX13" s="13">
        <f>VLOOKUP(A13,'Données projet'!$A$243:$I$263,9,0)</f>
        <v>4.615384615384615</v>
      </c>
      <c r="FY13" s="13">
        <f t="array" ref="FY13">INDEX(FX:FX,MIN(IF(ISNUMBER(FX13:FX209),ROW(FX13:FX209),"")))</f>
        <v>4.615384615384615</v>
      </c>
      <c r="FZ13" s="13">
        <f>IF('Données projet'!$A$244&gt;35,FZ12+FY13-GH12,IF(A13&lt;'Données projet'!$A$244,$FW$205^A13,IF(A13='Données projet'!$A$244,'Données projet'!$B$244,FZ12+FY13-GH12)))</f>
        <v>46.153846153846153</v>
      </c>
      <c r="GA13" s="18">
        <f>FZ13*VLOOKUP('Données projet'!$B$17,Paramètres!$A$1:$I$89,3,0)*VLOOKUP('Données projet'!$B$17,Paramètres!$A$1:$I$89,5,0)</f>
        <v>30.96</v>
      </c>
      <c r="GB13" s="14">
        <f t="shared" si="49"/>
        <v>9.5680577090117094</v>
      </c>
      <c r="GC13" s="22">
        <f t="shared" si="25"/>
        <v>70.586367176528725</v>
      </c>
      <c r="GD13" s="62">
        <f t="shared" si="26"/>
        <v>339.47525606541757</v>
      </c>
      <c r="GE13" s="62">
        <f ca="1">AVERAGE(OFFSET($GD$3,0,0,'Données projet'!$E$17+1,1))-AVERAGE(OFFSET($H$3,0,0,'Données projet'!$E$17+1,1))</f>
        <v>408.91016501484626</v>
      </c>
      <c r="GF13" s="62">
        <f t="shared" si="50"/>
        <v>354.22396807666433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3.65</v>
      </c>
      <c r="GU13" s="13">
        <f>IF('Données projet'!$A$270&gt;35,GU12+GT13-HC12,IF(A13&lt;'Données projet'!$A$270,$GR$205^A13,IF(A13='Données projet'!$A$270,'Données projet'!$B$270,GU12+GT13-HC12)))</f>
        <v>8.5440037453175322</v>
      </c>
      <c r="GV13" s="18">
        <f>GU13*VLOOKUP('Données projet'!$B$18,Paramètres!$A$1:$I$89,3,0)*VLOOKUP('Données projet'!$B$18,Paramètres!$A$1:$I$89,5,0)</f>
        <v>8.2637604224711172</v>
      </c>
      <c r="GW13" s="14">
        <f t="shared" si="51"/>
        <v>2.9783127206856603</v>
      </c>
      <c r="GX13" s="22">
        <f t="shared" si="28"/>
        <v>19.579944057664719</v>
      </c>
      <c r="GY13" s="62">
        <f t="shared" si="29"/>
        <v>288.46883294655356</v>
      </c>
      <c r="GZ13" s="62">
        <f ca="1">AVERAGE(OFFSET($GY$3,0,0,'Données projet'!$E$18+1,1))-AVERAGE(OFFSET($H$3,0,0,'Données projet'!$E$18+1,1))</f>
        <v>562.69380557620775</v>
      </c>
      <c r="HA13" s="62">
        <f t="shared" si="52"/>
        <v>294.45557293177131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529.25712986118265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2.6666666666666665</v>
      </c>
      <c r="AI14" s="14">
        <f>IF('Données projet'!$A$62&gt;35,AI13+AH14-AQ13,IF(A14&lt;'Données projet'!$A$62,$AF$205^A14,IF(A14='Données projet'!$A$62,'Données projet'!$B$62,AI13+AH14-AQ13)))</f>
        <v>14.956982779612416</v>
      </c>
      <c r="AJ14" s="14">
        <f>AI14*VLOOKUP('Données projet'!$B$10,Paramètres!$A$1:$I$89,3,0)*VLOOKUP('Données projet'!$B$10,Paramètres!$A$1:$I$89,5,0)</f>
        <v>11.666446568097685</v>
      </c>
      <c r="AK14" s="14">
        <f t="shared" si="35"/>
        <v>4.0392339557111736</v>
      </c>
      <c r="AL14" s="22">
        <f t="shared" si="4"/>
        <v>27.354060245633761</v>
      </c>
      <c r="AM14" s="62">
        <f t="shared" si="5"/>
        <v>297.46517135674492</v>
      </c>
      <c r="AN14" s="62">
        <f ca="1">AVERAGE(OFFSET($AM$3,0,0,'Données projet'!$E$10+1,1))-AVERAGE(OFFSET($H$3,0,0,'Données projet'!$E$10+1,1))</f>
        <v>292.57482726862594</v>
      </c>
      <c r="AO14" s="62">
        <f t="shared" si="36"/>
        <v>283.48738729114024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14.6</v>
      </c>
      <c r="BD14" s="13">
        <f>IF('Données projet'!$A$88&gt;35,BD13+BC14-BL13,IF(A14&lt;'Données projet'!$A$88,$BA$205^A14,IF(A14='Données projet'!$A$88,'Données projet'!$B$88,BD13+BC14-BL13)))</f>
        <v>33.6</v>
      </c>
      <c r="BE14" s="14">
        <f>BD14*VLOOKUP('Données projet'!$B$11,Paramètres!$A$1:$I$89,3,0)*VLOOKUP('Données projet'!$B$11,Paramètres!$A$1:$I$89,5,0)</f>
        <v>24.63552</v>
      </c>
      <c r="BF14" s="14">
        <f t="shared" si="37"/>
        <v>7.8187263384607988</v>
      </c>
      <c r="BG14" s="22">
        <f t="shared" si="7"/>
        <v>56.52447903948589</v>
      </c>
      <c r="BH14" s="62">
        <f t="shared" si="8"/>
        <v>326.63559015059701</v>
      </c>
      <c r="BI14" s="62">
        <f ca="1">AVERAGE(OFFSET($BH$3,0,0,'Données projet'!$E$11+1,1))-AVERAGE(OFFSET($H$3,0,0,'Données projet'!$E$11+1,1))</f>
        <v>397.24545766894346</v>
      </c>
      <c r="BJ14" s="62">
        <f t="shared" si="38"/>
        <v>431.44557882369696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6.8</v>
      </c>
      <c r="BY14" s="13">
        <f>IF('Données projet'!$A$114&gt;35,BY13+BX14-CG13,IF(A14&lt;'Données projet'!$A$114,$BV$205^A14,IF(A14='Données projet'!$A$114,'Données projet'!$B$114,BY13+BX14-CG13)))</f>
        <v>17.8</v>
      </c>
      <c r="BZ14" s="14">
        <f>BY14*VLOOKUP('Données projet'!$B$12,Paramètres!$A$1:$I$89,3,0)*VLOOKUP('Données projet'!$B$12,Paramètres!$A$1:$I$89,5,0)</f>
        <v>11.662560000000001</v>
      </c>
      <c r="CA14" s="14">
        <f t="shared" si="39"/>
        <v>4.0380449311592468</v>
      </c>
      <c r="CB14" s="22">
        <f t="shared" si="10"/>
        <v>27.345220255102358</v>
      </c>
      <c r="CC14" s="62">
        <f t="shared" si="11"/>
        <v>297.45633136621348</v>
      </c>
      <c r="CD14" s="62">
        <f ca="1">AVERAGE(OFFSET($CC$3,0,0,'Données projet'!$E$12+1,1))-AVERAGE(OFFSET($H$3,0,0,'Données projet'!$E$12+1,1))</f>
        <v>277.27246253233807</v>
      </c>
      <c r="CE14" s="62">
        <f t="shared" si="40"/>
        <v>269.61868559913404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6.5812057411986977</v>
      </c>
      <c r="CV14" s="14">
        <f t="shared" si="41"/>
        <v>2.4356045477877388</v>
      </c>
      <c r="CW14" s="22">
        <f t="shared" si="13"/>
        <v>15.70427791998471</v>
      </c>
      <c r="CX14" s="62">
        <f t="shared" si="14"/>
        <v>285.81538903109583</v>
      </c>
      <c r="CY14" s="62">
        <f ca="1">AVERAGE(OFFSET($CX$3,0,0,'Données projet'!$E$13+1,1))-AVERAGE(OFFSET($H$3,0,0,'Données projet'!$E$13+1,1))</f>
        <v>402.15128814037058</v>
      </c>
      <c r="CZ14" s="62">
        <f t="shared" si="42"/>
        <v>232.85411068442738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8.9743589743589745</v>
      </c>
      <c r="DO14" s="13">
        <f>IF('Données projet'!$A$166&gt;35,DO13+DN14-DW13,IF(A14&lt;'Données projet'!$A$166,$DL$205^A14,IF(A14='Données projet'!$A$166,'Données projet'!$B$166,DO13+DN14-DW13)))</f>
        <v>43.589743589743591</v>
      </c>
      <c r="DP14" s="18">
        <f>DO14*VLOOKUP('Données projet'!$B$14,Paramètres!$A$1:$I$89,3,0)*VLOOKUP('Données projet'!$B$14,Paramètres!$A$1:$I$89,5,0)</f>
        <v>41.480000000000004</v>
      </c>
      <c r="DQ14" s="14">
        <f t="shared" si="43"/>
        <v>12.390087754926814</v>
      </c>
      <c r="DR14" s="22">
        <f t="shared" si="16"/>
        <v>93.823736173164193</v>
      </c>
      <c r="DS14" s="62">
        <f t="shared" si="17"/>
        <v>363.93484728427535</v>
      </c>
      <c r="DT14" s="62">
        <f ca="1">AVERAGE(OFFSET($DS$3,0,0,'Données projet'!$E$14+1,1))-AVERAGE(OFFSET($H$3,0,0,'Données projet'!$E$14+1,1))</f>
        <v>485.18236169209541</v>
      </c>
      <c r="DU14" s="62">
        <f t="shared" si="44"/>
        <v>417.30339652956951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14.6</v>
      </c>
      <c r="EJ14" s="13">
        <f>IF('Données projet'!$A$192&gt;35,EJ13+EI14-ER13,IF(A14&lt;'Données projet'!$A$192,$EG$205^A14,IF(A14='Données projet'!$A$192,'Données projet'!$B$192,EJ13+EI14-ER13)))</f>
        <v>33.6</v>
      </c>
      <c r="EK14" s="18">
        <f>EJ14*VLOOKUP('Données projet'!$B$15,Paramètres!$A$1:$I$89,3,0)*VLOOKUP('Données projet'!$B$15,Paramètres!$A$1:$I$89,5,0)</f>
        <v>26.732160000000004</v>
      </c>
      <c r="EL14" s="14">
        <f t="shared" si="45"/>
        <v>8.4038705306032053</v>
      </c>
      <c r="EM14" s="22">
        <f t="shared" si="19"/>
        <v>61.195253174133917</v>
      </c>
      <c r="EN14" s="62">
        <f t="shared" si="20"/>
        <v>331.30636428524508</v>
      </c>
      <c r="EO14" s="62">
        <f ca="1">AVERAGE(OFFSET($EN$3,0,0,'Données projet'!$E$15+1,1))-AVERAGE(OFFSET($H$3,0,0,'Données projet'!$E$15+1,1))</f>
        <v>427.78067187784063</v>
      </c>
      <c r="EP14" s="62">
        <f t="shared" si="46"/>
        <v>464.22892523825118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2.8518518518518516</v>
      </c>
      <c r="FE14" s="13">
        <f>IF('Données projet'!$A$218&gt;35,FE13+FD14-FM13,IF(A14&lt;'Données projet'!$A$218,$FB$205^A14,IF(A14='Données projet'!$A$218,'Données projet'!$B$218,FE13+FD14-FM13)))</f>
        <v>5.8690835964213983</v>
      </c>
      <c r="FF14" s="18">
        <f>FE14*VLOOKUP('Données projet'!$B$16,Paramètres!$A$1:$I$89,3,0)*VLOOKUP('Données projet'!$B$16,Paramètres!$A$1:$I$89,5,0)</f>
        <v>5.0356737257295601</v>
      </c>
      <c r="FG14" s="14">
        <f t="shared" si="47"/>
        <v>1.922605345496381</v>
      </c>
      <c r="FH14" s="22">
        <f t="shared" si="22"/>
        <v>12.119002715718514</v>
      </c>
      <c r="FI14" s="62">
        <f t="shared" si="23"/>
        <v>282.23011382682967</v>
      </c>
      <c r="FJ14" s="62">
        <f ca="1">AVERAGE(OFFSET($FI$3,0,0,'Données projet'!$E$16+1,1))-AVERAGE(OFFSET($H$3,0,0,'Données projet'!$E$16+1,1))</f>
        <v>448.44001099301806</v>
      </c>
      <c r="FK14" s="62">
        <f t="shared" si="48"/>
        <v>230.82970731138215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10.897435897435896</v>
      </c>
      <c r="FZ14" s="13">
        <f>IF('Données projet'!$A$244&gt;35,FZ13+FY14-GH13,IF(A14&lt;'Données projet'!$A$244,$FW$205^A14,IF(A14='Données projet'!$A$244,'Données projet'!$B$244,FZ13+FY14-GH13)))</f>
        <v>57.051282051282051</v>
      </c>
      <c r="GA14" s="18">
        <f>FZ14*VLOOKUP('Données projet'!$B$17,Paramètres!$A$1:$I$89,3,0)*VLOOKUP('Données projet'!$B$17,Paramètres!$A$1:$I$89,5,0)</f>
        <v>38.270000000000003</v>
      </c>
      <c r="GB14" s="14">
        <f t="shared" si="49"/>
        <v>11.538936996892089</v>
      </c>
      <c r="GC14" s="22">
        <f t="shared" si="25"/>
        <v>86.750565269587057</v>
      </c>
      <c r="GD14" s="62">
        <f t="shared" si="26"/>
        <v>356.86167638069821</v>
      </c>
      <c r="GE14" s="62">
        <f ca="1">AVERAGE(OFFSET($GD$3,0,0,'Données projet'!$E$17+1,1))-AVERAGE(OFFSET($H$3,0,0,'Données projet'!$E$17+1,1))</f>
        <v>408.91016501484626</v>
      </c>
      <c r="GF14" s="62">
        <f t="shared" si="50"/>
        <v>354.22396807666433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3.65</v>
      </c>
      <c r="GU14" s="13">
        <f>IF('Données projet'!$A$270&gt;35,GU13+GT14-HC13,IF(A14&lt;'Données projet'!$A$270,$GR$205^A14,IF(A14='Données projet'!$A$270,'Données projet'!$B$270,GU13+GT14-HC13)))</f>
        <v>10.588332555950936</v>
      </c>
      <c r="GV14" s="18">
        <f>GU14*VLOOKUP('Données projet'!$B$18,Paramètres!$A$1:$I$89,3,0)*VLOOKUP('Données projet'!$B$18,Paramètres!$A$1:$I$89,5,0)</f>
        <v>10.241035248115747</v>
      </c>
      <c r="GW14" s="14">
        <f t="shared" si="51"/>
        <v>3.5999121311945652</v>
      </c>
      <c r="GX14" s="22">
        <f t="shared" si="28"/>
        <v>24.106316685632123</v>
      </c>
      <c r="GY14" s="62">
        <f t="shared" si="29"/>
        <v>294.21742779674327</v>
      </c>
      <c r="GZ14" s="62">
        <f ca="1">AVERAGE(OFFSET($GY$3,0,0,'Données projet'!$E$18+1,1))-AVERAGE(OFFSET($H$3,0,0,'Données projet'!$E$18+1,1))</f>
        <v>562.69380557620775</v>
      </c>
      <c r="HA14" s="62">
        <f t="shared" si="52"/>
        <v>294.45557293177131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529.25712986118265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2.6666666666666665</v>
      </c>
      <c r="AI15" s="14">
        <f>IF('Données projet'!$A$62&gt;35,AI14+AH15-AQ14,IF(A15&lt;'Données projet'!$A$62,$AF$205^A15,IF(A15='Données projet'!$A$62,'Données projet'!$B$62,AI14+AH15-AQ14)))</f>
        <v>19.127049995800721</v>
      </c>
      <c r="AJ15" s="14">
        <f>AI15*VLOOKUP('Données projet'!$B$10,Paramètres!$A$1:$I$89,3,0)*VLOOKUP('Données projet'!$B$10,Paramètres!$A$1:$I$89,5,0)</f>
        <v>14.919098996724562</v>
      </c>
      <c r="AK15" s="14">
        <f t="shared" si="35"/>
        <v>5.019622097301081</v>
      </c>
      <c r="AL15" s="22">
        <f t="shared" si="4"/>
        <v>34.726605905427995</v>
      </c>
      <c r="AM15" s="62">
        <f t="shared" si="5"/>
        <v>306.05993923876133</v>
      </c>
      <c r="AN15" s="62">
        <f ca="1">AVERAGE(OFFSET($AM$3,0,0,'Données projet'!$E$10+1,1))-AVERAGE(OFFSET($H$3,0,0,'Données projet'!$E$10+1,1))</f>
        <v>292.57482726862594</v>
      </c>
      <c r="AO15" s="62">
        <f t="shared" si="36"/>
        <v>283.48738729114024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14.6</v>
      </c>
      <c r="BD15" s="13">
        <f>IF('Données projet'!$A$88&gt;35,BD14+BC15-BL14,IF(A15&lt;'Données projet'!$A$88,$BA$205^A15,IF(A15='Données projet'!$A$88,'Données projet'!$B$88,BD14+BC15-BL14)))</f>
        <v>48.2</v>
      </c>
      <c r="BE15" s="14">
        <f>BD15*VLOOKUP('Données projet'!$B$11,Paramètres!$A$1:$I$89,3,0)*VLOOKUP('Données projet'!$B$11,Paramètres!$A$1:$I$89,5,0)</f>
        <v>35.340240000000001</v>
      </c>
      <c r="BF15" s="14">
        <f t="shared" si="37"/>
        <v>10.754816139301557</v>
      </c>
      <c r="BG15" s="22">
        <f t="shared" si="7"/>
        <v>80.282222775950217</v>
      </c>
      <c r="BH15" s="62">
        <f t="shared" si="8"/>
        <v>351.61555610928355</v>
      </c>
      <c r="BI15" s="62">
        <f ca="1">AVERAGE(OFFSET($BH$3,0,0,'Données projet'!$E$11+1,1))-AVERAGE(OFFSET($H$3,0,0,'Données projet'!$E$11+1,1))</f>
        <v>397.24545766894346</v>
      </c>
      <c r="BJ15" s="62">
        <f t="shared" si="38"/>
        <v>431.44557882369696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6.8</v>
      </c>
      <c r="BY15" s="13">
        <f>IF('Données projet'!$A$114&gt;35,BY14+BX15-CG14,IF(A15&lt;'Données projet'!$A$114,$BV$205^A15,IF(A15='Données projet'!$A$114,'Données projet'!$B$114,BY14+BX15-CG14)))</f>
        <v>24.6</v>
      </c>
      <c r="BZ15" s="14">
        <f>BY15*VLOOKUP('Données projet'!$B$12,Paramètres!$A$1:$I$89,3,0)*VLOOKUP('Données projet'!$B$12,Paramètres!$A$1:$I$89,5,0)</f>
        <v>16.117920000000002</v>
      </c>
      <c r="CA15" s="14">
        <f t="shared" si="39"/>
        <v>5.3744038004928587</v>
      </c>
      <c r="CB15" s="22">
        <f t="shared" si="10"/>
        <v>37.432463952525062</v>
      </c>
      <c r="CC15" s="62">
        <f t="shared" si="11"/>
        <v>308.76579728585835</v>
      </c>
      <c r="CD15" s="62">
        <f ca="1">AVERAGE(OFFSET($CC$3,0,0,'Données projet'!$E$12+1,1))-AVERAGE(OFFSET($H$3,0,0,'Données projet'!$E$12+1,1))</f>
        <v>277.27246253233807</v>
      </c>
      <c r="CE15" s="62">
        <f t="shared" si="40"/>
        <v>269.61868559913404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7.9335567454791462</v>
      </c>
      <c r="CV15" s="14">
        <f t="shared" si="41"/>
        <v>2.8729093976493338</v>
      </c>
      <c r="CW15" s="22">
        <f t="shared" si="13"/>
        <v>18.82126186594877</v>
      </c>
      <c r="CX15" s="62">
        <f t="shared" si="14"/>
        <v>290.15459519928208</v>
      </c>
      <c r="CY15" s="62">
        <f ca="1">AVERAGE(OFFSET($CX$3,0,0,'Données projet'!$E$13+1,1))-AVERAGE(OFFSET($H$3,0,0,'Données projet'!$E$13+1,1))</f>
        <v>402.15128814037058</v>
      </c>
      <c r="CZ15" s="62">
        <f t="shared" si="42"/>
        <v>232.85411068442738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8.9743589743589745</v>
      </c>
      <c r="DO15" s="13">
        <f>IF('Données projet'!$A$166&gt;35,DO14+DN15-DW14,IF(A15&lt;'Données projet'!$A$166,$DL$205^A15,IF(A15='Données projet'!$A$166,'Données projet'!$B$166,DO14+DN15-DW14)))</f>
        <v>52.564102564102569</v>
      </c>
      <c r="DP15" s="18">
        <f>DO15*VLOOKUP('Données projet'!$B$14,Paramètres!$A$1:$I$89,3,0)*VLOOKUP('Données projet'!$B$14,Paramètres!$A$1:$I$89,5,0)</f>
        <v>50.02000000000001</v>
      </c>
      <c r="DQ15" s="14">
        <f t="shared" si="43"/>
        <v>14.618924630443908</v>
      </c>
      <c r="DR15" s="22">
        <f t="shared" si="16"/>
        <v>112.57946039802316</v>
      </c>
      <c r="DS15" s="62">
        <f t="shared" si="17"/>
        <v>383.91279373135649</v>
      </c>
      <c r="DT15" s="62">
        <f ca="1">AVERAGE(OFFSET($DS$3,0,0,'Données projet'!$E$14+1,1))-AVERAGE(OFFSET($H$3,0,0,'Données projet'!$E$14+1,1))</f>
        <v>485.18236169209541</v>
      </c>
      <c r="DU15" s="62">
        <f t="shared" si="44"/>
        <v>417.30339652956951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14.6</v>
      </c>
      <c r="EJ15" s="13">
        <f>IF('Données projet'!$A$192&gt;35,EJ14+EI15-ER14,IF(A15&lt;'Données projet'!$A$192,$EG$205^A15,IF(A15='Données projet'!$A$192,'Données projet'!$B$192,EJ14+EI15-ER14)))</f>
        <v>48.2</v>
      </c>
      <c r="EK15" s="18">
        <f>EJ15*VLOOKUP('Données projet'!$B$15,Paramètres!$A$1:$I$89,3,0)*VLOOKUP('Données projet'!$B$15,Paramètres!$A$1:$I$89,5,0)</f>
        <v>38.347920000000002</v>
      </c>
      <c r="EL15" s="14">
        <f t="shared" si="45"/>
        <v>11.559693804672129</v>
      </c>
      <c r="EM15" s="22">
        <f t="shared" si="19"/>
        <v>86.922427376470623</v>
      </c>
      <c r="EN15" s="62">
        <f t="shared" si="20"/>
        <v>358.25576070980395</v>
      </c>
      <c r="EO15" s="62">
        <f ca="1">AVERAGE(OFFSET($EN$3,0,0,'Données projet'!$E$15+1,1))-AVERAGE(OFFSET($H$3,0,0,'Données projet'!$E$15+1,1))</f>
        <v>427.78067187784063</v>
      </c>
      <c r="EP15" s="62">
        <f t="shared" si="46"/>
        <v>464.22892523825118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2.8518518518518516</v>
      </c>
      <c r="FE15" s="13">
        <f>IF('Données projet'!$A$218&gt;35,FE14+FD15-FM14,IF(A15&lt;'Données projet'!$A$218,$FB$205^A15,IF(A15='Données projet'!$A$218,'Données projet'!$B$218,FE14+FD15-FM14)))</f>
        <v>6.8935086090285438</v>
      </c>
      <c r="FF15" s="18">
        <f>FE15*VLOOKUP('Données projet'!$B$16,Paramètres!$A$1:$I$89,3,0)*VLOOKUP('Données projet'!$B$16,Paramètres!$A$1:$I$89,5,0)</f>
        <v>5.9146303865464915</v>
      </c>
      <c r="FG15" s="14">
        <f t="shared" si="47"/>
        <v>2.216293645172418</v>
      </c>
      <c r="FH15" s="22">
        <f t="shared" si="22"/>
        <v>14.161359355243766</v>
      </c>
      <c r="FI15" s="62">
        <f t="shared" si="23"/>
        <v>285.49469268857706</v>
      </c>
      <c r="FJ15" s="62">
        <f ca="1">AVERAGE(OFFSET($FI$3,0,0,'Données projet'!$E$16+1,1))-AVERAGE(OFFSET($H$3,0,0,'Données projet'!$E$16+1,1))</f>
        <v>448.44001099301806</v>
      </c>
      <c r="FK15" s="62">
        <f t="shared" si="48"/>
        <v>230.82970731138215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10.897435897435896</v>
      </c>
      <c r="FZ15" s="13">
        <f>IF('Données projet'!$A$244&gt;35,FZ14+FY15-GH14,IF(A15&lt;'Données projet'!$A$244,$FW$205^A15,IF(A15='Données projet'!$A$244,'Données projet'!$B$244,FZ14+FY15-GH14)))</f>
        <v>67.948717948717942</v>
      </c>
      <c r="GA15" s="18">
        <f>FZ15*VLOOKUP('Données projet'!$B$17,Paramètres!$A$1:$I$89,3,0)*VLOOKUP('Données projet'!$B$17,Paramètres!$A$1:$I$89,5,0)</f>
        <v>45.58</v>
      </c>
      <c r="GB15" s="14">
        <f t="shared" si="49"/>
        <v>13.466199827793883</v>
      </c>
      <c r="GC15" s="22">
        <f t="shared" si="25"/>
        <v>102.83879803340767</v>
      </c>
      <c r="GD15" s="62">
        <f t="shared" si="26"/>
        <v>374.17213136674098</v>
      </c>
      <c r="GE15" s="62">
        <f ca="1">AVERAGE(OFFSET($GD$3,0,0,'Données projet'!$E$17+1,1))-AVERAGE(OFFSET($H$3,0,0,'Données projet'!$E$17+1,1))</f>
        <v>408.91016501484626</v>
      </c>
      <c r="GF15" s="62">
        <f t="shared" si="50"/>
        <v>354.22396807666433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3.65</v>
      </c>
      <c r="GU15" s="13">
        <f>IF('Données projet'!$A$270&gt;35,GU14+GT15-HC14,IF(A15&lt;'Données projet'!$A$270,$GR$205^A15,IF(A15='Données projet'!$A$270,'Données projet'!$B$270,GU14+GT15-HC14)))</f>
        <v>13.121809125710287</v>
      </c>
      <c r="GV15" s="18">
        <f>GU15*VLOOKUP('Données projet'!$B$18,Paramètres!$A$1:$I$89,3,0)*VLOOKUP('Données projet'!$B$18,Paramètres!$A$1:$I$89,5,0)</f>
        <v>12.69141378638699</v>
      </c>
      <c r="GW15" s="14">
        <f t="shared" si="51"/>
        <v>4.3512446702837533</v>
      </c>
      <c r="GX15" s="22">
        <f t="shared" si="28"/>
        <v>29.682630145368211</v>
      </c>
      <c r="GY15" s="62">
        <f t="shared" si="29"/>
        <v>301.01596347870151</v>
      </c>
      <c r="GZ15" s="62">
        <f ca="1">AVERAGE(OFFSET($GY$3,0,0,'Données projet'!$E$18+1,1))-AVERAGE(OFFSET($H$3,0,0,'Données projet'!$E$18+1,1))</f>
        <v>562.69380557620775</v>
      </c>
      <c r="HA15" s="62">
        <f t="shared" si="52"/>
        <v>294.45557293177131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529.25712986118265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2.6666666666666665</v>
      </c>
      <c r="AI16" s="14">
        <f>IF('Données projet'!$A$62&gt;35,AI15+AH16-AQ15,IF(A16&lt;'Données projet'!$A$62,$AF$205^A16,IF(A16='Données projet'!$A$62,'Données projet'!$B$62,AI15+AH16-AQ15)))</f>
        <v>24.459748796430759</v>
      </c>
      <c r="AJ16" s="14">
        <f>AI16*VLOOKUP('Données projet'!$B$10,Paramètres!$A$1:$I$89,3,0)*VLOOKUP('Données projet'!$B$10,Paramètres!$A$1:$I$89,5,0)</f>
        <v>19.078604061215994</v>
      </c>
      <c r="AK16" s="14">
        <f t="shared" si="35"/>
        <v>6.2379664748280286</v>
      </c>
      <c r="AL16" s="22">
        <f t="shared" si="4"/>
        <v>44.093027016943331</v>
      </c>
      <c r="AM16" s="62">
        <f t="shared" si="5"/>
        <v>316.64858257249887</v>
      </c>
      <c r="AN16" s="62">
        <f ca="1">AVERAGE(OFFSET($AM$3,0,0,'Données projet'!$E$10+1,1))-AVERAGE(OFFSET($H$3,0,0,'Données projet'!$E$10+1,1))</f>
        <v>292.57482726862594</v>
      </c>
      <c r="AO16" s="62">
        <f t="shared" si="36"/>
        <v>283.48738729114024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14.6</v>
      </c>
      <c r="BD16" s="13">
        <f>IF('Données projet'!$A$88&gt;35,BD15+BC16-BL15,IF(A16&lt;'Données projet'!$A$88,$BA$205^A16,IF(A16='Données projet'!$A$88,'Données projet'!$B$88,BD15+BC16-BL15)))</f>
        <v>62.800000000000004</v>
      </c>
      <c r="BE16" s="14">
        <f>BD16*VLOOKUP('Données projet'!$B$11,Paramètres!$A$1:$I$89,3,0)*VLOOKUP('Données projet'!$B$11,Paramètres!$A$1:$I$89,5,0)</f>
        <v>46.044960000000003</v>
      </c>
      <c r="BF16" s="14">
        <f t="shared" si="37"/>
        <v>13.587506612670687</v>
      </c>
      <c r="BG16" s="22">
        <f t="shared" si="7"/>
        <v>103.85987935040144</v>
      </c>
      <c r="BH16" s="62">
        <f t="shared" si="8"/>
        <v>376.415434905957</v>
      </c>
      <c r="BI16" s="62">
        <f ca="1">AVERAGE(OFFSET($BH$3,0,0,'Données projet'!$E$11+1,1))-AVERAGE(OFFSET($H$3,0,0,'Données projet'!$E$11+1,1))</f>
        <v>397.24545766894346</v>
      </c>
      <c r="BJ16" s="62">
        <f t="shared" si="38"/>
        <v>431.44557882369696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6.8</v>
      </c>
      <c r="BY16" s="13">
        <f>IF('Données projet'!$A$114&gt;35,BY15+BX16-CG15,IF(A16&lt;'Données projet'!$A$114,$BV$205^A16,IF(A16='Données projet'!$A$114,'Données projet'!$B$114,BY15+BX16-CG15)))</f>
        <v>31.400000000000002</v>
      </c>
      <c r="BZ16" s="14">
        <f>BY16*VLOOKUP('Données projet'!$B$12,Paramètres!$A$1:$I$89,3,0)*VLOOKUP('Données projet'!$B$12,Paramètres!$A$1:$I$89,5,0)</f>
        <v>20.57328</v>
      </c>
      <c r="CA16" s="14">
        <f t="shared" si="39"/>
        <v>6.6678691706770401</v>
      </c>
      <c r="CB16" s="22">
        <f t="shared" si="10"/>
        <v>47.445001472262504</v>
      </c>
      <c r="CC16" s="62">
        <f t="shared" si="11"/>
        <v>320.00055702781805</v>
      </c>
      <c r="CD16" s="62">
        <f ca="1">AVERAGE(OFFSET($CC$3,0,0,'Données projet'!$E$12+1,1))-AVERAGE(OFFSET($H$3,0,0,'Données projet'!$E$12+1,1))</f>
        <v>277.27246253233807</v>
      </c>
      <c r="CE16" s="62">
        <f t="shared" si="40"/>
        <v>269.61868559913404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9.5637980499107691</v>
      </c>
      <c r="CV16" s="14">
        <f t="shared" si="41"/>
        <v>3.3887309065006521</v>
      </c>
      <c r="CW16" s="22">
        <f t="shared" si="13"/>
        <v>22.558987932416557</v>
      </c>
      <c r="CX16" s="62">
        <f t="shared" si="14"/>
        <v>295.11454348797213</v>
      </c>
      <c r="CY16" s="62">
        <f ca="1">AVERAGE(OFFSET($CX$3,0,0,'Données projet'!$E$13+1,1))-AVERAGE(OFFSET($H$3,0,0,'Données projet'!$E$13+1,1))</f>
        <v>402.15128814037058</v>
      </c>
      <c r="CZ16" s="62">
        <f t="shared" si="42"/>
        <v>232.85411068442738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8.9743589743589745</v>
      </c>
      <c r="DO16" s="13">
        <f>IF('Données projet'!$A$166&gt;35,DO15+DN16-DW15,IF(A16&lt;'Données projet'!$A$166,$DL$205^A16,IF(A16='Données projet'!$A$166,'Données projet'!$B$166,DO15+DN16-DW15)))</f>
        <v>61.538461538461547</v>
      </c>
      <c r="DP16" s="18">
        <f>DO16*VLOOKUP('Données projet'!$B$14,Paramètres!$A$1:$I$89,3,0)*VLOOKUP('Données projet'!$B$14,Paramètres!$A$1:$I$89,5,0)</f>
        <v>58.56</v>
      </c>
      <c r="DQ16" s="14">
        <f t="shared" si="43"/>
        <v>16.803678689054347</v>
      </c>
      <c r="DR16" s="22">
        <f t="shared" si="16"/>
        <v>131.25840705010299</v>
      </c>
      <c r="DS16" s="62">
        <f t="shared" si="17"/>
        <v>403.8139626056585</v>
      </c>
      <c r="DT16" s="62">
        <f ca="1">AVERAGE(OFFSET($DS$3,0,0,'Données projet'!$E$14+1,1))-AVERAGE(OFFSET($H$3,0,0,'Données projet'!$E$14+1,1))</f>
        <v>485.18236169209541</v>
      </c>
      <c r="DU16" s="62">
        <f t="shared" si="44"/>
        <v>417.30339652956951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14.6</v>
      </c>
      <c r="EJ16" s="13">
        <f>IF('Données projet'!$A$192&gt;35,EJ15+EI16-ER15,IF(A16&lt;'Données projet'!$A$192,$EG$205^A16,IF(A16='Données projet'!$A$192,'Données projet'!$B$192,EJ15+EI16-ER15)))</f>
        <v>62.800000000000004</v>
      </c>
      <c r="EK16" s="18">
        <f>EJ16*VLOOKUP('Données projet'!$B$15,Paramètres!$A$1:$I$89,3,0)*VLOOKUP('Données projet'!$B$15,Paramètres!$A$1:$I$89,5,0)</f>
        <v>49.963680000000011</v>
      </c>
      <c r="EL16" s="14">
        <f t="shared" si="45"/>
        <v>14.604379468418438</v>
      </c>
      <c r="EM16" s="22">
        <f t="shared" si="19"/>
        <v>112.45603690749546</v>
      </c>
      <c r="EN16" s="62">
        <f t="shared" si="20"/>
        <v>385.01159246305099</v>
      </c>
      <c r="EO16" s="62">
        <f ca="1">AVERAGE(OFFSET($EN$3,0,0,'Données projet'!$E$15+1,1))-AVERAGE(OFFSET($H$3,0,0,'Données projet'!$E$15+1,1))</f>
        <v>427.78067187784063</v>
      </c>
      <c r="EP16" s="62">
        <f t="shared" si="46"/>
        <v>464.22892523825118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2.8518518518518516</v>
      </c>
      <c r="FE16" s="13">
        <f>IF('Données projet'!$A$218&gt;35,FE15+FD16-FM15,IF(A16&lt;'Données projet'!$A$218,$FB$205^A16,IF(A16='Données projet'!$A$218,'Données projet'!$B$218,FE15+FD16-FM15)))</f>
        <v>8.096742900667774</v>
      </c>
      <c r="FF16" s="18">
        <f>FE16*VLOOKUP('Données projet'!$B$16,Paramètres!$A$1:$I$89,3,0)*VLOOKUP('Données projet'!$B$16,Paramètres!$A$1:$I$89,5,0)</f>
        <v>6.9470054087729514</v>
      </c>
      <c r="FG16" s="14">
        <f t="shared" si="47"/>
        <v>2.5548444110683914</v>
      </c>
      <c r="FH16" s="22">
        <f t="shared" si="22"/>
        <v>16.549055102890339</v>
      </c>
      <c r="FI16" s="62">
        <f t="shared" si="23"/>
        <v>289.10461065844589</v>
      </c>
      <c r="FJ16" s="62">
        <f ca="1">AVERAGE(OFFSET($FI$3,0,0,'Données projet'!$E$16+1,1))-AVERAGE(OFFSET($H$3,0,0,'Données projet'!$E$16+1,1))</f>
        <v>448.44001099301806</v>
      </c>
      <c r="FK16" s="62">
        <f t="shared" si="48"/>
        <v>230.82970731138215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10.897435897435896</v>
      </c>
      <c r="FZ16" s="13">
        <f>IF('Données projet'!$A$244&gt;35,FZ15+FY16-GH15,IF(A16&lt;'Données projet'!$A$244,$FW$205^A16,IF(A16='Données projet'!$A$244,'Données projet'!$B$244,FZ15+FY16-GH15)))</f>
        <v>78.84615384615384</v>
      </c>
      <c r="GA16" s="18">
        <f>FZ16*VLOOKUP('Données projet'!$B$17,Paramètres!$A$1:$I$89,3,0)*VLOOKUP('Données projet'!$B$17,Paramètres!$A$1:$I$89,5,0)</f>
        <v>52.89</v>
      </c>
      <c r="GB16" s="14">
        <f t="shared" si="49"/>
        <v>15.357656466675607</v>
      </c>
      <c r="GC16" s="22">
        <f t="shared" si="25"/>
        <v>118.86466834612668</v>
      </c>
      <c r="GD16" s="62">
        <f t="shared" si="26"/>
        <v>391.42022390168222</v>
      </c>
      <c r="GE16" s="62">
        <f ca="1">AVERAGE(OFFSET($GD$3,0,0,'Données projet'!$E$17+1,1))-AVERAGE(OFFSET($H$3,0,0,'Données projet'!$E$17+1,1))</f>
        <v>408.91016501484626</v>
      </c>
      <c r="GF16" s="62">
        <f t="shared" si="50"/>
        <v>354.22396807666433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3.65</v>
      </c>
      <c r="GU16" s="13">
        <f>IF('Données projet'!$A$270&gt;35,GU15+GT16-HC15,IF(A16&lt;'Données projet'!$A$270,$GR$205^A16,IF(A16='Données projet'!$A$270,'Données projet'!$B$270,GU15+GT16-HC15)))</f>
        <v>16.261472127148366</v>
      </c>
      <c r="GV16" s="18">
        <f>GU16*VLOOKUP('Données projet'!$B$18,Paramètres!$A$1:$I$89,3,0)*VLOOKUP('Données projet'!$B$18,Paramètres!$A$1:$I$89,5,0)</f>
        <v>15.728095841377899</v>
      </c>
      <c r="GW16" s="14">
        <f t="shared" si="51"/>
        <v>5.2593867546400634</v>
      </c>
      <c r="GX16" s="22">
        <f t="shared" si="28"/>
        <v>36.553198854731285</v>
      </c>
      <c r="GY16" s="62">
        <f t="shared" si="29"/>
        <v>309.10875441028685</v>
      </c>
      <c r="GZ16" s="62">
        <f ca="1">AVERAGE(OFFSET($GY$3,0,0,'Données projet'!$E$18+1,1))-AVERAGE(OFFSET($H$3,0,0,'Données projet'!$E$18+1,1))</f>
        <v>562.69380557620775</v>
      </c>
      <c r="HA16" s="62">
        <f t="shared" si="52"/>
        <v>294.45557293177131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529.25712986118265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2.6666666666666665</v>
      </c>
      <c r="AI17" s="14">
        <f>IF('Données projet'!$A$62&gt;35,AI16+AH17-AQ16,IF(A17&lt;'Données projet'!$A$62,$AF$205^A17,IF(A17='Données projet'!$A$62,'Données projet'!$B$62,AI16+AH17-AQ16)))</f>
        <v>31.279225563578599</v>
      </c>
      <c r="AJ17" s="14">
        <f>AI17*VLOOKUP('Données projet'!$B$10,Paramètres!$A$1:$I$89,3,0)*VLOOKUP('Données projet'!$B$10,Paramètres!$A$1:$I$89,5,0)</f>
        <v>24.397795939591308</v>
      </c>
      <c r="AK17" s="14">
        <f t="shared" si="35"/>
        <v>7.75202295846145</v>
      </c>
      <c r="AL17" s="22">
        <f t="shared" si="4"/>
        <v>55.994267914108548</v>
      </c>
      <c r="AM17" s="62">
        <f t="shared" si="5"/>
        <v>329.77204569188632</v>
      </c>
      <c r="AN17" s="62">
        <f ca="1">AVERAGE(OFFSET($AM$3,0,0,'Données projet'!$E$10+1,1))-AVERAGE(OFFSET($H$3,0,0,'Données projet'!$E$10+1,1))</f>
        <v>292.57482726862594</v>
      </c>
      <c r="AO17" s="62">
        <f t="shared" si="36"/>
        <v>283.48738729114024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14.6</v>
      </c>
      <c r="BD17" s="13">
        <f>IF('Données projet'!$A$88&gt;35,BD16+BC17-BL16,IF(A17&lt;'Données projet'!$A$88,$BA$205^A17,IF(A17='Données projet'!$A$88,'Données projet'!$B$88,BD16+BC17-BL16)))</f>
        <v>77.400000000000006</v>
      </c>
      <c r="BE17" s="14">
        <f>BD17*VLOOKUP('Données projet'!$B$11,Paramètres!$A$1:$I$89,3,0)*VLOOKUP('Données projet'!$B$11,Paramètres!$A$1:$I$89,5,0)</f>
        <v>56.749680000000005</v>
      </c>
      <c r="BF17" s="14">
        <f t="shared" si="37"/>
        <v>16.343841431568325</v>
      </c>
      <c r="BG17" s="22">
        <f t="shared" si="7"/>
        <v>127.30454982664817</v>
      </c>
      <c r="BH17" s="62">
        <f t="shared" si="8"/>
        <v>401.08232760442593</v>
      </c>
      <c r="BI17" s="62">
        <f ca="1">AVERAGE(OFFSET($BH$3,0,0,'Données projet'!$E$11+1,1))-AVERAGE(OFFSET($H$3,0,0,'Données projet'!$E$11+1,1))</f>
        <v>397.24545766894346</v>
      </c>
      <c r="BJ17" s="62">
        <f t="shared" si="38"/>
        <v>431.44557882369696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6.8</v>
      </c>
      <c r="BY17" s="13">
        <f>IF('Données projet'!$A$114&gt;35,BY16+BX17-CG16,IF(A17&lt;'Données projet'!$A$114,$BV$205^A17,IF(A17='Données projet'!$A$114,'Données projet'!$B$114,BY16+BX17-CG16)))</f>
        <v>38.200000000000003</v>
      </c>
      <c r="BZ17" s="14">
        <f>BY17*VLOOKUP('Données projet'!$B$12,Paramètres!$A$1:$I$89,3,0)*VLOOKUP('Données projet'!$B$12,Paramètres!$A$1:$I$89,5,0)</f>
        <v>25.028640000000003</v>
      </c>
      <c r="CA17" s="14">
        <f t="shared" si="39"/>
        <v>7.9288685965286847</v>
      </c>
      <c r="CB17" s="22">
        <f t="shared" si="10"/>
        <v>57.400994138954132</v>
      </c>
      <c r="CC17" s="62">
        <f t="shared" si="11"/>
        <v>331.17877191673188</v>
      </c>
      <c r="CD17" s="62">
        <f ca="1">AVERAGE(OFFSET($CC$3,0,0,'Données projet'!$E$12+1,1))-AVERAGE(OFFSET($H$3,0,0,'Données projet'!$E$12+1,1))</f>
        <v>277.27246253233807</v>
      </c>
      <c r="CE17" s="62">
        <f t="shared" si="40"/>
        <v>269.61868559913404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11.529032447092296</v>
      </c>
      <c r="CV17" s="14">
        <f t="shared" si="41"/>
        <v>3.9971664842854926</v>
      </c>
      <c r="CW17" s="22">
        <f t="shared" si="13"/>
        <v>27.041463138816312</v>
      </c>
      <c r="CX17" s="62">
        <f t="shared" si="14"/>
        <v>300.81924091659408</v>
      </c>
      <c r="CY17" s="62">
        <f ca="1">AVERAGE(OFFSET($CX$3,0,0,'Données projet'!$E$13+1,1))-AVERAGE(OFFSET($H$3,0,0,'Données projet'!$E$13+1,1))</f>
        <v>402.15128814037058</v>
      </c>
      <c r="CZ17" s="62">
        <f t="shared" si="42"/>
        <v>232.85411068442738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8.9743589743589745</v>
      </c>
      <c r="DO17" s="13">
        <f>IF('Données projet'!$A$166&gt;35,DO16+DN17-DW16,IF(A17&lt;'Données projet'!$A$166,$DL$205^A17,IF(A17='Données projet'!$A$166,'Données projet'!$B$166,DO16+DN17-DW16)))</f>
        <v>70.512820512820525</v>
      </c>
      <c r="DP17" s="18">
        <f>DO17*VLOOKUP('Données projet'!$B$14,Paramètres!$A$1:$I$89,3,0)*VLOOKUP('Données projet'!$B$14,Paramètres!$A$1:$I$89,5,0)</f>
        <v>67.100000000000009</v>
      </c>
      <c r="DQ17" s="14">
        <f t="shared" si="43"/>
        <v>18.951521551469028</v>
      </c>
      <c r="DR17" s="22">
        <f t="shared" si="16"/>
        <v>149.87306670214187</v>
      </c>
      <c r="DS17" s="62">
        <f t="shared" si="17"/>
        <v>423.65084447991967</v>
      </c>
      <c r="DT17" s="62">
        <f ca="1">AVERAGE(OFFSET($DS$3,0,0,'Données projet'!$E$14+1,1))-AVERAGE(OFFSET($H$3,0,0,'Données projet'!$E$14+1,1))</f>
        <v>485.18236169209541</v>
      </c>
      <c r="DU17" s="62">
        <f t="shared" si="44"/>
        <v>417.30339652956951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14.6</v>
      </c>
      <c r="EJ17" s="13">
        <f>IF('Données projet'!$A$192&gt;35,EJ16+EI17-ER16,IF(A17&lt;'Données projet'!$A$192,$EG$205^A17,IF(A17='Données projet'!$A$192,'Données projet'!$B$192,EJ16+EI17-ER16)))</f>
        <v>77.400000000000006</v>
      </c>
      <c r="EK17" s="18">
        <f>EJ17*VLOOKUP('Données projet'!$B$15,Paramètres!$A$1:$I$89,3,0)*VLOOKUP('Données projet'!$B$15,Paramètres!$A$1:$I$89,5,0)</f>
        <v>61.579440000000005</v>
      </c>
      <c r="EL17" s="14">
        <f t="shared" si="45"/>
        <v>17.566995111207326</v>
      </c>
      <c r="EM17" s="22">
        <f t="shared" si="19"/>
        <v>137.8467078186861</v>
      </c>
      <c r="EN17" s="62">
        <f t="shared" si="20"/>
        <v>411.62448559646384</v>
      </c>
      <c r="EO17" s="62">
        <f ca="1">AVERAGE(OFFSET($EN$3,0,0,'Données projet'!$E$15+1,1))-AVERAGE(OFFSET($H$3,0,0,'Données projet'!$E$15+1,1))</f>
        <v>427.78067187784063</v>
      </c>
      <c r="EP17" s="62">
        <f t="shared" si="46"/>
        <v>464.22892523825118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2.8518518518518516</v>
      </c>
      <c r="FE17" s="13">
        <f>IF('Données projet'!$A$218&gt;35,FE16+FD17-FM16,IF(A17&lt;'Données projet'!$A$218,$FB$205^A17,IF(A17='Données projet'!$A$218,'Données projet'!$B$218,FE16+FD17-FM16)))</f>
        <v>9.509996914147985</v>
      </c>
      <c r="FF17" s="18">
        <f>FE17*VLOOKUP('Données projet'!$B$16,Paramètres!$A$1:$I$89,3,0)*VLOOKUP('Données projet'!$B$16,Paramètres!$A$1:$I$89,5,0)</f>
        <v>8.159577352338971</v>
      </c>
      <c r="FG17" s="14">
        <f t="shared" si="47"/>
        <v>2.945110626015266</v>
      </c>
      <c r="FH17" s="22">
        <f t="shared" si="22"/>
        <v>19.34066489563363</v>
      </c>
      <c r="FI17" s="62">
        <f t="shared" si="23"/>
        <v>293.11844267341138</v>
      </c>
      <c r="FJ17" s="62">
        <f ca="1">AVERAGE(OFFSET($FI$3,0,0,'Données projet'!$E$16+1,1))-AVERAGE(OFFSET($H$3,0,0,'Données projet'!$E$16+1,1))</f>
        <v>448.44001099301806</v>
      </c>
      <c r="FK17" s="62">
        <f t="shared" si="48"/>
        <v>230.82970731138215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10.897435897435896</v>
      </c>
      <c r="FZ17" s="13">
        <f>IF('Données projet'!$A$244&gt;35,FZ16+FY17-GH16,IF(A17&lt;'Données projet'!$A$244,$FW$205^A17,IF(A17='Données projet'!$A$244,'Données projet'!$B$244,FZ16+FY17-GH16)))</f>
        <v>89.743589743589737</v>
      </c>
      <c r="GA17" s="18">
        <f>FZ17*VLOOKUP('Données projet'!$B$17,Paramètres!$A$1:$I$89,3,0)*VLOOKUP('Données projet'!$B$17,Paramètres!$A$1:$I$89,5,0)</f>
        <v>60.199999999999996</v>
      </c>
      <c r="GB17" s="14">
        <f t="shared" si="49"/>
        <v>17.21882548978526</v>
      </c>
      <c r="GC17" s="22">
        <f t="shared" si="25"/>
        <v>134.83778772804266</v>
      </c>
      <c r="GD17" s="62">
        <f t="shared" si="26"/>
        <v>408.61556550582043</v>
      </c>
      <c r="GE17" s="62">
        <f ca="1">AVERAGE(OFFSET($GD$3,0,0,'Données projet'!$E$17+1,1))-AVERAGE(OFFSET($H$3,0,0,'Données projet'!$E$17+1,1))</f>
        <v>408.91016501484626</v>
      </c>
      <c r="GF17" s="62">
        <f t="shared" si="50"/>
        <v>354.22396807666433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3.65</v>
      </c>
      <c r="GU17" s="13">
        <f>IF('Données projet'!$A$270&gt;35,GU16+GT17-HC16,IF(A17&lt;'Données projet'!$A$270,$GR$205^A17,IF(A17='Données projet'!$A$270,'Données projet'!$B$270,GU16+GT17-HC16)))</f>
        <v>20.152364144963837</v>
      </c>
      <c r="GV17" s="18">
        <f>GU17*VLOOKUP('Données projet'!$B$18,Paramètres!$A$1:$I$89,3,0)*VLOOKUP('Données projet'!$B$18,Paramètres!$A$1:$I$89,5,0)</f>
        <v>19.491366601009023</v>
      </c>
      <c r="GW17" s="14">
        <f t="shared" si="51"/>
        <v>6.3570658813537859</v>
      </c>
      <c r="GX17" s="22">
        <f t="shared" si="28"/>
        <v>45.01935324011523</v>
      </c>
      <c r="GY17" s="62">
        <f t="shared" si="29"/>
        <v>318.79713101789298</v>
      </c>
      <c r="GZ17" s="62">
        <f ca="1">AVERAGE(OFFSET($GY$3,0,0,'Données projet'!$E$18+1,1))-AVERAGE(OFFSET($H$3,0,0,'Données projet'!$E$18+1,1))</f>
        <v>562.69380557620775</v>
      </c>
      <c r="HA17" s="62">
        <f t="shared" si="52"/>
        <v>294.45557293177131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529.25712986118265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40</v>
      </c>
      <c r="AG18" s="13">
        <f>VLOOKUP(A18,'Données projet'!$A$61:$I$81,9,0)</f>
        <v>2.6666666666666665</v>
      </c>
      <c r="AH18" s="13">
        <f t="array" ref="AH18">INDEX(AG:AG,MIN(IF(ISNUMBER(AG18:AG214),ROW(AG18:AG214),"")))</f>
        <v>2.6666666666666665</v>
      </c>
      <c r="AI18" s="14">
        <f>IF('Données projet'!$A$62&gt;35,AI17+AH18-AQ17,IF(A18&lt;'Données projet'!$A$62,$AF$205^A18,IF(A18='Données projet'!$A$62,'Données projet'!$B$62,AI17+AH18-AQ17)))</f>
        <v>40</v>
      </c>
      <c r="AJ18" s="14">
        <f>AI18*VLOOKUP('Données projet'!$B$10,Paramètres!$A$1:$I$89,3,0)*VLOOKUP('Données projet'!$B$10,Paramètres!$A$1:$I$89,5,0)</f>
        <v>31.200000000000003</v>
      </c>
      <c r="AK18" s="14">
        <f t="shared" si="35"/>
        <v>9.6335657126419925</v>
      </c>
      <c r="AL18" s="22">
        <f t="shared" si="4"/>
        <v>71.118460282851473</v>
      </c>
      <c r="AM18" s="62">
        <f t="shared" si="5"/>
        <v>346.11846028285146</v>
      </c>
      <c r="AN18" s="62">
        <f ca="1">AVERAGE(OFFSET($AM$3,0,0,'Données projet'!$E$10+1,1))-AVERAGE(OFFSET($H$3,0,0,'Données projet'!$E$10+1,1))</f>
        <v>292.57482726862594</v>
      </c>
      <c r="AO18" s="62">
        <f t="shared" si="36"/>
        <v>283.48738729114024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92</v>
      </c>
      <c r="BB18" s="13">
        <f>VLOOKUP(A18,'Données projet'!$A$87:$I$107,9,0)</f>
        <v>14.6</v>
      </c>
      <c r="BC18" s="13">
        <f t="array" ref="BC18">INDEX(BB:BB,MIN(IF(ISNUMBER(BB18:BB214),ROW(BB18:BB214),"")))</f>
        <v>14.6</v>
      </c>
      <c r="BD18" s="13">
        <f>IF('Données projet'!$A$88&gt;35,BD17+BC18-BL17,IF(A18&lt;'Données projet'!$A$88,$BA$205^A18,IF(A18='Données projet'!$A$88,'Données projet'!$B$88,BD17+BC18-BL17)))</f>
        <v>92</v>
      </c>
      <c r="BE18" s="14">
        <f>BD18*VLOOKUP('Données projet'!$B$11,Paramètres!$A$1:$I$89,3,0)*VLOOKUP('Données projet'!$B$11,Paramètres!$A$1:$I$89,5,0)</f>
        <v>67.454399999999993</v>
      </c>
      <c r="BF18" s="14">
        <f t="shared" si="37"/>
        <v>19.03993894863979</v>
      </c>
      <c r="BG18" s="22">
        <f t="shared" si="7"/>
        <v>150.64430700221428</v>
      </c>
      <c r="BH18" s="62">
        <f t="shared" si="8"/>
        <v>425.6443070022143</v>
      </c>
      <c r="BI18" s="62">
        <f ca="1">AVERAGE(OFFSET($BH$3,0,0,'Données projet'!$E$11+1,1))-AVERAGE(OFFSET($H$3,0,0,'Données projet'!$E$11+1,1))</f>
        <v>397.24545766894346</v>
      </c>
      <c r="BJ18" s="62">
        <f t="shared" si="38"/>
        <v>431.44557882369696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45</v>
      </c>
      <c r="BW18" s="13">
        <f>VLOOKUP(A18,'Données projet'!$A$113:$I$133,9,0)</f>
        <v>6.8</v>
      </c>
      <c r="BX18" s="13">
        <f t="array" ref="BX18">INDEX(BW:BW,MIN(IF(ISNUMBER(BW18:BW214),ROW(BW18:BW214),"")))</f>
        <v>6.8</v>
      </c>
      <c r="BY18" s="13">
        <f>IF('Données projet'!$A$114&gt;35,BY17+BX18-CG17,IF(A18&lt;'Données projet'!$A$114,$BV$205^A18,IF(A18='Données projet'!$A$114,'Données projet'!$B$114,BY17+BX18-CG17)))</f>
        <v>45</v>
      </c>
      <c r="BZ18" s="14">
        <f>BY18*VLOOKUP('Données projet'!$B$12,Paramètres!$A$1:$I$89,3,0)*VLOOKUP('Données projet'!$B$12,Paramètres!$A$1:$I$89,5,0)</f>
        <v>29.483999999999998</v>
      </c>
      <c r="CA18" s="14">
        <f t="shared" si="39"/>
        <v>9.1638634703614379</v>
      </c>
      <c r="CB18" s="22">
        <f t="shared" si="10"/>
        <v>67.311695544212839</v>
      </c>
      <c r="CC18" s="62">
        <f t="shared" si="11"/>
        <v>342.31169554421285</v>
      </c>
      <c r="CD18" s="62">
        <f ca="1">AVERAGE(OFFSET($CC$3,0,0,'Données projet'!$E$12+1,1))-AVERAGE(OFFSET($H$3,0,0,'Données projet'!$E$12+1,1))</f>
        <v>277.27246253233807</v>
      </c>
      <c r="CE18" s="62">
        <f t="shared" si="40"/>
        <v>269.61868559913404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13.898096600580887</v>
      </c>
      <c r="CV18" s="14">
        <f t="shared" si="41"/>
        <v>4.7148446849071632</v>
      </c>
      <c r="CW18" s="22">
        <f t="shared" si="13"/>
        <v>32.417539405558351</v>
      </c>
      <c r="CX18" s="62">
        <f t="shared" si="14"/>
        <v>307.41753940555833</v>
      </c>
      <c r="CY18" s="62">
        <f ca="1">AVERAGE(OFFSET($CX$3,0,0,'Données projet'!$E$13+1,1))-AVERAGE(OFFSET($H$3,0,0,'Données projet'!$E$13+1,1))</f>
        <v>402.15128814037058</v>
      </c>
      <c r="CZ18" s="62">
        <f t="shared" si="42"/>
        <v>232.85411068442738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79.487179487179489</v>
      </c>
      <c r="DM18" s="13">
        <f>VLOOKUP(A18,'Données projet'!$A$165:$I$185,9,0)</f>
        <v>8.9743589743589745</v>
      </c>
      <c r="DN18" s="13">
        <f t="array" ref="DN18">INDEX(DM:DM,MIN(IF(ISNUMBER(DM18:DM214),ROW(DM18:DM214),"")))</f>
        <v>8.9743589743589745</v>
      </c>
      <c r="DO18" s="13">
        <f>IF('Données projet'!$A$166&gt;35,DO17+DN18-DW17,IF(A18&lt;'Données projet'!$A$166,$DL$205^A18,IF(A18='Données projet'!$A$166,'Données projet'!$B$166,DO17+DN18-DW17)))</f>
        <v>79.487179487179503</v>
      </c>
      <c r="DP18" s="18">
        <f>DO18*VLOOKUP('Données projet'!$B$14,Paramètres!$A$1:$I$89,3,0)*VLOOKUP('Données projet'!$B$14,Paramètres!$A$1:$I$89,5,0)</f>
        <v>75.640000000000015</v>
      </c>
      <c r="DQ18" s="14">
        <f t="shared" si="43"/>
        <v>21.067689455585086</v>
      </c>
      <c r="DR18" s="22">
        <f t="shared" si="16"/>
        <v>168.43255913514403</v>
      </c>
      <c r="DS18" s="62">
        <f t="shared" si="17"/>
        <v>443.43255913514406</v>
      </c>
      <c r="DT18" s="62">
        <f ca="1">AVERAGE(OFFSET($DS$3,0,0,'Données projet'!$E$14+1,1))-AVERAGE(OFFSET($H$3,0,0,'Données projet'!$E$14+1,1))</f>
        <v>485.18236169209541</v>
      </c>
      <c r="DU18" s="62">
        <f t="shared" si="44"/>
        <v>417.30339652956951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92</v>
      </c>
      <c r="EH18" s="13">
        <f>VLOOKUP(A18,'Données projet'!$A$191:$I$211,9,0)</f>
        <v>14.6</v>
      </c>
      <c r="EI18" s="13">
        <f t="array" ref="EI18">INDEX(EH:EH,MIN(IF(ISNUMBER(EH18:EH214),ROW(EH18:EH214),"")))</f>
        <v>14.6</v>
      </c>
      <c r="EJ18" s="13">
        <f>IF('Données projet'!$A$192&gt;35,EJ17+EI18-ER17,IF(A18&lt;'Données projet'!$A$192,$EG$205^A18,IF(A18='Données projet'!$A$192,'Données projet'!$B$192,EJ17+EI18-ER17)))</f>
        <v>92</v>
      </c>
      <c r="EK18" s="18">
        <f>EJ18*VLOOKUP('Données projet'!$B$15,Paramètres!$A$1:$I$89,3,0)*VLOOKUP('Données projet'!$B$15,Paramètres!$A$1:$I$89,5,0)</f>
        <v>73.1952</v>
      </c>
      <c r="EL18" s="14">
        <f t="shared" si="45"/>
        <v>20.464865364050787</v>
      </c>
      <c r="EM18" s="22">
        <f t="shared" si="19"/>
        <v>163.12461384238844</v>
      </c>
      <c r="EN18" s="62">
        <f t="shared" si="20"/>
        <v>438.12461384238844</v>
      </c>
      <c r="EO18" s="62">
        <f ca="1">AVERAGE(OFFSET($EN$3,0,0,'Données projet'!$E$15+1,1))-AVERAGE(OFFSET($H$3,0,0,'Données projet'!$E$15+1,1))</f>
        <v>427.78067187784063</v>
      </c>
      <c r="EP18" s="62">
        <f t="shared" si="46"/>
        <v>464.22892523825118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2.8518518518518516</v>
      </c>
      <c r="FE18" s="13">
        <f>IF('Données projet'!$A$218&gt;35,FE17+FD18-FM17,IF(A18&lt;'Données projet'!$A$218,$FB$205^A18,IF(A18='Données projet'!$A$218,'Données projet'!$B$218,FE17+FD18-FM17)))</f>
        <v>11.169928749947735</v>
      </c>
      <c r="FF18" s="18">
        <f>FE18*VLOOKUP('Données projet'!$B$16,Paramètres!$A$1:$I$89,3,0)*VLOOKUP('Données projet'!$B$16,Paramètres!$A$1:$I$89,5,0)</f>
        <v>9.5837988674551582</v>
      </c>
      <c r="FG18" s="14">
        <f t="shared" si="47"/>
        <v>3.3949921028031831</v>
      </c>
      <c r="FH18" s="22">
        <f t="shared" si="22"/>
        <v>22.604727606533277</v>
      </c>
      <c r="FI18" s="62">
        <f t="shared" si="23"/>
        <v>297.60472760653329</v>
      </c>
      <c r="FJ18" s="62">
        <f ca="1">AVERAGE(OFFSET($FI$3,0,0,'Données projet'!$E$16+1,1))-AVERAGE(OFFSET($H$3,0,0,'Données projet'!$E$16+1,1))</f>
        <v>448.44001099301806</v>
      </c>
      <c r="FK18" s="62">
        <f t="shared" si="48"/>
        <v>230.82970731138215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100.64102564102564</v>
      </c>
      <c r="FX18" s="13">
        <f>VLOOKUP(A18,'Données projet'!$A$243:$I$263,9,0)</f>
        <v>10.897435897435896</v>
      </c>
      <c r="FY18" s="13">
        <f t="array" ref="FY18">INDEX(FX:FX,MIN(IF(ISNUMBER(FX18:FX214),ROW(FX18:FX214),"")))</f>
        <v>10.897435897435896</v>
      </c>
      <c r="FZ18" s="13">
        <f>IF('Données projet'!$A$244&gt;35,FZ17+FY18-GH17,IF(A18&lt;'Données projet'!$A$244,$FW$205^A18,IF(A18='Données projet'!$A$244,'Données projet'!$B$244,FZ17+FY18-GH17)))</f>
        <v>100.64102564102564</v>
      </c>
      <c r="GA18" s="18">
        <f>FZ18*VLOOKUP('Données projet'!$B$17,Paramètres!$A$1:$I$89,3,0)*VLOOKUP('Données projet'!$B$17,Paramètres!$A$1:$I$89,5,0)</f>
        <v>67.509999999999991</v>
      </c>
      <c r="GB18" s="14">
        <f t="shared" si="49"/>
        <v>19.053805387418848</v>
      </c>
      <c r="GC18" s="22">
        <f t="shared" si="25"/>
        <v>150.76529438308779</v>
      </c>
      <c r="GD18" s="62">
        <f t="shared" si="26"/>
        <v>425.76529438308779</v>
      </c>
      <c r="GE18" s="62">
        <f ca="1">AVERAGE(OFFSET($GD$3,0,0,'Données projet'!$E$17+1,1))-AVERAGE(OFFSET($H$3,0,0,'Données projet'!$E$17+1,1))</f>
        <v>408.91016501484626</v>
      </c>
      <c r="GF18" s="62">
        <f t="shared" si="50"/>
        <v>354.22396807666433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3.65</v>
      </c>
      <c r="GU18" s="13">
        <f>IF('Données projet'!$A$270&gt;35,GU17+GT18-HC17,IF(A18&lt;'Données projet'!$A$270,$GR$205^A18,IF(A18='Données projet'!$A$270,'Données projet'!$B$270,GU17+GT18-HC17)))</f>
        <v>24.974232188561476</v>
      </c>
      <c r="GV18" s="18">
        <f>GU18*VLOOKUP('Données projet'!$B$18,Paramètres!$A$1:$I$89,3,0)*VLOOKUP('Données projet'!$B$18,Paramètres!$A$1:$I$89,5,0)</f>
        <v>24.155077372776663</v>
      </c>
      <c r="GW18" s="14">
        <f t="shared" si="51"/>
        <v>7.6838400568695304</v>
      </c>
      <c r="GX18" s="22">
        <f t="shared" si="28"/>
        <v>55.452781189967119</v>
      </c>
      <c r="GY18" s="62">
        <f t="shared" si="29"/>
        <v>330.45278118996714</v>
      </c>
      <c r="GZ18" s="62">
        <f ca="1">AVERAGE(OFFSET($GY$3,0,0,'Données projet'!$E$18+1,1))-AVERAGE(OFFSET($H$3,0,0,'Données projet'!$E$18+1,1))</f>
        <v>562.69380557620775</v>
      </c>
      <c r="HA18" s="62">
        <f t="shared" si="52"/>
        <v>294.45557293177131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529.25712986118265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9.6</v>
      </c>
      <c r="AI19" s="14">
        <f>IF('Données projet'!$A$62&gt;35,AI18+AH19-AQ18,IF(A19&lt;'Données projet'!$A$62,$AF$205^A19,IF(A19='Données projet'!$A$62,'Données projet'!$B$62,AI18+AH19-AQ18)))</f>
        <v>49.6</v>
      </c>
      <c r="AJ19" s="14">
        <f>AI19*VLOOKUP('Données projet'!$B$10,Paramètres!$A$1:$I$89,3,0)*VLOOKUP('Données projet'!$B$10,Paramètres!$A$1:$I$89,5,0)</f>
        <v>38.688000000000002</v>
      </c>
      <c r="AK19" s="14">
        <f t="shared" si="35"/>
        <v>11.650229083154354</v>
      </c>
      <c r="AL19" s="22">
        <f t="shared" si="4"/>
        <v>87.672415653160499</v>
      </c>
      <c r="AM19" s="62">
        <f t="shared" si="5"/>
        <v>363.89463787538273</v>
      </c>
      <c r="AN19" s="62">
        <f ca="1">AVERAGE(OFFSET($AM$3,0,0,'Données projet'!$E$10+1,1))-AVERAGE(OFFSET($H$3,0,0,'Données projet'!$E$10+1,1))</f>
        <v>292.57482726862594</v>
      </c>
      <c r="AO19" s="62">
        <f t="shared" si="36"/>
        <v>283.48738729114024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16</v>
      </c>
      <c r="BD19" s="13">
        <f>IF('Données projet'!$A$88&gt;35,BD18+BC19-BL18,IF(A19&lt;'Données projet'!$A$88,$BA$205^A19,IF(A19='Données projet'!$A$88,'Données projet'!$B$88,BD18+BC19-BL18)))</f>
        <v>108</v>
      </c>
      <c r="BE19" s="14">
        <f>BD19*VLOOKUP('Données projet'!$B$11,Paramètres!$A$1:$I$89,3,0)*VLOOKUP('Données projet'!$B$11,Paramètres!$A$1:$I$89,5,0)</f>
        <v>79.185599999999994</v>
      </c>
      <c r="BF19" s="14">
        <f t="shared" si="37"/>
        <v>21.937940668679424</v>
      </c>
      <c r="BG19" s="22">
        <f t="shared" si="7"/>
        <v>176.12349999795001</v>
      </c>
      <c r="BH19" s="62">
        <f t="shared" si="8"/>
        <v>452.34572222017221</v>
      </c>
      <c r="BI19" s="62">
        <f ca="1">AVERAGE(OFFSET($BH$3,0,0,'Données projet'!$E$11+1,1))-AVERAGE(OFFSET($H$3,0,0,'Données projet'!$E$11+1,1))</f>
        <v>397.24545766894346</v>
      </c>
      <c r="BJ19" s="62">
        <f t="shared" si="38"/>
        <v>431.44557882369696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12</v>
      </c>
      <c r="BY19" s="13">
        <f>IF('Données projet'!$A$114&gt;35,BY18+BX19-CG18,IF(A19&lt;'Données projet'!$A$114,$BV$205^A19,IF(A19='Données projet'!$A$114,'Données projet'!$B$114,BY18+BX19-CG18)))</f>
        <v>57</v>
      </c>
      <c r="BZ19" s="14">
        <f>BY19*VLOOKUP('Données projet'!$B$12,Paramètres!$A$1:$I$89,3,0)*VLOOKUP('Données projet'!$B$12,Paramètres!$A$1:$I$89,5,0)</f>
        <v>37.346399999999996</v>
      </c>
      <c r="CA19" s="14">
        <f t="shared" si="39"/>
        <v>11.292524863342392</v>
      </c>
      <c r="CB19" s="22">
        <f t="shared" si="10"/>
        <v>84.712794136987995</v>
      </c>
      <c r="CC19" s="62">
        <f t="shared" si="11"/>
        <v>360.93501635921024</v>
      </c>
      <c r="CD19" s="62">
        <f ca="1">AVERAGE(OFFSET($CC$3,0,0,'Données projet'!$E$12+1,1))-AVERAGE(OFFSET($H$3,0,0,'Données projet'!$E$12+1,1))</f>
        <v>277.27246253233807</v>
      </c>
      <c r="CE19" s="62">
        <f t="shared" si="40"/>
        <v>269.61868559913404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16.753972200658836</v>
      </c>
      <c r="CV19" s="14">
        <f t="shared" si="41"/>
        <v>5.5613796648680189</v>
      </c>
      <c r="CW19" s="22">
        <f t="shared" si="13"/>
        <v>38.865904499125939</v>
      </c>
      <c r="CX19" s="62">
        <f t="shared" si="14"/>
        <v>315.08812672134815</v>
      </c>
      <c r="CY19" s="62">
        <f ca="1">AVERAGE(OFFSET($CX$3,0,0,'Données projet'!$E$13+1,1))-AVERAGE(OFFSET($H$3,0,0,'Données projet'!$E$13+1,1))</f>
        <v>402.15128814037058</v>
      </c>
      <c r="CZ19" s="62">
        <f t="shared" si="42"/>
        <v>232.85411068442738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9.7435897435897427</v>
      </c>
      <c r="DO19" s="13">
        <f>IF('Données projet'!$A$166&gt;35,DO18+DN19-DW18,IF(A19&lt;'Données projet'!$A$166,$DL$205^A19,IF(A19='Données projet'!$A$166,'Données projet'!$B$166,DO18+DN19-DW18)))</f>
        <v>89.230769230769241</v>
      </c>
      <c r="DP19" s="18">
        <f>DO19*VLOOKUP('Données projet'!$B$14,Paramètres!$A$1:$I$89,3,0)*VLOOKUP('Données projet'!$B$14,Paramètres!$A$1:$I$89,5,0)</f>
        <v>84.912000000000006</v>
      </c>
      <c r="DQ19" s="14">
        <f t="shared" si="43"/>
        <v>23.333996875286331</v>
      </c>
      <c r="DR19" s="22">
        <f t="shared" si="16"/>
        <v>188.52844455779038</v>
      </c>
      <c r="DS19" s="62">
        <f t="shared" si="17"/>
        <v>464.75066678001258</v>
      </c>
      <c r="DT19" s="62">
        <f ca="1">AVERAGE(OFFSET($DS$3,0,0,'Données projet'!$E$14+1,1))-AVERAGE(OFFSET($H$3,0,0,'Données projet'!$E$14+1,1))</f>
        <v>485.18236169209541</v>
      </c>
      <c r="DU19" s="62">
        <f t="shared" si="44"/>
        <v>417.30339652956951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16</v>
      </c>
      <c r="EJ19" s="13">
        <f>IF('Données projet'!$A$192&gt;35,EJ18+EI19-ER18,IF(A19&lt;'Données projet'!$A$192,$EG$205^A19,IF(A19='Données projet'!$A$192,'Données projet'!$B$192,EJ18+EI19-ER18)))</f>
        <v>108</v>
      </c>
      <c r="EK19" s="18">
        <f>EJ19*VLOOKUP('Données projet'!$B$15,Paramètres!$A$1:$I$89,3,0)*VLOOKUP('Données projet'!$B$15,Paramètres!$A$1:$I$89,5,0)</f>
        <v>85.924800000000005</v>
      </c>
      <c r="EL19" s="14">
        <f t="shared" si="45"/>
        <v>23.579750090592171</v>
      </c>
      <c r="EM19" s="22">
        <f t="shared" si="19"/>
        <v>190.7204247411147</v>
      </c>
      <c r="EN19" s="62">
        <f t="shared" si="20"/>
        <v>466.94264696333693</v>
      </c>
      <c r="EO19" s="62">
        <f ca="1">AVERAGE(OFFSET($EN$3,0,0,'Données projet'!$E$15+1,1))-AVERAGE(OFFSET($H$3,0,0,'Données projet'!$E$15+1,1))</f>
        <v>427.78067187784063</v>
      </c>
      <c r="EP19" s="62">
        <f t="shared" si="46"/>
        <v>464.22892523825118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2.8518518518518516</v>
      </c>
      <c r="FE19" s="13">
        <f>IF('Données projet'!$A$218&gt;35,FE18+FD19-FM18,IF(A19&lt;'Données projet'!$A$218,$FB$205^A19,IF(A19='Données projet'!$A$218,'Données projet'!$B$218,FE18+FD19-FM18)))</f>
        <v>13.119595033021842</v>
      </c>
      <c r="FF19" s="18">
        <f>FE19*VLOOKUP('Données projet'!$B$16,Paramètres!$A$1:$I$89,3,0)*VLOOKUP('Données projet'!$B$16,Paramètres!$A$1:$I$89,5,0)</f>
        <v>11.256612538332742</v>
      </c>
      <c r="FG19" s="14">
        <f t="shared" si="47"/>
        <v>3.9135953930839631</v>
      </c>
      <c r="FH19" s="22">
        <f t="shared" si="22"/>
        <v>26.421445480550759</v>
      </c>
      <c r="FI19" s="62">
        <f t="shared" si="23"/>
        <v>302.64366770277297</v>
      </c>
      <c r="FJ19" s="62">
        <f ca="1">AVERAGE(OFFSET($FI$3,0,0,'Données projet'!$E$16+1,1))-AVERAGE(OFFSET($H$3,0,0,'Données projet'!$E$16+1,1))</f>
        <v>448.44001099301806</v>
      </c>
      <c r="FK19" s="62">
        <f t="shared" si="48"/>
        <v>230.82970731138215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11.538461538461537</v>
      </c>
      <c r="FZ19" s="13">
        <f>IF('Données projet'!$A$244&gt;35,FZ18+FY19-GH18,IF(A19&lt;'Données projet'!$A$244,$FW$205^A19,IF(A19='Données projet'!$A$244,'Données projet'!$B$244,FZ18+FY19-GH18)))</f>
        <v>112.17948717948717</v>
      </c>
      <c r="GA19" s="18">
        <f>FZ19*VLOOKUP('Données projet'!$B$17,Paramètres!$A$1:$I$89,3,0)*VLOOKUP('Données projet'!$B$17,Paramètres!$A$1:$I$89,5,0)</f>
        <v>75.25</v>
      </c>
      <c r="GB19" s="14">
        <f t="shared" si="49"/>
        <v>20.971679502814343</v>
      </c>
      <c r="GC19" s="22">
        <f t="shared" si="25"/>
        <v>167.58609180073498</v>
      </c>
      <c r="GD19" s="62">
        <f t="shared" si="26"/>
        <v>443.80831402295723</v>
      </c>
      <c r="GE19" s="62">
        <f ca="1">AVERAGE(OFFSET($GD$3,0,0,'Données projet'!$E$17+1,1))-AVERAGE(OFFSET($H$3,0,0,'Données projet'!$E$17+1,1))</f>
        <v>408.91016501484626</v>
      </c>
      <c r="GF19" s="62">
        <f t="shared" si="50"/>
        <v>354.22396807666433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3.65</v>
      </c>
      <c r="GU19" s="13">
        <f>IF('Données projet'!$A$270&gt;35,GU18+GT19-HC18,IF(A19&lt;'Données projet'!$A$270,$GR$205^A19,IF(A19='Données projet'!$A$270,'Données projet'!$B$270,GU18+GT19-HC18)))</f>
        <v>30.949831440200953</v>
      </c>
      <c r="GV19" s="18">
        <f>GU19*VLOOKUP('Données projet'!$B$18,Paramètres!$A$1:$I$89,3,0)*VLOOKUP('Données projet'!$B$18,Paramètres!$A$1:$I$89,5,0)</f>
        <v>29.934676968962361</v>
      </c>
      <c r="GW19" s="14">
        <f t="shared" si="51"/>
        <v>9.2875233828754098</v>
      </c>
      <c r="GX19" s="22">
        <f t="shared" si="28"/>
        <v>68.311998946117441</v>
      </c>
      <c r="GY19" s="62">
        <f t="shared" si="29"/>
        <v>344.53422116833968</v>
      </c>
      <c r="GZ19" s="62">
        <f ca="1">AVERAGE(OFFSET($GY$3,0,0,'Données projet'!$E$18+1,1))-AVERAGE(OFFSET($H$3,0,0,'Données projet'!$E$18+1,1))</f>
        <v>562.69380557620775</v>
      </c>
      <c r="HA19" s="62">
        <f t="shared" si="52"/>
        <v>294.45557293177131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529.25712986118265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9.6</v>
      </c>
      <c r="AI20" s="14">
        <f>IF('Données projet'!$A$62&gt;35,AI19+AH20-AQ19,IF(A20&lt;'Données projet'!$A$62,$AF$205^A20,IF(A20='Données projet'!$A$62,'Données projet'!$B$62,AI19+AH20-AQ19)))</f>
        <v>59.2</v>
      </c>
      <c r="AJ20" s="14">
        <f>AI20*VLOOKUP('Données projet'!$B$10,Paramètres!$A$1:$I$89,3,0)*VLOOKUP('Données projet'!$B$10,Paramètres!$A$1:$I$89,5,0)</f>
        <v>46.176000000000002</v>
      </c>
      <c r="AK20" s="14">
        <f t="shared" si="35"/>
        <v>13.621668778540489</v>
      </c>
      <c r="AL20" s="22">
        <f t="shared" si="4"/>
        <v>104.14760645595801</v>
      </c>
      <c r="AM20" s="62">
        <f t="shared" si="5"/>
        <v>381.59205090040246</v>
      </c>
      <c r="AN20" s="62">
        <f ca="1">AVERAGE(OFFSET($AM$3,0,0,'Données projet'!$E$10+1,1))-AVERAGE(OFFSET($H$3,0,0,'Données projet'!$E$10+1,1))</f>
        <v>292.57482726862594</v>
      </c>
      <c r="AO20" s="62">
        <f t="shared" si="36"/>
        <v>283.48738729114024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16</v>
      </c>
      <c r="BD20" s="13">
        <f>IF('Données projet'!$A$88&gt;35,BD19+BC20-BL19,IF(A20&lt;'Données projet'!$A$88,$BA$205^A20,IF(A20='Données projet'!$A$88,'Données projet'!$B$88,BD19+BC20-BL19)))</f>
        <v>124</v>
      </c>
      <c r="BE20" s="14">
        <f>BD20*VLOOKUP('Données projet'!$B$11,Paramètres!$A$1:$I$89,3,0)*VLOOKUP('Données projet'!$B$11,Paramètres!$A$1:$I$89,5,0)</f>
        <v>90.916799999999995</v>
      </c>
      <c r="BF20" s="14">
        <f t="shared" si="37"/>
        <v>24.786204483471451</v>
      </c>
      <c r="BG20" s="22">
        <f t="shared" si="7"/>
        <v>201.51606614204607</v>
      </c>
      <c r="BH20" s="62">
        <f t="shared" si="8"/>
        <v>478.9605105864905</v>
      </c>
      <c r="BI20" s="62">
        <f ca="1">AVERAGE(OFFSET($BH$3,0,0,'Données projet'!$E$11+1,1))-AVERAGE(OFFSET($H$3,0,0,'Données projet'!$E$11+1,1))</f>
        <v>397.24545766894346</v>
      </c>
      <c r="BJ20" s="62">
        <f t="shared" si="38"/>
        <v>431.44557882369696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12</v>
      </c>
      <c r="BY20" s="13">
        <f>IF('Données projet'!$A$114&gt;35,BY19+BX20-CG19,IF(A20&lt;'Données projet'!$A$114,$BV$205^A20,IF(A20='Données projet'!$A$114,'Données projet'!$B$114,BY19+BX20-CG19)))</f>
        <v>69</v>
      </c>
      <c r="BZ20" s="14">
        <f>BY20*VLOOKUP('Données projet'!$B$12,Paramètres!$A$1:$I$89,3,0)*VLOOKUP('Données projet'!$B$12,Paramètres!$A$1:$I$89,5,0)</f>
        <v>45.208800000000004</v>
      </c>
      <c r="CA20" s="14">
        <f t="shared" si="39"/>
        <v>13.369251386406743</v>
      </c>
      <c r="CB20" s="22">
        <f t="shared" si="10"/>
        <v>102.02343949799173</v>
      </c>
      <c r="CC20" s="62">
        <f t="shared" si="11"/>
        <v>379.46788394243617</v>
      </c>
      <c r="CD20" s="62">
        <f ca="1">AVERAGE(OFFSET($CC$3,0,0,'Données projet'!$E$12+1,1))-AVERAGE(OFFSET($H$3,0,0,'Données projet'!$E$12+1,1))</f>
        <v>277.27246253233807</v>
      </c>
      <c r="CE20" s="62">
        <f t="shared" si="40"/>
        <v>269.61868559913404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20.196692580818372</v>
      </c>
      <c r="CV20" s="14">
        <f t="shared" si="41"/>
        <v>6.5599072384749233</v>
      </c>
      <c r="CW20" s="22">
        <f t="shared" si="13"/>
        <v>46.601078018602493</v>
      </c>
      <c r="CX20" s="62">
        <f t="shared" si="14"/>
        <v>324.04552246304695</v>
      </c>
      <c r="CY20" s="62">
        <f ca="1">AVERAGE(OFFSET($CX$3,0,0,'Données projet'!$E$13+1,1))-AVERAGE(OFFSET($H$3,0,0,'Données projet'!$E$13+1,1))</f>
        <v>402.15128814037058</v>
      </c>
      <c r="CZ20" s="62">
        <f t="shared" si="42"/>
        <v>232.85411068442738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9.7435897435897427</v>
      </c>
      <c r="DO20" s="13">
        <f>IF('Données projet'!$A$166&gt;35,DO19+DN20-DW19,IF(A20&lt;'Données projet'!$A$166,$DL$205^A20,IF(A20='Données projet'!$A$166,'Données projet'!$B$166,DO19+DN20-DW19)))</f>
        <v>98.974358974358978</v>
      </c>
      <c r="DP20" s="18">
        <f>DO20*VLOOKUP('Données projet'!$B$14,Paramètres!$A$1:$I$89,3,0)*VLOOKUP('Données projet'!$B$14,Paramètres!$A$1:$I$89,5,0)</f>
        <v>94.184000000000012</v>
      </c>
      <c r="DQ20" s="14">
        <f t="shared" si="43"/>
        <v>25.571620926425034</v>
      </c>
      <c r="DR20" s="22">
        <f t="shared" si="16"/>
        <v>208.57437311352362</v>
      </c>
      <c r="DS20" s="62">
        <f t="shared" si="17"/>
        <v>486.01881755796808</v>
      </c>
      <c r="DT20" s="62">
        <f ca="1">AVERAGE(OFFSET($DS$3,0,0,'Données projet'!$E$14+1,1))-AVERAGE(OFFSET($H$3,0,0,'Données projet'!$E$14+1,1))</f>
        <v>485.18236169209541</v>
      </c>
      <c r="DU20" s="62">
        <f t="shared" si="44"/>
        <v>417.30339652956951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16</v>
      </c>
      <c r="EJ20" s="13">
        <f>IF('Données projet'!$A$192&gt;35,EJ19+EI20-ER19,IF(A20&lt;'Données projet'!$A$192,$EG$205^A20,IF(A20='Données projet'!$A$192,'Données projet'!$B$192,EJ19+EI20-ER19)))</f>
        <v>124</v>
      </c>
      <c r="EK20" s="18">
        <f>EJ20*VLOOKUP('Données projet'!$B$15,Paramètres!$A$1:$I$89,3,0)*VLOOKUP('Données projet'!$B$15,Paramètres!$A$1:$I$89,5,0)</f>
        <v>98.65440000000001</v>
      </c>
      <c r="EL20" s="14">
        <f t="shared" si="45"/>
        <v>26.641174586135573</v>
      </c>
      <c r="EM20" s="22">
        <f t="shared" si="19"/>
        <v>218.22312573751947</v>
      </c>
      <c r="EN20" s="62">
        <f t="shared" si="20"/>
        <v>495.66757018196392</v>
      </c>
      <c r="EO20" s="62">
        <f ca="1">AVERAGE(OFFSET($EN$3,0,0,'Données projet'!$E$15+1,1))-AVERAGE(OFFSET($H$3,0,0,'Données projet'!$E$15+1,1))</f>
        <v>427.78067187784063</v>
      </c>
      <c r="EP20" s="62">
        <f t="shared" si="46"/>
        <v>464.22892523825118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2.8518518518518516</v>
      </c>
      <c r="FE20" s="13">
        <f>IF('Données projet'!$A$218&gt;35,FE19+FD20-FM19,IF(A20&lt;'Données projet'!$A$218,$FB$205^A20,IF(A20='Données projet'!$A$218,'Données projet'!$B$218,FE19+FD20-FM19)))</f>
        <v>15.40956774959704</v>
      </c>
      <c r="FF20" s="18">
        <f>FE20*VLOOKUP('Données projet'!$B$16,Paramètres!$A$1:$I$89,3,0)*VLOOKUP('Données projet'!$B$16,Paramètres!$A$1:$I$89,5,0)</f>
        <v>13.221409129154262</v>
      </c>
      <c r="FG20" s="14">
        <f t="shared" si="47"/>
        <v>4.5114181232179265</v>
      </c>
      <c r="FH20" s="22">
        <f t="shared" si="22"/>
        <v>30.884674131214894</v>
      </c>
      <c r="FI20" s="62">
        <f t="shared" si="23"/>
        <v>308.32911857565932</v>
      </c>
      <c r="FJ20" s="62">
        <f ca="1">AVERAGE(OFFSET($FI$3,0,0,'Données projet'!$E$16+1,1))-AVERAGE(OFFSET($H$3,0,0,'Données projet'!$E$16+1,1))</f>
        <v>448.44001099301806</v>
      </c>
      <c r="FK20" s="62">
        <f t="shared" si="48"/>
        <v>230.82970731138215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11.538461538461537</v>
      </c>
      <c r="FZ20" s="13">
        <f>IF('Données projet'!$A$244&gt;35,FZ19+FY20-GH19,IF(A20&lt;'Données projet'!$A$244,$FW$205^A20,IF(A20='Données projet'!$A$244,'Données projet'!$B$244,FZ19+FY20-GH19)))</f>
        <v>123.7179487179487</v>
      </c>
      <c r="GA20" s="18">
        <f>FZ20*VLOOKUP('Données projet'!$B$17,Paramètres!$A$1:$I$89,3,0)*VLOOKUP('Données projet'!$B$17,Paramètres!$A$1:$I$89,5,0)</f>
        <v>82.99</v>
      </c>
      <c r="GB20" s="14">
        <f t="shared" si="49"/>
        <v>22.866686120271659</v>
      </c>
      <c r="GC20" s="22">
        <f t="shared" si="25"/>
        <v>184.36706165947314</v>
      </c>
      <c r="GD20" s="62">
        <f t="shared" si="26"/>
        <v>461.81150610391762</v>
      </c>
      <c r="GE20" s="62">
        <f ca="1">AVERAGE(OFFSET($GD$3,0,0,'Données projet'!$E$17+1,1))-AVERAGE(OFFSET($H$3,0,0,'Données projet'!$E$17+1,1))</f>
        <v>408.91016501484626</v>
      </c>
      <c r="GF20" s="62">
        <f t="shared" si="50"/>
        <v>354.22396807666433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3.65</v>
      </c>
      <c r="GU20" s="13">
        <f>IF('Données projet'!$A$270&gt;35,GU19+GT20-HC19,IF(A20&lt;'Données projet'!$A$270,$GR$205^A20,IF(A20='Données projet'!$A$270,'Données projet'!$B$270,GU19+GT20-HC19)))</f>
        <v>38.355215845858055</v>
      </c>
      <c r="GV20" s="18">
        <f>GU20*VLOOKUP('Données projet'!$B$18,Paramètres!$A$1:$I$89,3,0)*VLOOKUP('Données projet'!$B$18,Paramètres!$A$1:$I$89,5,0)</f>
        <v>37.097164766113913</v>
      </c>
      <c r="GW20" s="14">
        <f t="shared" si="51"/>
        <v>11.225909174194843</v>
      </c>
      <c r="GX20" s="22">
        <f t="shared" si="28"/>
        <v>84.162687112704418</v>
      </c>
      <c r="GY20" s="62">
        <f t="shared" si="29"/>
        <v>361.60713155714888</v>
      </c>
      <c r="GZ20" s="62">
        <f ca="1">AVERAGE(OFFSET($GY$3,0,0,'Données projet'!$E$18+1,1))-AVERAGE(OFFSET($H$3,0,0,'Données projet'!$E$18+1,1))</f>
        <v>562.69380557620775</v>
      </c>
      <c r="HA20" s="62">
        <f t="shared" si="52"/>
        <v>294.45557293177131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529.25712986118265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9.6</v>
      </c>
      <c r="AI21" s="14">
        <f>IF('Données projet'!$A$62&gt;35,AI20+AH21-AQ20,IF(A21&lt;'Données projet'!$A$62,$AF$205^A21,IF(A21='Données projet'!$A$62,'Données projet'!$B$62,AI20+AH21-AQ20)))</f>
        <v>68.8</v>
      </c>
      <c r="AJ21" s="14">
        <f>AI21*VLOOKUP('Données projet'!$B$10,Paramètres!$A$1:$I$89,3,0)*VLOOKUP('Données projet'!$B$10,Paramètres!$A$1:$I$89,5,0)</f>
        <v>53.664000000000001</v>
      </c>
      <c r="AK21" s="14">
        <f t="shared" si="35"/>
        <v>15.556073979202782</v>
      </c>
      <c r="AL21" s="22">
        <f t="shared" si="4"/>
        <v>120.55829551377816</v>
      </c>
      <c r="AM21" s="62">
        <f t="shared" si="5"/>
        <v>399.22496218044483</v>
      </c>
      <c r="AN21" s="62">
        <f ca="1">AVERAGE(OFFSET($AM$3,0,0,'Données projet'!$E$10+1,1))-AVERAGE(OFFSET($H$3,0,0,'Données projet'!$E$10+1,1))</f>
        <v>292.57482726862594</v>
      </c>
      <c r="AO21" s="62">
        <f t="shared" si="36"/>
        <v>283.48738729114024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16</v>
      </c>
      <c r="BD21" s="13">
        <f>IF('Données projet'!$A$88&gt;35,BD20+BC21-BL20,IF(A21&lt;'Données projet'!$A$88,$BA$205^A21,IF(A21='Données projet'!$A$88,'Données projet'!$B$88,BD20+BC21-BL20)))</f>
        <v>140</v>
      </c>
      <c r="BE21" s="14">
        <f>BD21*VLOOKUP('Données projet'!$B$11,Paramètres!$A$1:$I$89,3,0)*VLOOKUP('Données projet'!$B$11,Paramètres!$A$1:$I$89,5,0)</f>
        <v>102.648</v>
      </c>
      <c r="BF21" s="14">
        <f t="shared" si="37"/>
        <v>27.591884256813071</v>
      </c>
      <c r="BG21" s="22">
        <f t="shared" si="7"/>
        <v>226.83446508061607</v>
      </c>
      <c r="BH21" s="62">
        <f t="shared" si="8"/>
        <v>505.50113174728278</v>
      </c>
      <c r="BI21" s="62">
        <f ca="1">AVERAGE(OFFSET($BH$3,0,0,'Données projet'!$E$11+1,1))-AVERAGE(OFFSET($H$3,0,0,'Données projet'!$E$11+1,1))</f>
        <v>397.24545766894346</v>
      </c>
      <c r="BJ21" s="62">
        <f t="shared" si="38"/>
        <v>431.44557882369696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12</v>
      </c>
      <c r="BY21" s="13">
        <f>IF('Données projet'!$A$114&gt;35,BY20+BX21-CG20,IF(A21&lt;'Données projet'!$A$114,$BV$205^A21,IF(A21='Données projet'!$A$114,'Données projet'!$B$114,BY20+BX21-CG20)))</f>
        <v>81</v>
      </c>
      <c r="BZ21" s="14">
        <f>BY21*VLOOKUP('Données projet'!$B$12,Paramètres!$A$1:$I$89,3,0)*VLOOKUP('Données projet'!$B$12,Paramètres!$A$1:$I$89,5,0)</f>
        <v>53.071199999999997</v>
      </c>
      <c r="CA21" s="14">
        <f t="shared" si="39"/>
        <v>15.404137822648016</v>
      </c>
      <c r="CB21" s="22">
        <f t="shared" si="10"/>
        <v>119.26121337444529</v>
      </c>
      <c r="CC21" s="62">
        <f t="shared" si="11"/>
        <v>397.92788004111196</v>
      </c>
      <c r="CD21" s="62">
        <f ca="1">AVERAGE(OFFSET($CC$3,0,0,'Données projet'!$E$12+1,1))-AVERAGE(OFFSET($H$3,0,0,'Données projet'!$E$12+1,1))</f>
        <v>277.27246253233807</v>
      </c>
      <c r="CE21" s="62">
        <f t="shared" si="40"/>
        <v>269.61868559913404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24.346846605609343</v>
      </c>
      <c r="CV21" s="14">
        <f t="shared" si="41"/>
        <v>7.7377171800078735</v>
      </c>
      <c r="CW21" s="22">
        <f t="shared" si="13"/>
        <v>55.880615259949991</v>
      </c>
      <c r="CX21" s="62">
        <f t="shared" si="14"/>
        <v>334.54728192661668</v>
      </c>
      <c r="CY21" s="62">
        <f ca="1">AVERAGE(OFFSET($CX$3,0,0,'Données projet'!$E$13+1,1))-AVERAGE(OFFSET($H$3,0,0,'Données projet'!$E$13+1,1))</f>
        <v>402.15128814037058</v>
      </c>
      <c r="CZ21" s="62">
        <f t="shared" si="42"/>
        <v>232.85411068442738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9.7435897435897427</v>
      </c>
      <c r="DO21" s="13">
        <f>IF('Données projet'!$A$166&gt;35,DO20+DN21-DW20,IF(A21&lt;'Données projet'!$A$166,$DL$205^A21,IF(A21='Données projet'!$A$166,'Données projet'!$B$166,DO20+DN21-DW20)))</f>
        <v>108.71794871794872</v>
      </c>
      <c r="DP21" s="18">
        <f>DO21*VLOOKUP('Données projet'!$B$14,Paramètres!$A$1:$I$89,3,0)*VLOOKUP('Données projet'!$B$14,Paramètres!$A$1:$I$89,5,0)</f>
        <v>103.45599999999999</v>
      </c>
      <c r="DQ21" s="14">
        <f t="shared" si="43"/>
        <v>27.783706740361936</v>
      </c>
      <c r="DR21" s="22">
        <f t="shared" si="16"/>
        <v>228.57582257279702</v>
      </c>
      <c r="DS21" s="62">
        <f t="shared" si="17"/>
        <v>507.24248923946368</v>
      </c>
      <c r="DT21" s="62">
        <f ca="1">AVERAGE(OFFSET($DS$3,0,0,'Données projet'!$E$14+1,1))-AVERAGE(OFFSET($H$3,0,0,'Données projet'!$E$14+1,1))</f>
        <v>485.18236169209541</v>
      </c>
      <c r="DU21" s="62">
        <f t="shared" si="44"/>
        <v>417.30339652956951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16</v>
      </c>
      <c r="EJ21" s="13">
        <f>IF('Données projet'!$A$192&gt;35,EJ20+EI21-ER20,IF(A21&lt;'Données projet'!$A$192,$EG$205^A21,IF(A21='Données projet'!$A$192,'Données projet'!$B$192,EJ20+EI21-ER20)))</f>
        <v>140</v>
      </c>
      <c r="EK21" s="18">
        <f>EJ21*VLOOKUP('Données projet'!$B$15,Paramètres!$A$1:$I$89,3,0)*VLOOKUP('Données projet'!$B$15,Paramètres!$A$1:$I$89,5,0)</f>
        <v>111.38400000000001</v>
      </c>
      <c r="EL21" s="14">
        <f t="shared" si="45"/>
        <v>29.656828101147433</v>
      </c>
      <c r="EM21" s="22">
        <f t="shared" si="19"/>
        <v>245.6461089428318</v>
      </c>
      <c r="EN21" s="62">
        <f t="shared" si="20"/>
        <v>524.31277560949843</v>
      </c>
      <c r="EO21" s="62">
        <f ca="1">AVERAGE(OFFSET($EN$3,0,0,'Données projet'!$E$15+1,1))-AVERAGE(OFFSET($H$3,0,0,'Données projet'!$E$15+1,1))</f>
        <v>427.78067187784063</v>
      </c>
      <c r="EP21" s="62">
        <f t="shared" si="46"/>
        <v>464.22892523825118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2.8518518518518516</v>
      </c>
      <c r="FE21" s="13">
        <f>IF('Données projet'!$A$218&gt;35,FE20+FD21-FM20,IF(A21&lt;'Données projet'!$A$218,$FB$205^A21,IF(A21='Données projet'!$A$218,'Données projet'!$B$218,FE20+FD21-FM20)))</f>
        <v>18.099246023352912</v>
      </c>
      <c r="FF21" s="18">
        <f>FE21*VLOOKUP('Données projet'!$B$16,Paramètres!$A$1:$I$89,3,0)*VLOOKUP('Données projet'!$B$16,Paramètres!$A$1:$I$89,5,0)</f>
        <v>15.5291530880368</v>
      </c>
      <c r="FG21" s="14">
        <f t="shared" si="47"/>
        <v>5.2005614884120197</v>
      </c>
      <c r="FH21" s="22">
        <f t="shared" si="22"/>
        <v>36.104252887315027</v>
      </c>
      <c r="FI21" s="62">
        <f t="shared" si="23"/>
        <v>314.77091955398168</v>
      </c>
      <c r="FJ21" s="62">
        <f ca="1">AVERAGE(OFFSET($FI$3,0,0,'Données projet'!$E$16+1,1))-AVERAGE(OFFSET($H$3,0,0,'Données projet'!$E$16+1,1))</f>
        <v>448.44001099301806</v>
      </c>
      <c r="FK21" s="62">
        <f t="shared" si="48"/>
        <v>230.82970731138215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11.538461538461537</v>
      </c>
      <c r="FZ21" s="13">
        <f>IF('Données projet'!$A$244&gt;35,FZ20+FY21-GH20,IF(A21&lt;'Données projet'!$A$244,$FW$205^A21,IF(A21='Données projet'!$A$244,'Données projet'!$B$244,FZ20+FY21-GH20)))</f>
        <v>135.25641025641025</v>
      </c>
      <c r="GA21" s="18">
        <f>FZ21*VLOOKUP('Données projet'!$B$17,Paramètres!$A$1:$I$89,3,0)*VLOOKUP('Données projet'!$B$17,Paramètres!$A$1:$I$89,5,0)</f>
        <v>90.73</v>
      </c>
      <c r="GB21" s="14">
        <f t="shared" si="49"/>
        <v>24.741200554027884</v>
      </c>
      <c r="GC21" s="22">
        <f t="shared" si="25"/>
        <v>201.11234096493192</v>
      </c>
      <c r="GD21" s="62">
        <f t="shared" si="26"/>
        <v>479.77900763159857</v>
      </c>
      <c r="GE21" s="62">
        <f ca="1">AVERAGE(OFFSET($GD$3,0,0,'Données projet'!$E$17+1,1))-AVERAGE(OFFSET($H$3,0,0,'Données projet'!$E$17+1,1))</f>
        <v>408.91016501484626</v>
      </c>
      <c r="GF21" s="62">
        <f t="shared" si="50"/>
        <v>354.22396807666433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3.65</v>
      </c>
      <c r="GU21" s="13">
        <f>IF('Données projet'!$A$270&gt;35,GU20+GT21-HC20,IF(A21&lt;'Données projet'!$A$270,$GR$205^A21,IF(A21='Données projet'!$A$270,'Données projet'!$B$270,GU20+GT21-HC20)))</f>
        <v>47.532490941824946</v>
      </c>
      <c r="GV21" s="18">
        <f>GU21*VLOOKUP('Données projet'!$B$18,Paramètres!$A$1:$I$89,3,0)*VLOOKUP('Données projet'!$B$18,Paramètres!$A$1:$I$89,5,0)</f>
        <v>45.973425238933089</v>
      </c>
      <c r="GW21" s="14">
        <f t="shared" si="51"/>
        <v>13.56885270616201</v>
      </c>
      <c r="GX21" s="22">
        <f t="shared" si="28"/>
        <v>103.70280075437397</v>
      </c>
      <c r="GY21" s="62">
        <f t="shared" si="29"/>
        <v>382.36946742104067</v>
      </c>
      <c r="GZ21" s="62">
        <f ca="1">AVERAGE(OFFSET($GY$3,0,0,'Données projet'!$E$18+1,1))-AVERAGE(OFFSET($H$3,0,0,'Données projet'!$E$18+1,1))</f>
        <v>562.69380557620775</v>
      </c>
      <c r="HA21" s="62">
        <f t="shared" si="52"/>
        <v>294.45557293177131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529.25712986118265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9.6</v>
      </c>
      <c r="AI22" s="14">
        <f>IF('Données projet'!$A$62&gt;35,AI21+AH22-AQ21,IF(A22&lt;'Données projet'!$A$62,$AF$205^A22,IF(A22='Données projet'!$A$62,'Données projet'!$B$62,AI21+AH22-AQ21)))</f>
        <v>78.399999999999991</v>
      </c>
      <c r="AJ22" s="14">
        <f>AI22*VLOOKUP('Données projet'!$B$10,Paramètres!$A$1:$I$89,3,0)*VLOOKUP('Données projet'!$B$10,Paramètres!$A$1:$I$89,5,0)</f>
        <v>61.151999999999994</v>
      </c>
      <c r="AK22" s="14">
        <f t="shared" si="35"/>
        <v>17.459207591071255</v>
      </c>
      <c r="AL22" s="22">
        <f t="shared" si="4"/>
        <v>136.9145198877824</v>
      </c>
      <c r="AM22" s="62">
        <f t="shared" si="5"/>
        <v>416.80340877667129</v>
      </c>
      <c r="AN22" s="62">
        <f ca="1">AVERAGE(OFFSET($AM$3,0,0,'Données projet'!$E$10+1,1))-AVERAGE(OFFSET($H$3,0,0,'Données projet'!$E$10+1,1))</f>
        <v>292.57482726862594</v>
      </c>
      <c r="AO22" s="62">
        <f t="shared" si="36"/>
        <v>283.48738729114024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16</v>
      </c>
      <c r="BD22" s="13">
        <f>IF('Données projet'!$A$88&gt;35,BD21+BC22-BL21,IF(A22&lt;'Données projet'!$A$88,$BA$205^A22,IF(A22='Données projet'!$A$88,'Données projet'!$B$88,BD21+BC22-BL21)))</f>
        <v>156</v>
      </c>
      <c r="BE22" s="14">
        <f>BD22*VLOOKUP('Données projet'!$B$11,Paramètres!$A$1:$I$89,3,0)*VLOOKUP('Données projet'!$B$11,Paramètres!$A$1:$I$89,5,0)</f>
        <v>114.3792</v>
      </c>
      <c r="BF22" s="14">
        <f t="shared" si="37"/>
        <v>30.360402323573549</v>
      </c>
      <c r="BG22" s="22">
        <f t="shared" si="7"/>
        <v>252.08814071355724</v>
      </c>
      <c r="BH22" s="62">
        <f t="shared" si="8"/>
        <v>531.97702960244612</v>
      </c>
      <c r="BI22" s="62">
        <f ca="1">AVERAGE(OFFSET($BH$3,0,0,'Données projet'!$E$11+1,1))-AVERAGE(OFFSET($H$3,0,0,'Données projet'!$E$11+1,1))</f>
        <v>397.24545766894346</v>
      </c>
      <c r="BJ22" s="62">
        <f t="shared" si="38"/>
        <v>431.44557882369696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12</v>
      </c>
      <c r="BY22" s="13">
        <f>IF('Données projet'!$A$114&gt;35,BY21+BX22-CG21,IF(A22&lt;'Données projet'!$A$114,$BV$205^A22,IF(A22='Données projet'!$A$114,'Données projet'!$B$114,BY21+BX22-CG21)))</f>
        <v>93</v>
      </c>
      <c r="BZ22" s="14">
        <f>BY22*VLOOKUP('Données projet'!$B$12,Paramètres!$A$1:$I$89,3,0)*VLOOKUP('Données projet'!$B$12,Paramètres!$A$1:$I$89,5,0)</f>
        <v>60.933599999999991</v>
      </c>
      <c r="CA22" s="14">
        <f t="shared" si="39"/>
        <v>17.404099852856145</v>
      </c>
      <c r="CB22" s="22">
        <f t="shared" si="10"/>
        <v>136.43816057705777</v>
      </c>
      <c r="CC22" s="62">
        <f t="shared" si="11"/>
        <v>416.32704946594663</v>
      </c>
      <c r="CD22" s="62">
        <f ca="1">AVERAGE(OFFSET($CC$3,0,0,'Données projet'!$E$12+1,1))-AVERAGE(OFFSET($H$3,0,0,'Données projet'!$E$12+1,1))</f>
        <v>277.27246253233807</v>
      </c>
      <c r="CE22" s="62">
        <f t="shared" si="40"/>
        <v>269.61868559913404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29.349802561239567</v>
      </c>
      <c r="CV22" s="14">
        <f t="shared" si="41"/>
        <v>9.1269990536799668</v>
      </c>
      <c r="CW22" s="22">
        <f t="shared" si="13"/>
        <v>67.013762812651535</v>
      </c>
      <c r="CX22" s="62">
        <f t="shared" si="14"/>
        <v>346.90265170154038</v>
      </c>
      <c r="CY22" s="62">
        <f ca="1">AVERAGE(OFFSET($CX$3,0,0,'Données projet'!$E$13+1,1))-AVERAGE(OFFSET($H$3,0,0,'Données projet'!$E$13+1,1))</f>
        <v>402.15128814037058</v>
      </c>
      <c r="CZ22" s="62">
        <f t="shared" si="42"/>
        <v>232.85411068442738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9.7435897435897427</v>
      </c>
      <c r="DO22" s="13">
        <f>IF('Données projet'!$A$166&gt;35,DO21+DN22-DW21,IF(A22&lt;'Données projet'!$A$166,$DL$205^A22,IF(A22='Données projet'!$A$166,'Données projet'!$B$166,DO21+DN22-DW21)))</f>
        <v>118.46153846153845</v>
      </c>
      <c r="DP22" s="18">
        <f>DO22*VLOOKUP('Données projet'!$B$14,Paramètres!$A$1:$I$89,3,0)*VLOOKUP('Données projet'!$B$14,Paramètres!$A$1:$I$89,5,0)</f>
        <v>112.72799999999998</v>
      </c>
      <c r="DQ22" s="14">
        <f t="shared" si="43"/>
        <v>29.972803398784528</v>
      </c>
      <c r="DR22" s="22">
        <f t="shared" si="16"/>
        <v>248.53723258621633</v>
      </c>
      <c r="DS22" s="62">
        <f t="shared" si="17"/>
        <v>528.42612147510522</v>
      </c>
      <c r="DT22" s="62">
        <f ca="1">AVERAGE(OFFSET($DS$3,0,0,'Données projet'!$E$14+1,1))-AVERAGE(OFFSET($H$3,0,0,'Données projet'!$E$14+1,1))</f>
        <v>485.18236169209541</v>
      </c>
      <c r="DU22" s="62">
        <f t="shared" si="44"/>
        <v>417.30339652956951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16</v>
      </c>
      <c r="EJ22" s="13">
        <f>IF('Données projet'!$A$192&gt;35,EJ21+EI22-ER21,IF(A22&lt;'Données projet'!$A$192,$EG$205^A22,IF(A22='Données projet'!$A$192,'Données projet'!$B$192,EJ21+EI22-ER21)))</f>
        <v>156</v>
      </c>
      <c r="EK22" s="18">
        <f>EJ22*VLOOKUP('Données projet'!$B$15,Paramètres!$A$1:$I$89,3,0)*VLOOKUP('Données projet'!$B$15,Paramètres!$A$1:$I$89,5,0)</f>
        <v>124.11360000000001</v>
      </c>
      <c r="EL22" s="14">
        <f t="shared" si="45"/>
        <v>32.632538771598028</v>
      </c>
      <c r="EM22" s="22">
        <f t="shared" si="19"/>
        <v>272.99952502719992</v>
      </c>
      <c r="EN22" s="62">
        <f t="shared" si="20"/>
        <v>552.88841391608878</v>
      </c>
      <c r="EO22" s="62">
        <f ca="1">AVERAGE(OFFSET($EN$3,0,0,'Données projet'!$E$15+1,1))-AVERAGE(OFFSET($H$3,0,0,'Données projet'!$E$15+1,1))</f>
        <v>427.78067187784063</v>
      </c>
      <c r="EP22" s="62">
        <f t="shared" si="46"/>
        <v>464.22892523825118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2.8518518518518516</v>
      </c>
      <c r="FE22" s="13">
        <f>IF('Données projet'!$A$218&gt;35,FE21+FD22-FM21,IF(A22&lt;'Données projet'!$A$218,$FB$205^A22,IF(A22='Données projet'!$A$218,'Données projet'!$B$218,FE21+FD22-FM21)))</f>
        <v>21.25839685687631</v>
      </c>
      <c r="FF22" s="18">
        <f>FE22*VLOOKUP('Données projet'!$B$16,Paramètres!$A$1:$I$89,3,0)*VLOOKUP('Données projet'!$B$16,Paramètres!$A$1:$I$89,5,0)</f>
        <v>18.239704503199878</v>
      </c>
      <c r="FG22" s="14">
        <f t="shared" si="47"/>
        <v>5.9949752064796131</v>
      </c>
      <c r="FH22" s="22">
        <f t="shared" si="22"/>
        <v>42.208733827691781</v>
      </c>
      <c r="FI22" s="62">
        <f t="shared" si="23"/>
        <v>322.09762271658064</v>
      </c>
      <c r="FJ22" s="62">
        <f ca="1">AVERAGE(OFFSET($FI$3,0,0,'Données projet'!$E$16+1,1))-AVERAGE(OFFSET($H$3,0,0,'Données projet'!$E$16+1,1))</f>
        <v>448.44001099301806</v>
      </c>
      <c r="FK22" s="62">
        <f t="shared" si="48"/>
        <v>230.82970731138215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11.538461538461537</v>
      </c>
      <c r="FZ22" s="13">
        <f>IF('Données projet'!$A$244&gt;35,FZ21+FY22-GH21,IF(A22&lt;'Données projet'!$A$244,$FW$205^A22,IF(A22='Données projet'!$A$244,'Données projet'!$B$244,FZ21+FY22-GH21)))</f>
        <v>146.7948717948718</v>
      </c>
      <c r="GA22" s="18">
        <f>FZ22*VLOOKUP('Données projet'!$B$17,Paramètres!$A$1:$I$89,3,0)*VLOOKUP('Données projet'!$B$17,Paramètres!$A$1:$I$89,5,0)</f>
        <v>98.47</v>
      </c>
      <c r="GB22" s="14">
        <f t="shared" si="49"/>
        <v>26.597169709505504</v>
      </c>
      <c r="GC22" s="22">
        <f t="shared" si="25"/>
        <v>217.82532057738877</v>
      </c>
      <c r="GD22" s="62">
        <f t="shared" si="26"/>
        <v>497.71420946627762</v>
      </c>
      <c r="GE22" s="62">
        <f ca="1">AVERAGE(OFFSET($GD$3,0,0,'Données projet'!$E$17+1,1))-AVERAGE(OFFSET($H$3,0,0,'Données projet'!$E$17+1,1))</f>
        <v>408.91016501484626</v>
      </c>
      <c r="GF22" s="62">
        <f t="shared" si="50"/>
        <v>354.22396807666433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3.65</v>
      </c>
      <c r="GU22" s="13">
        <f>IF('Données projet'!$A$270&gt;35,GU21+GT22-HC21,IF(A22&lt;'Données projet'!$A$270,$GR$205^A22,IF(A22='Données projet'!$A$270,'Données projet'!$B$270,GU21+GT22-HC21)))</f>
        <v>58.90561805764559</v>
      </c>
      <c r="GV22" s="18">
        <f>GU22*VLOOKUP('Données projet'!$B$18,Paramètres!$A$1:$I$89,3,0)*VLOOKUP('Données projet'!$B$18,Paramètres!$A$1:$I$89,5,0)</f>
        <v>56.973513785354818</v>
      </c>
      <c r="GW22" s="14">
        <f t="shared" si="51"/>
        <v>16.400788649238766</v>
      </c>
      <c r="GX22" s="22">
        <f t="shared" si="28"/>
        <v>127.7935767402505</v>
      </c>
      <c r="GY22" s="62">
        <f t="shared" si="29"/>
        <v>407.68246562913936</v>
      </c>
      <c r="GZ22" s="62">
        <f ca="1">AVERAGE(OFFSET($GY$3,0,0,'Données projet'!$E$18+1,1))-AVERAGE(OFFSET($H$3,0,0,'Données projet'!$E$18+1,1))</f>
        <v>562.69380557620775</v>
      </c>
      <c r="HA22" s="62">
        <f t="shared" si="52"/>
        <v>294.45557293177131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529.25712986118265</v>
      </c>
      <c r="T23" s="62">
        <f t="shared" si="34"/>
        <v>278.21741231699929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88</v>
      </c>
      <c r="AG23" s="13">
        <f>VLOOKUP(A23,'Données projet'!$A$61:$I$81,9,0)</f>
        <v>9.6</v>
      </c>
      <c r="AH23" s="13">
        <f t="array" ref="AH23">INDEX(AG:AG,MIN(IF(ISNUMBER(AG23:AG219),ROW(AG23:AG219),"")))</f>
        <v>9.6</v>
      </c>
      <c r="AI23" s="14">
        <f>IF('Données projet'!$A$62&gt;35,AI22+AH23-AQ22,IF(A23&lt;'Données projet'!$A$62,$AF$205^A23,IF(A23='Données projet'!$A$62,'Données projet'!$B$62,AI22+AH23-AQ22)))</f>
        <v>87.999999999999986</v>
      </c>
      <c r="AJ23" s="14">
        <f>AI23*VLOOKUP('Données projet'!$B$10,Paramètres!$A$1:$I$89,3,0)*VLOOKUP('Données projet'!$B$10,Paramètres!$A$1:$I$89,5,0)</f>
        <v>68.639999999999986</v>
      </c>
      <c r="AK23" s="14">
        <f t="shared" si="35"/>
        <v>19.335336956640202</v>
      </c>
      <c r="AL23" s="22">
        <f t="shared" si="4"/>
        <v>153.22371186614834</v>
      </c>
      <c r="AM23" s="62">
        <f t="shared" si="5"/>
        <v>434.33482297725948</v>
      </c>
      <c r="AN23" s="62">
        <f ca="1">AVERAGE(OFFSET($AM$3,0,0,'Données projet'!$E$10+1,1))-AVERAGE(OFFSET($H$3,0,0,'Données projet'!$E$10+1,1))</f>
        <v>292.57482726862594</v>
      </c>
      <c r="AO23" s="62">
        <f t="shared" si="36"/>
        <v>283.48738729114024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172</v>
      </c>
      <c r="BB23" s="13">
        <f>VLOOKUP(A23,'Données projet'!$A$87:$I$107,9,0)</f>
        <v>16</v>
      </c>
      <c r="BC23" s="13">
        <f t="array" ref="BC23">INDEX(BB:BB,MIN(IF(ISNUMBER(BB23:BB219),ROW(BB23:BB219),"")))</f>
        <v>16</v>
      </c>
      <c r="BD23" s="13">
        <f>IF('Données projet'!$A$88&gt;35,BD22+BC23-BL22,IF(A23&lt;'Données projet'!$A$88,$BA$205^A23,IF(A23='Données projet'!$A$88,'Données projet'!$B$88,BD22+BC23-BL22)))</f>
        <v>172</v>
      </c>
      <c r="BE23" s="14">
        <f>BD23*VLOOKUP('Données projet'!$B$11,Paramètres!$A$1:$I$89,3,0)*VLOOKUP('Données projet'!$B$11,Paramètres!$A$1:$I$89,5,0)</f>
        <v>126.11039999999998</v>
      </c>
      <c r="BF23" s="14">
        <f t="shared" si="37"/>
        <v>33.096004194977844</v>
      </c>
      <c r="BG23" s="22">
        <f t="shared" si="7"/>
        <v>277.28448730625308</v>
      </c>
      <c r="BH23" s="62">
        <f t="shared" si="8"/>
        <v>558.39559841736423</v>
      </c>
      <c r="BI23" s="62">
        <f ca="1">AVERAGE(OFFSET($BH$3,0,0,'Données projet'!$E$11+1,1))-AVERAGE(OFFSET($H$3,0,0,'Données projet'!$E$11+1,1))</f>
        <v>397.24545766894346</v>
      </c>
      <c r="BJ23" s="62">
        <f t="shared" si="38"/>
        <v>431.44557882369696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91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105</v>
      </c>
      <c r="BW23" s="13">
        <f>VLOOKUP(A23,'Données projet'!$A$113:$I$133,9,0)</f>
        <v>12</v>
      </c>
      <c r="BX23" s="13">
        <f t="array" ref="BX23">INDEX(BW:BW,MIN(IF(ISNUMBER(BW23:BW219),ROW(BW23:BW219),"")))</f>
        <v>12</v>
      </c>
      <c r="BY23" s="13">
        <f>IF('Données projet'!$A$114&gt;35,BY22+BX23-CG22,IF(A23&lt;'Données projet'!$A$114,$BV$205^A23,IF(A23='Données projet'!$A$114,'Données projet'!$B$114,BY22+BX23-CG22)))</f>
        <v>105</v>
      </c>
      <c r="BZ23" s="14">
        <f>BY23*VLOOKUP('Données projet'!$B$12,Paramètres!$A$1:$I$89,3,0)*VLOOKUP('Données projet'!$B$12,Paramètres!$A$1:$I$89,5,0)</f>
        <v>68.796000000000006</v>
      </c>
      <c r="CA23" s="14">
        <f t="shared" si="39"/>
        <v>19.374160697102734</v>
      </c>
      <c r="CB23" s="22">
        <f t="shared" si="10"/>
        <v>153.56302988078727</v>
      </c>
      <c r="CC23" s="62">
        <f t="shared" si="11"/>
        <v>434.67414099189841</v>
      </c>
      <c r="CD23" s="62">
        <f ca="1">AVERAGE(OFFSET($CC$3,0,0,'Données projet'!$E$12+1,1))-AVERAGE(OFFSET($H$3,0,0,'Données projet'!$E$12+1,1))</f>
        <v>277.27246253233807</v>
      </c>
      <c r="CE23" s="62">
        <f t="shared" si="40"/>
        <v>269.61868559913404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35.380800000000001</v>
      </c>
      <c r="CV23" s="14">
        <f t="shared" si="41"/>
        <v>10.765721954933243</v>
      </c>
      <c r="CW23" s="22">
        <f t="shared" si="13"/>
        <v>80.371859071508723</v>
      </c>
      <c r="CX23" s="62">
        <f t="shared" si="14"/>
        <v>361.48297018261985</v>
      </c>
      <c r="CY23" s="62">
        <f ca="1">AVERAGE(OFFSET($CX$3,0,0,'Données projet'!$E$13+1,1))-AVERAGE(OFFSET($H$3,0,0,'Données projet'!$E$13+1,1))</f>
        <v>402.15128814037058</v>
      </c>
      <c r="CZ23" s="62">
        <f t="shared" si="42"/>
        <v>232.85411068442738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128.2051282051282</v>
      </c>
      <c r="DM23" s="13">
        <f>VLOOKUP(A23,'Données projet'!$A$165:$I$185,9,0)</f>
        <v>9.7435897435897427</v>
      </c>
      <c r="DN23" s="13">
        <f t="array" ref="DN23">INDEX(DM:DM,MIN(IF(ISNUMBER(DM23:DM219),ROW(DM23:DM219),"")))</f>
        <v>9.7435897435897427</v>
      </c>
      <c r="DO23" s="13">
        <f>IF('Données projet'!$A$166&gt;35,DO22+DN23-DW22,IF(A23&lt;'Données projet'!$A$166,$DL$205^A23,IF(A23='Données projet'!$A$166,'Données projet'!$B$166,DO22+DN23-DW22)))</f>
        <v>128.2051282051282</v>
      </c>
      <c r="DP23" s="18">
        <f>DO23*VLOOKUP('Données projet'!$B$14,Paramètres!$A$1:$I$89,3,0)*VLOOKUP('Données projet'!$B$14,Paramètres!$A$1:$I$89,5,0)</f>
        <v>122</v>
      </c>
      <c r="DQ23" s="14">
        <f t="shared" si="43"/>
        <v>32.141016759098825</v>
      </c>
      <c r="DR23" s="22">
        <f t="shared" si="16"/>
        <v>268.46227085543046</v>
      </c>
      <c r="DS23" s="62">
        <f t="shared" si="17"/>
        <v>549.57338196654155</v>
      </c>
      <c r="DT23" s="62">
        <f ca="1">AVERAGE(OFFSET($DS$3,0,0,'Données projet'!$E$14+1,1))-AVERAGE(OFFSET($H$3,0,0,'Données projet'!$E$14+1,1))</f>
        <v>485.18236169209541</v>
      </c>
      <c r="DU23" s="62">
        <f t="shared" si="44"/>
        <v>417.30339652956951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42.948717948717949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172</v>
      </c>
      <c r="EH23" s="13">
        <f>VLOOKUP(A23,'Données projet'!$A$191:$I$211,9,0)</f>
        <v>16</v>
      </c>
      <c r="EI23" s="13">
        <f t="array" ref="EI23">INDEX(EH:EH,MIN(IF(ISNUMBER(EH23:EH219),ROW(EH23:EH219),"")))</f>
        <v>16</v>
      </c>
      <c r="EJ23" s="13">
        <f>IF('Données projet'!$A$192&gt;35,EJ22+EI23-ER22,IF(A23&lt;'Données projet'!$A$192,$EG$205^A23,IF(A23='Données projet'!$A$192,'Données projet'!$B$192,EJ22+EI23-ER22)))</f>
        <v>172</v>
      </c>
      <c r="EK23" s="18">
        <f>EJ23*VLOOKUP('Données projet'!$B$15,Paramètres!$A$1:$I$89,3,0)*VLOOKUP('Données projet'!$B$15,Paramètres!$A$1:$I$89,5,0)</f>
        <v>136.8432</v>
      </c>
      <c r="EL23" s="14">
        <f t="shared" si="45"/>
        <v>35.572869837729648</v>
      </c>
      <c r="EM23" s="22">
        <f t="shared" si="19"/>
        <v>300.2913216340458</v>
      </c>
      <c r="EN23" s="62">
        <f t="shared" si="20"/>
        <v>581.40243274515694</v>
      </c>
      <c r="EO23" s="62">
        <f ca="1">AVERAGE(OFFSET($EN$3,0,0,'Données projet'!$E$15+1,1))-AVERAGE(OFFSET($H$3,0,0,'Données projet'!$E$15+1,1))</f>
        <v>427.78067187784063</v>
      </c>
      <c r="EP23" s="62">
        <f t="shared" si="46"/>
        <v>464.22892523825118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91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2.8518518518518516</v>
      </c>
      <c r="FE23" s="13">
        <f>IF('Données projet'!$A$218&gt;35,FE22+FD23-FM22,IF(A23&lt;'Données projet'!$A$218,$FB$205^A23,IF(A23='Données projet'!$A$218,'Données projet'!$B$218,FE22+FD23-FM22)))</f>
        <v>24.968964803359786</v>
      </c>
      <c r="FF23" s="18">
        <f>FE23*VLOOKUP('Données projet'!$B$16,Paramètres!$A$1:$I$89,3,0)*VLOOKUP('Données projet'!$B$16,Paramètres!$A$1:$I$89,5,0)</f>
        <v>21.423371801282698</v>
      </c>
      <c r="FG23" s="14">
        <f t="shared" si="47"/>
        <v>6.9107398896036081</v>
      </c>
      <c r="FH23" s="22">
        <f t="shared" si="22"/>
        <v>49.348577861626978</v>
      </c>
      <c r="FI23" s="62">
        <f t="shared" si="23"/>
        <v>330.45968897273815</v>
      </c>
      <c r="FJ23" s="62">
        <f ca="1">AVERAGE(OFFSET($FI$3,0,0,'Données projet'!$E$16+1,1))-AVERAGE(OFFSET($H$3,0,0,'Données projet'!$E$16+1,1))</f>
        <v>448.44001099301806</v>
      </c>
      <c r="FK23" s="62">
        <f t="shared" si="48"/>
        <v>230.82970731138215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158.33333333333331</v>
      </c>
      <c r="FX23" s="13">
        <f>VLOOKUP(A23,'Données projet'!$A$243:$I$263,9,0)</f>
        <v>11.538461538461537</v>
      </c>
      <c r="FY23" s="13">
        <f t="array" ref="FY23">INDEX(FX:FX,MIN(IF(ISNUMBER(FX23:FX219),ROW(FX23:FX219),"")))</f>
        <v>11.538461538461537</v>
      </c>
      <c r="FZ23" s="13">
        <f>IF('Données projet'!$A$244&gt;35,FZ22+FY23-GH22,IF(A23&lt;'Données projet'!$A$244,$FW$205^A23,IF(A23='Données projet'!$A$244,'Données projet'!$B$244,FZ22+FY23-GH22)))</f>
        <v>158.33333333333334</v>
      </c>
      <c r="GA23" s="18">
        <f>FZ23*VLOOKUP('Données projet'!$B$17,Paramètres!$A$1:$I$89,3,0)*VLOOKUP('Données projet'!$B$17,Paramètres!$A$1:$I$89,5,0)</f>
        <v>106.21000000000002</v>
      </c>
      <c r="GB23" s="14">
        <f t="shared" si="49"/>
        <v>28.436217026228483</v>
      </c>
      <c r="GC23" s="22">
        <f t="shared" si="25"/>
        <v>234.50882798734798</v>
      </c>
      <c r="GD23" s="62">
        <f t="shared" si="26"/>
        <v>515.6199390984591</v>
      </c>
      <c r="GE23" s="62">
        <f ca="1">AVERAGE(OFFSET($GD$3,0,0,'Données projet'!$E$17+1,1))-AVERAGE(OFFSET($H$3,0,0,'Données projet'!$E$17+1,1))</f>
        <v>408.91016501484626</v>
      </c>
      <c r="GF23" s="62">
        <f t="shared" si="50"/>
        <v>354.22396807666433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48.717948717948715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73</v>
      </c>
      <c r="GS23" s="13">
        <f>VLOOKUP(A23,'Données projet'!$A$269:$I$289,9,0)</f>
        <v>3.65</v>
      </c>
      <c r="GT23" s="13">
        <f t="array" ref="GT23">INDEX(GS:GS,MIN(IF(ISNUMBER(GS23:GS219),ROW(GS23:GS219),"")))</f>
        <v>3.65</v>
      </c>
      <c r="GU23" s="13">
        <f>IF('Données projet'!$A$270&gt;35,GU22+GT23-HC22,IF(A23&lt;'Données projet'!$A$270,$GR$205^A23,IF(A23='Données projet'!$A$270,'Données projet'!$B$270,GU22+GT23-HC22)))</f>
        <v>73</v>
      </c>
      <c r="GV23" s="18">
        <f>GU23*VLOOKUP('Données projet'!$B$18,Paramètres!$A$1:$I$89,3,0)*VLOOKUP('Données projet'!$B$18,Paramètres!$A$1:$I$89,5,0)</f>
        <v>70.605599999999995</v>
      </c>
      <c r="GW23" s="14">
        <f t="shared" si="51"/>
        <v>19.823773913828742</v>
      </c>
      <c r="GX23" s="22">
        <f t="shared" si="28"/>
        <v>157.49782623325171</v>
      </c>
      <c r="GY23" s="62">
        <f t="shared" si="29"/>
        <v>438.60893734436286</v>
      </c>
      <c r="GZ23" s="62">
        <f ca="1">AVERAGE(OFFSET($GY$3,0,0,'Données projet'!$E$18+1,1))-AVERAGE(OFFSET($H$3,0,0,'Données projet'!$E$18+1,1))</f>
        <v>562.69380557620775</v>
      </c>
      <c r="HA23" s="62">
        <f t="shared" si="52"/>
        <v>294.45557293177131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2">
        <f t="shared" si="0"/>
        <v>444.08896575162873</v>
      </c>
      <c r="S24" s="62">
        <f ca="1">AVERAGE(OFFSET($R$3,0,0,'Données projet'!$E$9+1,1))-AVERAGE(OFFSET($H$3,0,0,'Données projet'!$E$9+1,1))</f>
        <v>529.25712986118265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10.6</v>
      </c>
      <c r="AI24" s="14">
        <f>IF('Données projet'!$A$62&gt;35,AI23+AH24-AQ23,IF(A24&lt;'Données projet'!$A$62,$AF$205^A24,IF(A24='Données projet'!$A$62,'Données projet'!$B$62,AI23+AH24-AQ23)))</f>
        <v>98.59999999999998</v>
      </c>
      <c r="AJ24" s="14">
        <f>AI24*VLOOKUP('Données projet'!$B$10,Paramètres!$A$1:$I$89,3,0)*VLOOKUP('Données projet'!$B$10,Paramètres!$A$1:$I$89,5,0)</f>
        <v>76.907999999999987</v>
      </c>
      <c r="AK24" s="14">
        <f t="shared" si="35"/>
        <v>21.379448490435635</v>
      </c>
      <c r="AL24" s="22">
        <f t="shared" si="4"/>
        <v>171.18397278750868</v>
      </c>
      <c r="AM24" s="62">
        <f t="shared" si="5"/>
        <v>453.51730612084202</v>
      </c>
      <c r="AN24" s="62">
        <f ca="1">AVERAGE(OFFSET($AM$3,0,0,'Données projet'!$E$10+1,1))-AVERAGE(OFFSET($H$3,0,0,'Données projet'!$E$10+1,1))</f>
        <v>292.57482726862594</v>
      </c>
      <c r="AO24" s="62">
        <f t="shared" si="36"/>
        <v>283.48738729114024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16.8</v>
      </c>
      <c r="BD24" s="13">
        <f>IF('Données projet'!$A$88&gt;35,BD23+BC24-BL23,IF(A24&lt;'Données projet'!$A$88,$BA$205^A24,IF(A24='Données projet'!$A$88,'Données projet'!$B$88,BD23+BC24-BL23)))</f>
        <v>97.800000000000011</v>
      </c>
      <c r="BE24" s="14">
        <f>BD24*VLOOKUP('Données projet'!$B$11,Paramètres!$A$1:$I$89,3,0)*VLOOKUP('Données projet'!$B$11,Paramètres!$A$1:$I$89,5,0)</f>
        <v>71.706960000000009</v>
      </c>
      <c r="BF24" s="14">
        <f t="shared" si="37"/>
        <v>20.096759687088312</v>
      </c>
      <c r="BG24" s="22">
        <f t="shared" si="7"/>
        <v>159.89147845501216</v>
      </c>
      <c r="BH24" s="62">
        <f t="shared" si="8"/>
        <v>442.22481178834551</v>
      </c>
      <c r="BI24" s="62">
        <f ca="1">AVERAGE(OFFSET($BH$3,0,0,'Données projet'!$E$11+1,1))-AVERAGE(OFFSET($H$3,0,0,'Données projet'!$E$11+1,1))</f>
        <v>397.24545766894346</v>
      </c>
      <c r="BJ24" s="62">
        <f t="shared" si="38"/>
        <v>431.44557882369696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9.6</v>
      </c>
      <c r="BY24" s="13">
        <f>IF('Données projet'!$A$114&gt;35,BY23+BX24-CG23,IF(A24&lt;'Données projet'!$A$114,$BV$205^A24,IF(A24='Données projet'!$A$114,'Données projet'!$B$114,BY23+BX24-CG23)))</f>
        <v>114.6</v>
      </c>
      <c r="BZ24" s="14">
        <f>BY24*VLOOKUP('Données projet'!$B$12,Paramètres!$A$1:$I$89,3,0)*VLOOKUP('Données projet'!$B$12,Paramètres!$A$1:$I$89,5,0)</f>
        <v>75.085920000000002</v>
      </c>
      <c r="CA24" s="14">
        <f t="shared" si="39"/>
        <v>20.931269096524034</v>
      </c>
      <c r="CB24" s="22">
        <f t="shared" si="10"/>
        <v>167.22993767644601</v>
      </c>
      <c r="CC24" s="62">
        <f t="shared" si="11"/>
        <v>449.56327100977933</v>
      </c>
      <c r="CD24" s="62">
        <f ca="1">AVERAGE(OFFSET($CC$3,0,0,'Données projet'!$E$12+1,1))-AVERAGE(OFFSET($H$3,0,0,'Données projet'!$E$12+1,1))</f>
        <v>277.27246253233807</v>
      </c>
      <c r="CE24" s="62">
        <f t="shared" si="40"/>
        <v>269.61868559913404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40.098240000000011</v>
      </c>
      <c r="CV24" s="14">
        <f t="shared" si="41"/>
        <v>12.024681710991171</v>
      </c>
      <c r="CW24" s="22">
        <f t="shared" si="13"/>
        <v>90.780755313309626</v>
      </c>
      <c r="CX24" s="62">
        <f t="shared" si="14"/>
        <v>373.11408864664293</v>
      </c>
      <c r="CY24" s="62">
        <f ca="1">AVERAGE(OFFSET($CX$3,0,0,'Données projet'!$E$13+1,1))-AVERAGE(OFFSET($H$3,0,0,'Données projet'!$E$13+1,1))</f>
        <v>402.15128814037058</v>
      </c>
      <c r="CZ24" s="62">
        <f t="shared" si="42"/>
        <v>232.85411068442738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10.384615384615387</v>
      </c>
      <c r="DO24" s="13">
        <f>IF('Données projet'!$A$166&gt;35,DO23+DN24-DW23,IF(A24&lt;'Données projet'!$A$166,$DL$205^A24,IF(A24='Données projet'!$A$166,'Données projet'!$B$166,DO23+DN24-DW23)))</f>
        <v>95.641025641025635</v>
      </c>
      <c r="DP24" s="18">
        <f>DO24*VLOOKUP('Données projet'!$B$14,Paramètres!$A$1:$I$89,3,0)*VLOOKUP('Données projet'!$B$14,Paramètres!$A$1:$I$89,5,0)</f>
        <v>91.012</v>
      </c>
      <c r="DQ24" s="14">
        <f t="shared" si="43"/>
        <v>24.809135963478184</v>
      </c>
      <c r="DR24" s="22">
        <f t="shared" si="16"/>
        <v>201.72181180305782</v>
      </c>
      <c r="DS24" s="62">
        <f t="shared" si="17"/>
        <v>484.05514513639116</v>
      </c>
      <c r="DT24" s="62">
        <f ca="1">AVERAGE(OFFSET($DS$3,0,0,'Données projet'!$E$14+1,1))-AVERAGE(OFFSET($H$3,0,0,'Données projet'!$E$14+1,1))</f>
        <v>485.18236169209541</v>
      </c>
      <c r="DU24" s="62">
        <f t="shared" si="44"/>
        <v>417.30339652956951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16.8</v>
      </c>
      <c r="EJ24" s="13">
        <f>IF('Données projet'!$A$192&gt;35,EJ23+EI24-ER23,IF(A24&lt;'Données projet'!$A$192,$EG$205^A24,IF(A24='Données projet'!$A$192,'Données projet'!$B$192,EJ23+EI24-ER23)))</f>
        <v>97.800000000000011</v>
      </c>
      <c r="EK24" s="18">
        <f>EJ24*VLOOKUP('Données projet'!$B$15,Paramètres!$A$1:$I$89,3,0)*VLOOKUP('Données projet'!$B$15,Paramètres!$A$1:$I$89,5,0)</f>
        <v>77.809680000000014</v>
      </c>
      <c r="EL24" s="14">
        <f t="shared" si="45"/>
        <v>21.600777311280577</v>
      </c>
      <c r="EM24" s="22">
        <f t="shared" si="19"/>
        <v>173.13987981714703</v>
      </c>
      <c r="EN24" s="62">
        <f t="shared" si="20"/>
        <v>455.47321315048032</v>
      </c>
      <c r="EO24" s="62">
        <f ca="1">AVERAGE(OFFSET($EN$3,0,0,'Données projet'!$E$15+1,1))-AVERAGE(OFFSET($H$3,0,0,'Données projet'!$E$15+1,1))</f>
        <v>427.78067187784063</v>
      </c>
      <c r="EP24" s="62">
        <f t="shared" si="46"/>
        <v>464.22892523825118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2.8518518518518516</v>
      </c>
      <c r="FE24" s="13">
        <f>IF('Données projet'!$A$218&gt;35,FE23+FD24-FM23,IF(A24&lt;'Données projet'!$A$218,$FB$205^A24,IF(A24='Données projet'!$A$218,'Données projet'!$B$218,FE23+FD24-FM23)))</f>
        <v>29.327197509240069</v>
      </c>
      <c r="FF24" s="18">
        <f>FE24*VLOOKUP('Données projet'!$B$16,Paramètres!$A$1:$I$89,3,0)*VLOOKUP('Données projet'!$B$16,Paramètres!$A$1:$I$89,5,0)</f>
        <v>25.162735462927984</v>
      </c>
      <c r="FG24" s="14">
        <f t="shared" si="47"/>
        <v>7.9663925499040165</v>
      </c>
      <c r="FH24" s="22">
        <f t="shared" si="22"/>
        <v>57.699897955682388</v>
      </c>
      <c r="FI24" s="62">
        <f t="shared" si="23"/>
        <v>340.0332312890157</v>
      </c>
      <c r="FJ24" s="62">
        <f ca="1">AVERAGE(OFFSET($FI$3,0,0,'Données projet'!$E$16+1,1))-AVERAGE(OFFSET($H$3,0,0,'Données projet'!$E$16+1,1))</f>
        <v>448.44001099301806</v>
      </c>
      <c r="FK24" s="62">
        <f t="shared" si="48"/>
        <v>230.82970731138215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11.025641025641031</v>
      </c>
      <c r="FZ24" s="13">
        <f>IF('Données projet'!$A$244&gt;35,FZ23+FY24-GH23,IF(A24&lt;'Données projet'!$A$244,$FW$205^A24,IF(A24='Données projet'!$A$244,'Données projet'!$B$244,FZ23+FY24-GH23)))</f>
        <v>120.64102564102565</v>
      </c>
      <c r="GA24" s="18">
        <f>FZ24*VLOOKUP('Données projet'!$B$17,Paramètres!$A$1:$I$89,3,0)*VLOOKUP('Données projet'!$B$17,Paramètres!$A$1:$I$89,5,0)</f>
        <v>80.926000000000016</v>
      </c>
      <c r="GB24" s="14">
        <f t="shared" si="49"/>
        <v>22.363444069944872</v>
      </c>
      <c r="GC24" s="22">
        <f t="shared" si="25"/>
        <v>179.89578175515399</v>
      </c>
      <c r="GD24" s="62">
        <f t="shared" si="26"/>
        <v>462.22911508848733</v>
      </c>
      <c r="GE24" s="62">
        <f ca="1">AVERAGE(OFFSET($GD$3,0,0,'Données projet'!$E$17+1,1))-AVERAGE(OFFSET($H$3,0,0,'Données projet'!$E$17+1,1))</f>
        <v>408.91016501484626</v>
      </c>
      <c r="GF24" s="62">
        <f t="shared" si="50"/>
        <v>354.22396807666433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7.2</v>
      </c>
      <c r="GU24" s="13">
        <f>IF('Données projet'!$A$270&gt;35,GU23+GT24-HC23,IF(A24&lt;'Données projet'!$A$270,$GR$205^A24,IF(A24='Données projet'!$A$270,'Données projet'!$B$270,GU23+GT24-HC23)))</f>
        <v>80.2</v>
      </c>
      <c r="GV24" s="18">
        <f>GU24*VLOOKUP('Données projet'!$B$18,Paramètres!$A$1:$I$89,3,0)*VLOOKUP('Données projet'!$B$18,Paramètres!$A$1:$I$89,5,0)</f>
        <v>77.569440000000014</v>
      </c>
      <c r="GW24" s="14">
        <f t="shared" si="51"/>
        <v>21.541836664136856</v>
      </c>
      <c r="GX24" s="22">
        <f t="shared" si="28"/>
        <v>172.61880685670505</v>
      </c>
      <c r="GY24" s="62">
        <f t="shared" si="29"/>
        <v>454.95214019003834</v>
      </c>
      <c r="GZ24" s="62">
        <f ca="1">AVERAGE(OFFSET($GY$3,0,0,'Données projet'!$E$18+1,1))-AVERAGE(OFFSET($H$3,0,0,'Données projet'!$E$18+1,1))</f>
        <v>562.69380557620775</v>
      </c>
      <c r="HA24" s="62">
        <f t="shared" si="52"/>
        <v>294.45557293177131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2">
        <f t="shared" si="0"/>
        <v>459.44906838783072</v>
      </c>
      <c r="S25" s="62">
        <f ca="1">AVERAGE(OFFSET($R$3,0,0,'Données projet'!$E$9+1,1))-AVERAGE(OFFSET($H$3,0,0,'Données projet'!$E$9+1,1))</f>
        <v>529.25712986118265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10.6</v>
      </c>
      <c r="AI25" s="14">
        <f>IF('Données projet'!$A$62&gt;35,AI24+AH25-AQ24,IF(A25&lt;'Données projet'!$A$62,$AF$205^A25,IF(A25='Données projet'!$A$62,'Données projet'!$B$62,AI24+AH25-AQ24)))</f>
        <v>109.19999999999997</v>
      </c>
      <c r="AJ25" s="14">
        <f>AI25*VLOOKUP('Données projet'!$B$10,Paramètres!$A$1:$I$89,3,0)*VLOOKUP('Données projet'!$B$10,Paramètres!$A$1:$I$89,5,0)</f>
        <v>85.175999999999988</v>
      </c>
      <c r="AK25" s="14">
        <f t="shared" si="35"/>
        <v>23.398088487656434</v>
      </c>
      <c r="AL25" s="22">
        <f t="shared" si="4"/>
        <v>189.09987078266826</v>
      </c>
      <c r="AM25" s="62">
        <f t="shared" si="5"/>
        <v>472.65542633822383</v>
      </c>
      <c r="AN25" s="62">
        <f ca="1">AVERAGE(OFFSET($AM$3,0,0,'Données projet'!$E$10+1,1))-AVERAGE(OFFSET($H$3,0,0,'Données projet'!$E$10+1,1))</f>
        <v>292.57482726862594</v>
      </c>
      <c r="AO25" s="62">
        <f t="shared" si="36"/>
        <v>283.48738729114024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16.8</v>
      </c>
      <c r="BD25" s="13">
        <f>IF('Données projet'!$A$88&gt;35,BD24+BC25-BL24,IF(A25&lt;'Données projet'!$A$88,$BA$205^A25,IF(A25='Données projet'!$A$88,'Données projet'!$B$88,BD24+BC25-BL24)))</f>
        <v>114.60000000000001</v>
      </c>
      <c r="BE25" s="14">
        <f>BD25*VLOOKUP('Données projet'!$B$11,Paramètres!$A$1:$I$89,3,0)*VLOOKUP('Données projet'!$B$11,Paramètres!$A$1:$I$89,5,0)</f>
        <v>84.024720000000002</v>
      </c>
      <c r="BF25" s="14">
        <f t="shared" si="37"/>
        <v>23.11842031654454</v>
      </c>
      <c r="BG25" s="22">
        <f t="shared" si="7"/>
        <v>186.6076360513151</v>
      </c>
      <c r="BH25" s="62">
        <f t="shared" si="8"/>
        <v>470.16319160687067</v>
      </c>
      <c r="BI25" s="62">
        <f ca="1">AVERAGE(OFFSET($BH$3,0,0,'Données projet'!$E$11+1,1))-AVERAGE(OFFSET($H$3,0,0,'Données projet'!$E$11+1,1))</f>
        <v>397.24545766894346</v>
      </c>
      <c r="BJ25" s="62">
        <f t="shared" si="38"/>
        <v>431.44557882369696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9.6</v>
      </c>
      <c r="BY25" s="13">
        <f>IF('Données projet'!$A$114&gt;35,BY24+BX25-CG24,IF(A25&lt;'Données projet'!$A$114,$BV$205^A25,IF(A25='Données projet'!$A$114,'Données projet'!$B$114,BY24+BX25-CG24)))</f>
        <v>124.19999999999999</v>
      </c>
      <c r="BZ25" s="14">
        <f>BY25*VLOOKUP('Données projet'!$B$12,Paramètres!$A$1:$I$89,3,0)*VLOOKUP('Données projet'!$B$12,Paramètres!$A$1:$I$89,5,0)</f>
        <v>81.375839999999997</v>
      </c>
      <c r="CA25" s="14">
        <f t="shared" si="39"/>
        <v>22.473249586041113</v>
      </c>
      <c r="CB25" s="22">
        <f t="shared" si="10"/>
        <v>180.87049769568827</v>
      </c>
      <c r="CC25" s="62">
        <f t="shared" si="11"/>
        <v>464.42605325124384</v>
      </c>
      <c r="CD25" s="62">
        <f ca="1">AVERAGE(OFFSET($CC$3,0,0,'Données projet'!$E$12+1,1))-AVERAGE(OFFSET($H$3,0,0,'Données projet'!$E$12+1,1))</f>
        <v>277.27246253233807</v>
      </c>
      <c r="CE25" s="62">
        <f t="shared" si="40"/>
        <v>269.61868559913404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44.815680000000008</v>
      </c>
      <c r="CV25" s="14">
        <f t="shared" si="41"/>
        <v>13.266476878569183</v>
      </c>
      <c r="CW25" s="22">
        <f t="shared" si="13"/>
        <v>101.159756563508</v>
      </c>
      <c r="CX25" s="62">
        <f t="shared" si="14"/>
        <v>384.71531211906353</v>
      </c>
      <c r="CY25" s="62">
        <f ca="1">AVERAGE(OFFSET($CX$3,0,0,'Données projet'!$E$13+1,1))-AVERAGE(OFFSET($H$3,0,0,'Données projet'!$E$13+1,1))</f>
        <v>402.15128814037058</v>
      </c>
      <c r="CZ25" s="62">
        <f t="shared" si="42"/>
        <v>232.85411068442738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10.384615384615387</v>
      </c>
      <c r="DO25" s="13">
        <f>IF('Données projet'!$A$166&gt;35,DO24+DN25-DW24,IF(A25&lt;'Données projet'!$A$166,$DL$205^A25,IF(A25='Données projet'!$A$166,'Données projet'!$B$166,DO24+DN25-DW24)))</f>
        <v>106.02564102564102</v>
      </c>
      <c r="DP25" s="18">
        <f>DO25*VLOOKUP('Données projet'!$B$14,Paramètres!$A$1:$I$89,3,0)*VLOOKUP('Données projet'!$B$14,Paramètres!$A$1:$I$89,5,0)</f>
        <v>100.89400000000001</v>
      </c>
      <c r="DQ25" s="14">
        <f t="shared" si="43"/>
        <v>27.174870270483449</v>
      </c>
      <c r="DR25" s="22">
        <f t="shared" si="16"/>
        <v>223.05328238775863</v>
      </c>
      <c r="DS25" s="62">
        <f t="shared" si="17"/>
        <v>506.60883794331414</v>
      </c>
      <c r="DT25" s="62">
        <f ca="1">AVERAGE(OFFSET($DS$3,0,0,'Données projet'!$E$14+1,1))-AVERAGE(OFFSET($H$3,0,0,'Données projet'!$E$14+1,1))</f>
        <v>485.18236169209541</v>
      </c>
      <c r="DU25" s="62">
        <f t="shared" si="44"/>
        <v>417.30339652956951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16.8</v>
      </c>
      <c r="EJ25" s="13">
        <f>IF('Données projet'!$A$192&gt;35,EJ24+EI25-ER24,IF(A25&lt;'Données projet'!$A$192,$EG$205^A25,IF(A25='Données projet'!$A$192,'Données projet'!$B$192,EJ24+EI25-ER24)))</f>
        <v>114.60000000000001</v>
      </c>
      <c r="EK25" s="18">
        <f>EJ25*VLOOKUP('Données projet'!$B$15,Paramètres!$A$1:$I$89,3,0)*VLOOKUP('Données projet'!$B$15,Paramètres!$A$1:$I$89,5,0)</f>
        <v>91.175760000000011</v>
      </c>
      <c r="EL25" s="14">
        <f t="shared" si="45"/>
        <v>24.848575433138123</v>
      </c>
      <c r="EM25" s="22">
        <f t="shared" si="19"/>
        <v>202.07571754604893</v>
      </c>
      <c r="EN25" s="62">
        <f t="shared" si="20"/>
        <v>485.63127310160451</v>
      </c>
      <c r="EO25" s="62">
        <f ca="1">AVERAGE(OFFSET($EN$3,0,0,'Données projet'!$E$15+1,1))-AVERAGE(OFFSET($H$3,0,0,'Données projet'!$E$15+1,1))</f>
        <v>427.78067187784063</v>
      </c>
      <c r="EP25" s="62">
        <f t="shared" si="46"/>
        <v>464.22892523825118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2.8518518518518516</v>
      </c>
      <c r="FE25" s="13">
        <f>IF('Données projet'!$A$218&gt;35,FE24+FD25-FM24,IF(A25&lt;'Données projet'!$A$218,$FB$205^A25,IF(A25='Données projet'!$A$218,'Données projet'!$B$218,FE24+FD25-FM24)))</f>
        <v>34.446142261782732</v>
      </c>
      <c r="FF25" s="18">
        <f>FE25*VLOOKUP('Données projet'!$B$16,Paramètres!$A$1:$I$89,3,0)*VLOOKUP('Données projet'!$B$16,Paramètres!$A$1:$I$89,5,0)</f>
        <v>29.554790060609587</v>
      </c>
      <c r="FG25" s="14">
        <f t="shared" si="47"/>
        <v>9.1833018277304088</v>
      </c>
      <c r="FH25" s="22">
        <f t="shared" si="22"/>
        <v>67.468843372192154</v>
      </c>
      <c r="FI25" s="62">
        <f t="shared" si="23"/>
        <v>351.02439892774771</v>
      </c>
      <c r="FJ25" s="62">
        <f ca="1">AVERAGE(OFFSET($FI$3,0,0,'Données projet'!$E$16+1,1))-AVERAGE(OFFSET($H$3,0,0,'Données projet'!$E$16+1,1))</f>
        <v>448.44001099301806</v>
      </c>
      <c r="FK25" s="62">
        <f t="shared" si="48"/>
        <v>230.82970731138215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11.025641025641031</v>
      </c>
      <c r="FZ25" s="13">
        <f>IF('Données projet'!$A$244&gt;35,FZ24+FY25-GH24,IF(A25&lt;'Données projet'!$A$244,$FW$205^A25,IF(A25='Données projet'!$A$244,'Données projet'!$B$244,FZ24+FY25-GH24)))</f>
        <v>131.66666666666669</v>
      </c>
      <c r="GA25" s="18">
        <f>FZ25*VLOOKUP('Données projet'!$B$17,Paramètres!$A$1:$I$89,3,0)*VLOOKUP('Données projet'!$B$17,Paramètres!$A$1:$I$89,5,0)</f>
        <v>88.322000000000017</v>
      </c>
      <c r="GB25" s="14">
        <f t="shared" si="49"/>
        <v>24.160089587553898</v>
      </c>
      <c r="GC25" s="22">
        <f t="shared" si="25"/>
        <v>195.90630603165638</v>
      </c>
      <c r="GD25" s="62">
        <f t="shared" si="26"/>
        <v>479.46186158721196</v>
      </c>
      <c r="GE25" s="62">
        <f ca="1">AVERAGE(OFFSET($GD$3,0,0,'Données projet'!$E$17+1,1))-AVERAGE(OFFSET($H$3,0,0,'Données projet'!$E$17+1,1))</f>
        <v>408.91016501484626</v>
      </c>
      <c r="GF25" s="62">
        <f t="shared" si="50"/>
        <v>354.22396807666433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7.2</v>
      </c>
      <c r="GU25" s="13">
        <f>IF('Données projet'!$A$270&gt;35,GU24+GT25-HC24,IF(A25&lt;'Données projet'!$A$270,$GR$205^A25,IF(A25='Données projet'!$A$270,'Données projet'!$B$270,GU24+GT25-HC24)))</f>
        <v>87.4</v>
      </c>
      <c r="GV25" s="18">
        <f>GU25*VLOOKUP('Données projet'!$B$18,Paramètres!$A$1:$I$89,3,0)*VLOOKUP('Données projet'!$B$18,Paramètres!$A$1:$I$89,5,0)</f>
        <v>84.533280000000005</v>
      </c>
      <c r="GW25" s="14">
        <f t="shared" si="51"/>
        <v>23.242014012893971</v>
      </c>
      <c r="GX25" s="22">
        <f t="shared" si="28"/>
        <v>187.70863707245701</v>
      </c>
      <c r="GY25" s="62">
        <f t="shared" si="29"/>
        <v>471.26419262801255</v>
      </c>
      <c r="GZ25" s="62">
        <f ca="1">AVERAGE(OFFSET($GY$3,0,0,'Données projet'!$E$18+1,1))-AVERAGE(OFFSET($H$3,0,0,'Données projet'!$E$18+1,1))</f>
        <v>562.69380557620775</v>
      </c>
      <c r="HA25" s="62">
        <f t="shared" si="52"/>
        <v>294.45557293177131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2">
        <f t="shared" si="0"/>
        <v>474.78249759155403</v>
      </c>
      <c r="S26" s="62">
        <f ca="1">AVERAGE(OFFSET($R$3,0,0,'Données projet'!$E$9+1,1))-AVERAGE(OFFSET($H$3,0,0,'Données projet'!$E$9+1,1))</f>
        <v>529.25712986118265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10.6</v>
      </c>
      <c r="AI26" s="14">
        <f>IF('Données projet'!$A$62&gt;35,AI25+AH26-AQ25,IF(A26&lt;'Données projet'!$A$62,$AF$205^A26,IF(A26='Données projet'!$A$62,'Données projet'!$B$62,AI25+AH26-AQ25)))</f>
        <v>119.79999999999997</v>
      </c>
      <c r="AJ26" s="14">
        <f>AI26*VLOOKUP('Données projet'!$B$10,Paramètres!$A$1:$I$89,3,0)*VLOOKUP('Données projet'!$B$10,Paramètres!$A$1:$I$89,5,0)</f>
        <v>93.443999999999974</v>
      </c>
      <c r="AK26" s="14">
        <f t="shared" si="35"/>
        <v>25.394010816431489</v>
      </c>
      <c r="AL26" s="22">
        <f t="shared" si="4"/>
        <v>206.97620217195148</v>
      </c>
      <c r="AM26" s="62">
        <f t="shared" si="5"/>
        <v>491.75397994972923</v>
      </c>
      <c r="AN26" s="62">
        <f ca="1">AVERAGE(OFFSET($AM$3,0,0,'Données projet'!$E$10+1,1))-AVERAGE(OFFSET($H$3,0,0,'Données projet'!$E$10+1,1))</f>
        <v>292.57482726862594</v>
      </c>
      <c r="AO26" s="62">
        <f t="shared" si="36"/>
        <v>283.48738729114024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16.8</v>
      </c>
      <c r="BD26" s="13">
        <f>IF('Données projet'!$A$88&gt;35,BD25+BC26-BL25,IF(A26&lt;'Données projet'!$A$88,$BA$205^A26,IF(A26='Données projet'!$A$88,'Données projet'!$B$88,BD25+BC26-BL25)))</f>
        <v>131.4</v>
      </c>
      <c r="BE26" s="14">
        <f>BD26*VLOOKUP('Données projet'!$B$11,Paramètres!$A$1:$I$89,3,0)*VLOOKUP('Données projet'!$B$11,Paramètres!$A$1:$I$89,5,0)</f>
        <v>96.342480000000009</v>
      </c>
      <c r="BF26" s="14">
        <f t="shared" si="37"/>
        <v>26.088763268244669</v>
      </c>
      <c r="BG26" s="22">
        <f t="shared" si="7"/>
        <v>213.23441535885948</v>
      </c>
      <c r="BH26" s="62">
        <f t="shared" si="8"/>
        <v>498.01219313663728</v>
      </c>
      <c r="BI26" s="62">
        <f ca="1">AVERAGE(OFFSET($BH$3,0,0,'Données projet'!$E$11+1,1))-AVERAGE(OFFSET($H$3,0,0,'Données projet'!$E$11+1,1))</f>
        <v>397.24545766894346</v>
      </c>
      <c r="BJ26" s="62">
        <f t="shared" si="38"/>
        <v>431.44557882369696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9.6</v>
      </c>
      <c r="BY26" s="13">
        <f>IF('Données projet'!$A$114&gt;35,BY25+BX26-CG25,IF(A26&lt;'Données projet'!$A$114,$BV$205^A26,IF(A26='Données projet'!$A$114,'Données projet'!$B$114,BY25+BX26-CG25)))</f>
        <v>133.79999999999998</v>
      </c>
      <c r="BZ26" s="14">
        <f>BY26*VLOOKUP('Données projet'!$B$12,Paramètres!$A$1:$I$89,3,0)*VLOOKUP('Données projet'!$B$12,Paramètres!$A$1:$I$89,5,0)</f>
        <v>87.665759999999992</v>
      </c>
      <c r="CA26" s="14">
        <f t="shared" si="39"/>
        <v>24.001404420225327</v>
      </c>
      <c r="CB26" s="22">
        <f t="shared" si="10"/>
        <v>194.48697803189245</v>
      </c>
      <c r="CC26" s="62">
        <f t="shared" si="11"/>
        <v>479.26475580967019</v>
      </c>
      <c r="CD26" s="62">
        <f ca="1">AVERAGE(OFFSET($CC$3,0,0,'Données projet'!$E$12+1,1))-AVERAGE(OFFSET($H$3,0,0,'Données projet'!$E$12+1,1))</f>
        <v>277.27246253233807</v>
      </c>
      <c r="CE26" s="62">
        <f t="shared" si="40"/>
        <v>269.61868559913404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49.533120000000011</v>
      </c>
      <c r="CV26" s="14">
        <f t="shared" si="41"/>
        <v>14.493120113047395</v>
      </c>
      <c r="CW26" s="22">
        <f t="shared" si="13"/>
        <v>111.5123681968909</v>
      </c>
      <c r="CX26" s="62">
        <f t="shared" si="14"/>
        <v>396.29014597466869</v>
      </c>
      <c r="CY26" s="62">
        <f ca="1">AVERAGE(OFFSET($CX$3,0,0,'Données projet'!$E$13+1,1))-AVERAGE(OFFSET($H$3,0,0,'Données projet'!$E$13+1,1))</f>
        <v>402.15128814037058</v>
      </c>
      <c r="CZ26" s="62">
        <f t="shared" si="42"/>
        <v>232.85411068442738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10.384615384615387</v>
      </c>
      <c r="DO26" s="13">
        <f>IF('Données projet'!$A$166&gt;35,DO25+DN26-DW25,IF(A26&lt;'Données projet'!$A$166,$DL$205^A26,IF(A26='Données projet'!$A$166,'Données projet'!$B$166,DO25+DN26-DW25)))</f>
        <v>116.41025641025641</v>
      </c>
      <c r="DP26" s="18">
        <f>DO26*VLOOKUP('Données projet'!$B$14,Paramètres!$A$1:$I$89,3,0)*VLOOKUP('Données projet'!$B$14,Paramètres!$A$1:$I$89,5,0)</f>
        <v>110.776</v>
      </c>
      <c r="DQ26" s="14">
        <f t="shared" si="43"/>
        <v>29.513741355446193</v>
      </c>
      <c r="DR26" s="22">
        <f t="shared" si="16"/>
        <v>244.3379661940688</v>
      </c>
      <c r="DS26" s="62">
        <f t="shared" si="17"/>
        <v>529.11574397184654</v>
      </c>
      <c r="DT26" s="62">
        <f ca="1">AVERAGE(OFFSET($DS$3,0,0,'Données projet'!$E$14+1,1))-AVERAGE(OFFSET($H$3,0,0,'Données projet'!$E$14+1,1))</f>
        <v>485.18236169209541</v>
      </c>
      <c r="DU26" s="62">
        <f t="shared" si="44"/>
        <v>417.30339652956951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16.8</v>
      </c>
      <c r="EJ26" s="13">
        <f>IF('Données projet'!$A$192&gt;35,EJ25+EI26-ER25,IF(A26&lt;'Données projet'!$A$192,$EG$205^A26,IF(A26='Données projet'!$A$192,'Données projet'!$B$192,EJ25+EI26-ER25)))</f>
        <v>131.4</v>
      </c>
      <c r="EK26" s="18">
        <f>EJ26*VLOOKUP('Données projet'!$B$15,Paramètres!$A$1:$I$89,3,0)*VLOOKUP('Données projet'!$B$15,Paramètres!$A$1:$I$89,5,0)</f>
        <v>104.54184000000002</v>
      </c>
      <c r="EL26" s="14">
        <f t="shared" si="45"/>
        <v>28.041215323191079</v>
      </c>
      <c r="EM26" s="22">
        <f t="shared" si="19"/>
        <v>230.91548802122449</v>
      </c>
      <c r="EN26" s="62">
        <f t="shared" si="20"/>
        <v>515.69326579900223</v>
      </c>
      <c r="EO26" s="62">
        <f ca="1">AVERAGE(OFFSET($EN$3,0,0,'Données projet'!$E$15+1,1))-AVERAGE(OFFSET($H$3,0,0,'Données projet'!$E$15+1,1))</f>
        <v>427.78067187784063</v>
      </c>
      <c r="EP26" s="62">
        <f t="shared" si="46"/>
        <v>464.22892523825118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2.8518518518518516</v>
      </c>
      <c r="FE26" s="13">
        <f>IF('Données projet'!$A$218&gt;35,FE25+FD26-FM25,IF(A26&lt;'Données projet'!$A$218,$FB$205^A26,IF(A26='Données projet'!$A$218,'Données projet'!$B$218,FE25+FD26-FM25)))</f>
        <v>40.458578299039118</v>
      </c>
      <c r="FF26" s="18">
        <f>FE26*VLOOKUP('Données projet'!$B$16,Paramètres!$A$1:$I$89,3,0)*VLOOKUP('Données projet'!$B$16,Paramètres!$A$1:$I$89,5,0)</f>
        <v>34.713460180575566</v>
      </c>
      <c r="FG26" s="14">
        <f t="shared" si="47"/>
        <v>10.586100538092712</v>
      </c>
      <c r="FH26" s="22">
        <f t="shared" si="22"/>
        <v>78.896734918347235</v>
      </c>
      <c r="FI26" s="62">
        <f t="shared" si="23"/>
        <v>363.67451269612502</v>
      </c>
      <c r="FJ26" s="62">
        <f ca="1">AVERAGE(OFFSET($FI$3,0,0,'Données projet'!$E$16+1,1))-AVERAGE(OFFSET($H$3,0,0,'Données projet'!$E$16+1,1))</f>
        <v>448.44001099301806</v>
      </c>
      <c r="FK26" s="62">
        <f t="shared" si="48"/>
        <v>230.82970731138215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11.025641025641031</v>
      </c>
      <c r="FZ26" s="13">
        <f>IF('Données projet'!$A$244&gt;35,FZ25+FY26-GH25,IF(A26&lt;'Données projet'!$A$244,$FW$205^A26,IF(A26='Données projet'!$A$244,'Données projet'!$B$244,FZ25+FY26-GH25)))</f>
        <v>142.69230769230771</v>
      </c>
      <c r="GA26" s="18">
        <f>FZ26*VLOOKUP('Données projet'!$B$17,Paramètres!$A$1:$I$89,3,0)*VLOOKUP('Données projet'!$B$17,Paramètres!$A$1:$I$89,5,0)</f>
        <v>95.718000000000004</v>
      </c>
      <c r="GB26" s="14">
        <f t="shared" si="49"/>
        <v>25.939286357868859</v>
      </c>
      <c r="GC26" s="22">
        <f t="shared" si="25"/>
        <v>211.88644040662157</v>
      </c>
      <c r="GD26" s="62">
        <f t="shared" si="26"/>
        <v>496.66421818439937</v>
      </c>
      <c r="GE26" s="62">
        <f ca="1">AVERAGE(OFFSET($GD$3,0,0,'Données projet'!$E$17+1,1))-AVERAGE(OFFSET($H$3,0,0,'Données projet'!$E$17+1,1))</f>
        <v>408.91016501484626</v>
      </c>
      <c r="GF26" s="62">
        <f t="shared" si="50"/>
        <v>354.22396807666433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7.2</v>
      </c>
      <c r="GU26" s="13">
        <f>IF('Données projet'!$A$270&gt;35,GU25+GT26-HC25,IF(A26&lt;'Données projet'!$A$270,$GR$205^A26,IF(A26='Données projet'!$A$270,'Données projet'!$B$270,GU25+GT26-HC25)))</f>
        <v>94.600000000000009</v>
      </c>
      <c r="GV26" s="18">
        <f>GU26*VLOOKUP('Données projet'!$B$18,Paramètres!$A$1:$I$89,3,0)*VLOOKUP('Données projet'!$B$18,Paramètres!$A$1:$I$89,5,0)</f>
        <v>91.49712000000001</v>
      </c>
      <c r="GW26" s="14">
        <f t="shared" si="51"/>
        <v>24.925946867642839</v>
      </c>
      <c r="GX26" s="22">
        <f t="shared" si="28"/>
        <v>202.77017479447795</v>
      </c>
      <c r="GY26" s="62">
        <f t="shared" si="29"/>
        <v>487.54795257225572</v>
      </c>
      <c r="GZ26" s="62">
        <f ca="1">AVERAGE(OFFSET($GY$3,0,0,'Données projet'!$E$18+1,1))-AVERAGE(OFFSET($H$3,0,0,'Données projet'!$E$18+1,1))</f>
        <v>562.69380557620775</v>
      </c>
      <c r="HA26" s="62">
        <f t="shared" si="52"/>
        <v>294.45557293177131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2">
        <f t="shared" si="0"/>
        <v>490.09151430529414</v>
      </c>
      <c r="S27" s="62">
        <f ca="1">AVERAGE(OFFSET($R$3,0,0,'Données projet'!$E$9+1,1))-AVERAGE(OFFSET($H$3,0,0,'Données projet'!$E$9+1,1))</f>
        <v>529.25712986118265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10.6</v>
      </c>
      <c r="AI27" s="14">
        <f>IF('Données projet'!$A$62&gt;35,AI26+AH27-AQ26,IF(A27&lt;'Données projet'!$A$62,$AF$205^A27,IF(A27='Données projet'!$A$62,'Données projet'!$B$62,AI26+AH27-AQ26)))</f>
        <v>130.39999999999998</v>
      </c>
      <c r="AJ27" s="14">
        <f>AI27*VLOOKUP('Données projet'!$B$10,Paramètres!$A$1:$I$89,3,0)*VLOOKUP('Données projet'!$B$10,Paramètres!$A$1:$I$89,5,0)</f>
        <v>101.71199999999999</v>
      </c>
      <c r="AK27" s="14">
        <f t="shared" si="35"/>
        <v>27.369454120725656</v>
      </c>
      <c r="AL27" s="22">
        <f t="shared" si="4"/>
        <v>224.81686592693052</v>
      </c>
      <c r="AM27" s="62">
        <f t="shared" si="5"/>
        <v>510.81686592693052</v>
      </c>
      <c r="AN27" s="62">
        <f ca="1">AVERAGE(OFFSET($AM$3,0,0,'Données projet'!$E$10+1,1))-AVERAGE(OFFSET($H$3,0,0,'Données projet'!$E$10+1,1))</f>
        <v>292.57482726862594</v>
      </c>
      <c r="AO27" s="62">
        <f t="shared" si="36"/>
        <v>283.48738729114024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16.8</v>
      </c>
      <c r="BD27" s="13">
        <f>IF('Données projet'!$A$88&gt;35,BD26+BC27-BL26,IF(A27&lt;'Données projet'!$A$88,$BA$205^A27,IF(A27='Données projet'!$A$88,'Données projet'!$B$88,BD26+BC27-BL26)))</f>
        <v>148.20000000000002</v>
      </c>
      <c r="BE27" s="14">
        <f>BD27*VLOOKUP('Données projet'!$B$11,Paramètres!$A$1:$I$89,3,0)*VLOOKUP('Données projet'!$B$11,Paramètres!$A$1:$I$89,5,0)</f>
        <v>108.66024000000002</v>
      </c>
      <c r="BF27" s="14">
        <f t="shared" si="37"/>
        <v>29.015101890437414</v>
      </c>
      <c r="BG27" s="22">
        <f t="shared" si="7"/>
        <v>239.78455379251184</v>
      </c>
      <c r="BH27" s="62">
        <f t="shared" si="8"/>
        <v>525.78455379251182</v>
      </c>
      <c r="BI27" s="62">
        <f ca="1">AVERAGE(OFFSET($BH$3,0,0,'Données projet'!$E$11+1,1))-AVERAGE(OFFSET($H$3,0,0,'Données projet'!$E$11+1,1))</f>
        <v>397.24545766894346</v>
      </c>
      <c r="BJ27" s="62">
        <f t="shared" si="38"/>
        <v>431.44557882369696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9.6</v>
      </c>
      <c r="BY27" s="13">
        <f>IF('Données projet'!$A$114&gt;35,BY26+BX27-CG26,IF(A27&lt;'Données projet'!$A$114,$BV$205^A27,IF(A27='Données projet'!$A$114,'Données projet'!$B$114,BY26+BX27-CG26)))</f>
        <v>143.39999999999998</v>
      </c>
      <c r="BZ27" s="14">
        <f>BY27*VLOOKUP('Données projet'!$B$12,Paramètres!$A$1:$I$89,3,0)*VLOOKUP('Données projet'!$B$12,Paramètres!$A$1:$I$89,5,0)</f>
        <v>93.955679999999987</v>
      </c>
      <c r="CA27" s="14">
        <f t="shared" si="39"/>
        <v>25.516838392731955</v>
      </c>
      <c r="CB27" s="22">
        <f t="shared" si="10"/>
        <v>208.08130286734146</v>
      </c>
      <c r="CC27" s="62">
        <f t="shared" si="11"/>
        <v>494.08130286734149</v>
      </c>
      <c r="CD27" s="62">
        <f ca="1">AVERAGE(OFFSET($CC$3,0,0,'Données projet'!$E$12+1,1))-AVERAGE(OFFSET($H$3,0,0,'Données projet'!$E$12+1,1))</f>
        <v>277.27246253233807</v>
      </c>
      <c r="CE27" s="62">
        <f t="shared" si="40"/>
        <v>269.61868559913404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54.250560000000007</v>
      </c>
      <c r="CV27" s="14">
        <f t="shared" si="41"/>
        <v>15.706218631166928</v>
      </c>
      <c r="CW27" s="22">
        <f t="shared" si="13"/>
        <v>121.84138944928242</v>
      </c>
      <c r="CX27" s="62">
        <f t="shared" si="14"/>
        <v>407.84138944928242</v>
      </c>
      <c r="CY27" s="62">
        <f ca="1">AVERAGE(OFFSET($CX$3,0,0,'Données projet'!$E$13+1,1))-AVERAGE(OFFSET($H$3,0,0,'Données projet'!$E$13+1,1))</f>
        <v>402.15128814037058</v>
      </c>
      <c r="CZ27" s="62">
        <f t="shared" si="42"/>
        <v>232.85411068442738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10.384615384615387</v>
      </c>
      <c r="DO27" s="13">
        <f>IF('Données projet'!$A$166&gt;35,DO26+DN27-DW26,IF(A27&lt;'Données projet'!$A$166,$DL$205^A27,IF(A27='Données projet'!$A$166,'Données projet'!$B$166,DO26+DN27-DW26)))</f>
        <v>126.7948717948718</v>
      </c>
      <c r="DP27" s="18">
        <f>DO27*VLOOKUP('Données projet'!$B$14,Paramètres!$A$1:$I$89,3,0)*VLOOKUP('Données projet'!$B$14,Paramètres!$A$1:$I$89,5,0)</f>
        <v>120.658</v>
      </c>
      <c r="DQ27" s="14">
        <f t="shared" si="43"/>
        <v>31.828418112039433</v>
      </c>
      <c r="DR27" s="22">
        <f t="shared" si="16"/>
        <v>265.58051154513532</v>
      </c>
      <c r="DS27" s="62">
        <f t="shared" si="17"/>
        <v>551.58051154513532</v>
      </c>
      <c r="DT27" s="62">
        <f ca="1">AVERAGE(OFFSET($DS$3,0,0,'Données projet'!$E$14+1,1))-AVERAGE(OFFSET($H$3,0,0,'Données projet'!$E$14+1,1))</f>
        <v>485.18236169209541</v>
      </c>
      <c r="DU27" s="62">
        <f t="shared" si="44"/>
        <v>417.30339652956951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16.8</v>
      </c>
      <c r="EJ27" s="13">
        <f>IF('Données projet'!$A$192&gt;35,EJ26+EI27-ER26,IF(A27&lt;'Données projet'!$A$192,$EG$205^A27,IF(A27='Données projet'!$A$192,'Données projet'!$B$192,EJ26+EI27-ER26)))</f>
        <v>148.20000000000002</v>
      </c>
      <c r="EK27" s="18">
        <f>EJ27*VLOOKUP('Données projet'!$B$15,Paramètres!$A$1:$I$89,3,0)*VLOOKUP('Données projet'!$B$15,Paramètres!$A$1:$I$89,5,0)</f>
        <v>117.90792000000002</v>
      </c>
      <c r="EL27" s="14">
        <f t="shared" si="45"/>
        <v>31.186557651984323</v>
      </c>
      <c r="EM27" s="22">
        <f t="shared" si="19"/>
        <v>259.67288191053939</v>
      </c>
      <c r="EN27" s="62">
        <f t="shared" si="20"/>
        <v>545.67288191053945</v>
      </c>
      <c r="EO27" s="62">
        <f ca="1">AVERAGE(OFFSET($EN$3,0,0,'Données projet'!$E$15+1,1))-AVERAGE(OFFSET($H$3,0,0,'Données projet'!$E$15+1,1))</f>
        <v>427.78067187784063</v>
      </c>
      <c r="EP27" s="62">
        <f t="shared" si="46"/>
        <v>464.22892523825118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2.8518518518518516</v>
      </c>
      <c r="FE27" s="13">
        <f>IF('Données projet'!$A$218&gt;35,FE26+FD27-FM26,IF(A27&lt;'Données projet'!$A$218,$FB$205^A27,IF(A27='Données projet'!$A$218,'Données projet'!$B$218,FE26+FD27-FM26)))</f>
        <v>47.520460942750645</v>
      </c>
      <c r="FF27" s="18">
        <f>FE27*VLOOKUP('Données projet'!$B$16,Paramètres!$A$1:$I$89,3,0)*VLOOKUP('Données projet'!$B$16,Paramètres!$A$1:$I$89,5,0)</f>
        <v>40.772555488880059</v>
      </c>
      <c r="FG27" s="14">
        <f t="shared" si="47"/>
        <v>12.203184290884069</v>
      </c>
      <c r="FH27" s="22">
        <f t="shared" si="22"/>
        <v>92.266080116422515</v>
      </c>
      <c r="FI27" s="62">
        <f t="shared" si="23"/>
        <v>378.26608011642253</v>
      </c>
      <c r="FJ27" s="62">
        <f ca="1">AVERAGE(OFFSET($FI$3,0,0,'Données projet'!$E$16+1,1))-AVERAGE(OFFSET($H$3,0,0,'Données projet'!$E$16+1,1))</f>
        <v>448.44001099301806</v>
      </c>
      <c r="FK27" s="62">
        <f t="shared" si="48"/>
        <v>230.82970731138215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11.025641025641031</v>
      </c>
      <c r="FZ27" s="13">
        <f>IF('Données projet'!$A$244&gt;35,FZ26+FY27-GH26,IF(A27&lt;'Données projet'!$A$244,$FW$205^A27,IF(A27='Données projet'!$A$244,'Données projet'!$B$244,FZ26+FY27-GH26)))</f>
        <v>153.71794871794873</v>
      </c>
      <c r="GA27" s="18">
        <f>FZ27*VLOOKUP('Données projet'!$B$17,Paramètres!$A$1:$I$89,3,0)*VLOOKUP('Données projet'!$B$17,Paramètres!$A$1:$I$89,5,0)</f>
        <v>103.114</v>
      </c>
      <c r="GB27" s="14">
        <f t="shared" si="49"/>
        <v>27.70253591395846</v>
      </c>
      <c r="GC27" s="22">
        <f t="shared" si="25"/>
        <v>227.8388000501443</v>
      </c>
      <c r="GD27" s="62">
        <f t="shared" si="26"/>
        <v>513.8388000501443</v>
      </c>
      <c r="GE27" s="62">
        <f ca="1">AVERAGE(OFFSET($GD$3,0,0,'Données projet'!$E$17+1,1))-AVERAGE(OFFSET($H$3,0,0,'Données projet'!$E$17+1,1))</f>
        <v>408.91016501484626</v>
      </c>
      <c r="GF27" s="62">
        <f t="shared" si="50"/>
        <v>354.22396807666433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7.2</v>
      </c>
      <c r="GU27" s="13">
        <f>IF('Données projet'!$A$270&gt;35,GU26+GT27-HC26,IF(A27&lt;'Données projet'!$A$270,$GR$205^A27,IF(A27='Données projet'!$A$270,'Données projet'!$B$270,GU26+GT27-HC26)))</f>
        <v>101.80000000000001</v>
      </c>
      <c r="GV27" s="18">
        <f>GU27*VLOOKUP('Données projet'!$B$18,Paramètres!$A$1:$I$89,3,0)*VLOOKUP('Données projet'!$B$18,Paramètres!$A$1:$I$89,5,0)</f>
        <v>98.460960000000014</v>
      </c>
      <c r="GW27" s="14">
        <f t="shared" si="51"/>
        <v>26.595012174033403</v>
      </c>
      <c r="GX27" s="22">
        <f t="shared" si="28"/>
        <v>217.80581820310817</v>
      </c>
      <c r="GY27" s="62">
        <f t="shared" si="29"/>
        <v>503.80581820310817</v>
      </c>
      <c r="GZ27" s="62">
        <f ca="1">AVERAGE(OFFSET($GY$3,0,0,'Données projet'!$E$18+1,1))-AVERAGE(OFFSET($H$3,0,0,'Données projet'!$E$18+1,1))</f>
        <v>562.69380557620775</v>
      </c>
      <c r="HA27" s="62">
        <f t="shared" si="52"/>
        <v>294.45557293177131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2">
        <f t="shared" si="0"/>
        <v>505.37804153496802</v>
      </c>
      <c r="S28" s="62">
        <f ca="1">AVERAGE(OFFSET($R$3,0,0,'Données projet'!$E$9+1,1))-AVERAGE(OFFSET($H$3,0,0,'Données projet'!$E$9+1,1))</f>
        <v>529.25712986118265</v>
      </c>
      <c r="T28" s="62">
        <f t="shared" si="34"/>
        <v>278.21741231699929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141</v>
      </c>
      <c r="AG28" s="13">
        <f>VLOOKUP(A28,'Données projet'!$A$61:$I$81,9,0)</f>
        <v>10.6</v>
      </c>
      <c r="AH28" s="13">
        <f t="array" ref="AH28">INDEX(AG:AG,MIN(IF(ISNUMBER(AG28:AG224),ROW(AG28:AG224),"")))</f>
        <v>10.6</v>
      </c>
      <c r="AI28" s="14">
        <f>IF('Données projet'!$A$62&gt;35,AI27+AH28-AQ27,IF(A28&lt;'Données projet'!$A$62,$AF$205^A28,IF(A28='Données projet'!$A$62,'Données projet'!$B$62,AI27+AH28-AQ27)))</f>
        <v>140.99999999999997</v>
      </c>
      <c r="AJ28" s="14">
        <f>AI28*VLOOKUP('Données projet'!$B$10,Paramètres!$A$1:$I$89,3,0)*VLOOKUP('Données projet'!$B$10,Paramètres!$A$1:$I$89,5,0)</f>
        <v>109.97999999999998</v>
      </c>
      <c r="AK28" s="14">
        <f t="shared" si="35"/>
        <v>29.326272366698234</v>
      </c>
      <c r="AL28" s="22">
        <f t="shared" si="4"/>
        <v>242.62509103866606</v>
      </c>
      <c r="AM28" s="62">
        <f t="shared" si="5"/>
        <v>529.84731326088831</v>
      </c>
      <c r="AN28" s="62">
        <f ca="1">AVERAGE(OFFSET($AM$3,0,0,'Données projet'!$E$10+1,1))-AVERAGE(OFFSET($H$3,0,0,'Données projet'!$E$10+1,1))</f>
        <v>292.57482726862594</v>
      </c>
      <c r="AO28" s="62">
        <f t="shared" si="36"/>
        <v>283.48738729114024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55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165</v>
      </c>
      <c r="BB28" s="13">
        <f>VLOOKUP(A28,'Données projet'!$A$87:$I$107,9,0)</f>
        <v>16.8</v>
      </c>
      <c r="BC28" s="13">
        <f t="array" ref="BC28">INDEX(BB:BB,MIN(IF(ISNUMBER(BB28:BB224),ROW(BB28:BB224),"")))</f>
        <v>16.8</v>
      </c>
      <c r="BD28" s="13">
        <f>IF('Données projet'!$A$88&gt;35,BD27+BC28-BL27,IF(A28&lt;'Données projet'!$A$88,$BA$205^A28,IF(A28='Données projet'!$A$88,'Données projet'!$B$88,BD27+BC28-BL27)))</f>
        <v>165.00000000000003</v>
      </c>
      <c r="BE28" s="14">
        <f>BD28*VLOOKUP('Données projet'!$B$11,Paramètres!$A$1:$I$89,3,0)*VLOOKUP('Données projet'!$B$11,Paramètres!$A$1:$I$89,5,0)</f>
        <v>120.97800000000002</v>
      </c>
      <c r="BF28" s="14">
        <f t="shared" si="37"/>
        <v>31.902993864447531</v>
      </c>
      <c r="BG28" s="22">
        <f t="shared" si="7"/>
        <v>266.26773098057953</v>
      </c>
      <c r="BH28" s="62">
        <f t="shared" si="8"/>
        <v>553.48995320280176</v>
      </c>
      <c r="BI28" s="62">
        <f ca="1">AVERAGE(OFFSET($BH$3,0,0,'Données projet'!$E$11+1,1))-AVERAGE(OFFSET($H$3,0,0,'Données projet'!$E$11+1,1))</f>
        <v>397.24545766894346</v>
      </c>
      <c r="BJ28" s="62">
        <f t="shared" si="38"/>
        <v>431.44557882369696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153</v>
      </c>
      <c r="BW28" s="13">
        <f>VLOOKUP(A28,'Données projet'!$A$113:$I$133,9,0)</f>
        <v>9.6</v>
      </c>
      <c r="BX28" s="13">
        <f t="array" ref="BX28">INDEX(BW:BW,MIN(IF(ISNUMBER(BW28:BW224),ROW(BW28:BW224),"")))</f>
        <v>9.6</v>
      </c>
      <c r="BY28" s="13">
        <f>IF('Données projet'!$A$114&gt;35,BY27+BX28-CG27,IF(A28&lt;'Données projet'!$A$114,$BV$205^A28,IF(A28='Données projet'!$A$114,'Données projet'!$B$114,BY27+BX28-CG27)))</f>
        <v>152.99999999999997</v>
      </c>
      <c r="BZ28" s="14">
        <f>BY28*VLOOKUP('Données projet'!$B$12,Paramètres!$A$1:$I$89,3,0)*VLOOKUP('Données projet'!$B$12,Paramètres!$A$1:$I$89,5,0)</f>
        <v>100.2456</v>
      </c>
      <c r="CA28" s="14">
        <f t="shared" si="39"/>
        <v>27.020500005754936</v>
      </c>
      <c r="CB28" s="22">
        <f t="shared" si="10"/>
        <v>221.65512417668984</v>
      </c>
      <c r="CC28" s="62">
        <f t="shared" si="11"/>
        <v>508.8773463989121</v>
      </c>
      <c r="CD28" s="62">
        <f ca="1">AVERAGE(OFFSET($CC$3,0,0,'Données projet'!$E$12+1,1))-AVERAGE(OFFSET($H$3,0,0,'Données projet'!$E$12+1,1))</f>
        <v>277.27246253233807</v>
      </c>
      <c r="CE28" s="62">
        <f t="shared" si="40"/>
        <v>269.61868559913404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36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58.968000000000011</v>
      </c>
      <c r="CV28" s="14">
        <f t="shared" si="41"/>
        <v>16.907084152971134</v>
      </c>
      <c r="CW28" s="22">
        <f t="shared" si="13"/>
        <v>132.14910489975807</v>
      </c>
      <c r="CX28" s="62">
        <f t="shared" si="14"/>
        <v>419.3713271219803</v>
      </c>
      <c r="CY28" s="62">
        <f ca="1">AVERAGE(OFFSET($CX$3,0,0,'Données projet'!$E$13+1,1))-AVERAGE(OFFSET($H$3,0,0,'Données projet'!$E$13+1,1))</f>
        <v>402.15128814037058</v>
      </c>
      <c r="CZ28" s="62">
        <f t="shared" si="42"/>
        <v>232.85411068442738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137.17948717948718</v>
      </c>
      <c r="DM28" s="13">
        <f>VLOOKUP(A28,'Données projet'!$A$165:$I$185,9,0)</f>
        <v>10.384615384615387</v>
      </c>
      <c r="DN28" s="13">
        <f t="array" ref="DN28">INDEX(DM:DM,MIN(IF(ISNUMBER(DM28:DM224),ROW(DM28:DM224),"")))</f>
        <v>10.384615384615387</v>
      </c>
      <c r="DO28" s="13">
        <f>IF('Données projet'!$A$166&gt;35,DO27+DN28-DW27,IF(A28&lt;'Données projet'!$A$166,$DL$205^A28,IF(A28='Données projet'!$A$166,'Données projet'!$B$166,DO27+DN28-DW27)))</f>
        <v>137.17948717948718</v>
      </c>
      <c r="DP28" s="18">
        <f>DO28*VLOOKUP('Données projet'!$B$14,Paramètres!$A$1:$I$89,3,0)*VLOOKUP('Données projet'!$B$14,Paramètres!$A$1:$I$89,5,0)</f>
        <v>130.54000000000002</v>
      </c>
      <c r="DQ28" s="14">
        <f t="shared" si="43"/>
        <v>34.121107358490349</v>
      </c>
      <c r="DR28" s="22">
        <f t="shared" si="16"/>
        <v>286.78476198270408</v>
      </c>
      <c r="DS28" s="62">
        <f t="shared" si="17"/>
        <v>574.00698420492631</v>
      </c>
      <c r="DT28" s="62">
        <f ca="1">AVERAGE(OFFSET($DS$3,0,0,'Données projet'!$E$14+1,1))-AVERAGE(OFFSET($H$3,0,0,'Données projet'!$E$14+1,1))</f>
        <v>485.18236169209541</v>
      </c>
      <c r="DU28" s="62">
        <f t="shared" si="44"/>
        <v>417.30339652956951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165</v>
      </c>
      <c r="EH28" s="13">
        <f>VLOOKUP(A28,'Données projet'!$A$191:$I$211,9,0)</f>
        <v>16.8</v>
      </c>
      <c r="EI28" s="13">
        <f t="array" ref="EI28">INDEX(EH:EH,MIN(IF(ISNUMBER(EH28:EH224),ROW(EH28:EH224),"")))</f>
        <v>16.8</v>
      </c>
      <c r="EJ28" s="13">
        <f>IF('Données projet'!$A$192&gt;35,EJ27+EI28-ER27,IF(A28&lt;'Données projet'!$A$192,$EG$205^A28,IF(A28='Données projet'!$A$192,'Données projet'!$B$192,EJ27+EI28-ER27)))</f>
        <v>165.00000000000003</v>
      </c>
      <c r="EK28" s="18">
        <f>EJ28*VLOOKUP('Données projet'!$B$15,Paramètres!$A$1:$I$89,3,0)*VLOOKUP('Données projet'!$B$15,Paramètres!$A$1:$I$89,5,0)</f>
        <v>131.27400000000003</v>
      </c>
      <c r="EL28" s="14">
        <f t="shared" si="45"/>
        <v>34.290576031111669</v>
      </c>
      <c r="EM28" s="22">
        <f t="shared" si="19"/>
        <v>288.35830325418618</v>
      </c>
      <c r="EN28" s="62">
        <f t="shared" si="20"/>
        <v>575.58052547640841</v>
      </c>
      <c r="EO28" s="62">
        <f ca="1">AVERAGE(OFFSET($EN$3,0,0,'Données projet'!$E$15+1,1))-AVERAGE(OFFSET($H$3,0,0,'Données projet'!$E$15+1,1))</f>
        <v>427.78067187784063</v>
      </c>
      <c r="EP28" s="62">
        <f t="shared" si="46"/>
        <v>464.22892523825118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2.8518518518518516</v>
      </c>
      <c r="FE28" s="13">
        <f>IF('Données projet'!$A$218&gt;35,FE27+FD28-FM27,IF(A28&lt;'Données projet'!$A$218,$FB$205^A28,IF(A28='Données projet'!$A$218,'Données projet'!$B$218,FE27+FD28-FM27)))</f>
        <v>55.81496689084404</v>
      </c>
      <c r="FF28" s="18">
        <f>FE28*VLOOKUP('Données projet'!$B$16,Paramètres!$A$1:$I$89,3,0)*VLOOKUP('Données projet'!$B$16,Paramètres!$A$1:$I$89,5,0)</f>
        <v>47.889241592344192</v>
      </c>
      <c r="FG28" s="14">
        <f t="shared" si="47"/>
        <v>14.067286278022651</v>
      </c>
      <c r="FH28" s="22">
        <f t="shared" si="22"/>
        <v>107.90761937422224</v>
      </c>
      <c r="FI28" s="62">
        <f t="shared" si="23"/>
        <v>395.12984159644446</v>
      </c>
      <c r="FJ28" s="62">
        <f ca="1">AVERAGE(OFFSET($FI$3,0,0,'Données projet'!$E$16+1,1))-AVERAGE(OFFSET($H$3,0,0,'Données projet'!$E$16+1,1))</f>
        <v>448.44001099301806</v>
      </c>
      <c r="FK28" s="62">
        <f t="shared" si="48"/>
        <v>230.82970731138215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164.74358974358975</v>
      </c>
      <c r="FX28" s="13">
        <f>VLOOKUP(A28,'Données projet'!$A$243:$I$263,9,0)</f>
        <v>11.025641025641031</v>
      </c>
      <c r="FY28" s="13">
        <f t="array" ref="FY28">INDEX(FX:FX,MIN(IF(ISNUMBER(FX28:FX224),ROW(FX28:FX224),"")))</f>
        <v>11.025641025641031</v>
      </c>
      <c r="FZ28" s="13">
        <f>IF('Données projet'!$A$244&gt;35,FZ27+FY28-GH27,IF(A28&lt;'Données projet'!$A$244,$FW$205^A28,IF(A28='Données projet'!$A$244,'Données projet'!$B$244,FZ27+FY28-GH27)))</f>
        <v>164.74358974358975</v>
      </c>
      <c r="GA28" s="18">
        <f>FZ28*VLOOKUP('Données projet'!$B$17,Paramètres!$A$1:$I$89,3,0)*VLOOKUP('Données projet'!$B$17,Paramètres!$A$1:$I$89,5,0)</f>
        <v>110.51</v>
      </c>
      <c r="GB28" s="14">
        <f t="shared" si="49"/>
        <v>29.45111218268562</v>
      </c>
      <c r="GC28" s="22">
        <f t="shared" si="25"/>
        <v>243.7656037181774</v>
      </c>
      <c r="GD28" s="62">
        <f t="shared" si="26"/>
        <v>530.9878259403996</v>
      </c>
      <c r="GE28" s="62">
        <f ca="1">AVERAGE(OFFSET($GD$3,0,0,'Données projet'!$E$17+1,1))-AVERAGE(OFFSET($H$3,0,0,'Données projet'!$E$17+1,1))</f>
        <v>408.91016501484626</v>
      </c>
      <c r="GF28" s="62">
        <f t="shared" si="50"/>
        <v>354.22396807666433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109</v>
      </c>
      <c r="GS28" s="13">
        <f>VLOOKUP(A28,'Données projet'!$A$269:$I$289,9,0)</f>
        <v>7.2</v>
      </c>
      <c r="GT28" s="13">
        <f t="array" ref="GT28">INDEX(GS:GS,MIN(IF(ISNUMBER(GS28:GS224),ROW(GS28:GS224),"")))</f>
        <v>7.2</v>
      </c>
      <c r="GU28" s="13">
        <f>IF('Données projet'!$A$270&gt;35,GU27+GT28-HC27,IF(A28&lt;'Données projet'!$A$270,$GR$205^A28,IF(A28='Données projet'!$A$270,'Données projet'!$B$270,GU27+GT28-HC27)))</f>
        <v>109.00000000000001</v>
      </c>
      <c r="GV28" s="18">
        <f>GU28*VLOOKUP('Données projet'!$B$18,Paramètres!$A$1:$I$89,3,0)*VLOOKUP('Données projet'!$B$18,Paramètres!$A$1:$I$89,5,0)</f>
        <v>105.42480000000002</v>
      </c>
      <c r="GW28" s="14">
        <f t="shared" si="51"/>
        <v>28.250381069605584</v>
      </c>
      <c r="GX28" s="22">
        <f t="shared" si="28"/>
        <v>232.81760702956308</v>
      </c>
      <c r="GY28" s="62">
        <f t="shared" si="29"/>
        <v>520.03982925178525</v>
      </c>
      <c r="GZ28" s="62">
        <f ca="1">AVERAGE(OFFSET($GY$3,0,0,'Données projet'!$E$18+1,1))-AVERAGE(OFFSET($H$3,0,0,'Données projet'!$E$18+1,1))</f>
        <v>562.69380557620775</v>
      </c>
      <c r="HA28" s="62">
        <f t="shared" si="52"/>
        <v>294.45557293177131</v>
      </c>
      <c r="HB28" s="16">
        <f>IF(ISNA(VLOOKUP(A28,'Données projet'!$A$269:$I$289,3,0)),0,VLOOKUP(A28,'Données projet'!$A$269:$I$289,3,0))</f>
        <v>1</v>
      </c>
      <c r="HC28" s="16">
        <f>IF(ISNA(VLOOKUP(A28,'Données projet'!$A$269:$I$289,4,0)),0,VLOOKUP(A28,'Données projet'!$A$269:$I$289,4,0))</f>
        <v>34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529.25712986118265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11.5</v>
      </c>
      <c r="AI29" s="14">
        <f>IF('Données projet'!$A$62&gt;35,AI28+AH29-AQ28,IF(A29&lt;'Données projet'!$A$62,$AF$205^A29,IF(A29='Données projet'!$A$62,'Données projet'!$B$62,AI28+AH29-AQ28)))</f>
        <v>97.499999999999972</v>
      </c>
      <c r="AJ29" s="14">
        <f>AI29*VLOOKUP('Données projet'!$B$10,Paramètres!$A$1:$I$89,3,0)*VLOOKUP('Données projet'!$B$10,Paramètres!$A$1:$I$89,5,0)</f>
        <v>76.049999999999983</v>
      </c>
      <c r="AK29" s="14">
        <f t="shared" si="35"/>
        <v>21.168560890749262</v>
      </c>
      <c r="AL29" s="22">
        <f t="shared" si="4"/>
        <v>169.32232688472158</v>
      </c>
      <c r="AM29" s="62">
        <f t="shared" si="5"/>
        <v>457.76677132916603</v>
      </c>
      <c r="AN29" s="62">
        <f ca="1">AVERAGE(OFFSET($AM$3,0,0,'Données projet'!$E$10+1,1))-AVERAGE(OFFSET($H$3,0,0,'Données projet'!$E$10+1,1))</f>
        <v>292.57482726862594</v>
      </c>
      <c r="AO29" s="62">
        <f t="shared" si="36"/>
        <v>283.48738729114024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16.399999999999999</v>
      </c>
      <c r="BD29" s="13">
        <f>IF('Données projet'!$A$88&gt;35,BD28+BC29-BL28,IF(A29&lt;'Données projet'!$A$88,$BA$205^A29,IF(A29='Données projet'!$A$88,'Données projet'!$B$88,BD28+BC29-BL28)))</f>
        <v>181.40000000000003</v>
      </c>
      <c r="BE29" s="14">
        <f>BD29*VLOOKUP('Données projet'!$B$11,Paramètres!$A$1:$I$89,3,0)*VLOOKUP('Données projet'!$B$11,Paramètres!$A$1:$I$89,5,0)</f>
        <v>133.00248000000002</v>
      </c>
      <c r="BF29" s="14">
        <f t="shared" si="37"/>
        <v>34.689219647231226</v>
      </c>
      <c r="BG29" s="22">
        <f t="shared" si="7"/>
        <v>292.06304355226109</v>
      </c>
      <c r="BH29" s="62">
        <f t="shared" si="8"/>
        <v>580.50748799670555</v>
      </c>
      <c r="BI29" s="62">
        <f ca="1">AVERAGE(OFFSET($BH$3,0,0,'Données projet'!$E$11+1,1))-AVERAGE(OFFSET($H$3,0,0,'Données projet'!$E$11+1,1))</f>
        <v>397.24545766894346</v>
      </c>
      <c r="BJ29" s="62">
        <f t="shared" si="38"/>
        <v>431.44557882369696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8.8000000000000007</v>
      </c>
      <c r="BY29" s="13">
        <f>IF('Données projet'!$A$114&gt;35,BY28+BX29-CG28,IF(A29&lt;'Données projet'!$A$114,$BV$205^A29,IF(A29='Données projet'!$A$114,'Données projet'!$B$114,BY28+BX29-CG28)))</f>
        <v>125.79999999999998</v>
      </c>
      <c r="BZ29" s="14">
        <f>BY29*VLOOKUP('Données projet'!$B$12,Paramètres!$A$1:$I$89,3,0)*VLOOKUP('Données projet'!$B$12,Paramètres!$A$1:$I$89,5,0)</f>
        <v>82.424159999999986</v>
      </c>
      <c r="CA29" s="14">
        <f t="shared" si="39"/>
        <v>22.728870146421784</v>
      </c>
      <c r="CB29" s="22">
        <f t="shared" si="10"/>
        <v>183.14152750501788</v>
      </c>
      <c r="CC29" s="62">
        <f t="shared" si="11"/>
        <v>471.58597194946231</v>
      </c>
      <c r="CD29" s="62">
        <f ca="1">AVERAGE(OFFSET($CC$3,0,0,'Données projet'!$E$12+1,1))-AVERAGE(OFFSET($H$3,0,0,'Données projet'!$E$12+1,1))</f>
        <v>277.27246253233807</v>
      </c>
      <c r="CE29" s="62">
        <f t="shared" si="40"/>
        <v>269.61868559913404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64.864800000000017</v>
      </c>
      <c r="CV29" s="14">
        <f t="shared" si="41"/>
        <v>18.392606985756636</v>
      </c>
      <c r="CW29" s="22">
        <f t="shared" si="13"/>
        <v>145.00665050019282</v>
      </c>
      <c r="CX29" s="62">
        <f t="shared" si="14"/>
        <v>433.45109494463725</v>
      </c>
      <c r="CY29" s="62">
        <f ca="1">AVERAGE(OFFSET($CX$3,0,0,'Données projet'!$E$13+1,1))-AVERAGE(OFFSET($H$3,0,0,'Données projet'!$E$13+1,1))</f>
        <v>402.15128814037058</v>
      </c>
      <c r="CZ29" s="62">
        <f t="shared" si="42"/>
        <v>232.85411068442738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9.2307692307692264</v>
      </c>
      <c r="DO29" s="13">
        <f>IF('Données projet'!$A$166&gt;35,DO28+DN29-DW28,IF(A29&lt;'Données projet'!$A$166,$DL$205^A29,IF(A29='Données projet'!$A$166,'Données projet'!$B$166,DO28+DN29-DW28)))</f>
        <v>146.41025641025641</v>
      </c>
      <c r="DP29" s="18">
        <f>DO29*VLOOKUP('Données projet'!$B$14,Paramètres!$A$1:$I$89,3,0)*VLOOKUP('Données projet'!$B$14,Paramètres!$A$1:$I$89,5,0)</f>
        <v>139.32400000000001</v>
      </c>
      <c r="DQ29" s="14">
        <f t="shared" si="43"/>
        <v>36.142099789520231</v>
      </c>
      <c r="DR29" s="22">
        <f t="shared" si="16"/>
        <v>305.60345713341434</v>
      </c>
      <c r="DS29" s="62">
        <f t="shared" si="17"/>
        <v>594.04790157785874</v>
      </c>
      <c r="DT29" s="62">
        <f ca="1">AVERAGE(OFFSET($DS$3,0,0,'Données projet'!$E$14+1,1))-AVERAGE(OFFSET($H$3,0,0,'Données projet'!$E$14+1,1))</f>
        <v>485.18236169209541</v>
      </c>
      <c r="DU29" s="62">
        <f t="shared" si="44"/>
        <v>417.30339652956951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16.399999999999999</v>
      </c>
      <c r="EJ29" s="13">
        <f>IF('Données projet'!$A$192&gt;35,EJ28+EI29-ER28,IF(A29&lt;'Données projet'!$A$192,$EG$205^A29,IF(A29='Données projet'!$A$192,'Données projet'!$B$192,EJ28+EI29-ER28)))</f>
        <v>181.40000000000003</v>
      </c>
      <c r="EK29" s="18">
        <f>EJ29*VLOOKUP('Données projet'!$B$15,Paramètres!$A$1:$I$89,3,0)*VLOOKUP('Données projet'!$B$15,Paramètres!$A$1:$I$89,5,0)</f>
        <v>144.32184000000004</v>
      </c>
      <c r="EL29" s="14">
        <f t="shared" si="45"/>
        <v>37.285319642019559</v>
      </c>
      <c r="EM29" s="22">
        <f t="shared" si="19"/>
        <v>316.29913637651748</v>
      </c>
      <c r="EN29" s="62">
        <f t="shared" si="20"/>
        <v>604.74358082096194</v>
      </c>
      <c r="EO29" s="62">
        <f ca="1">AVERAGE(OFFSET($EN$3,0,0,'Données projet'!$E$15+1,1))-AVERAGE(OFFSET($H$3,0,0,'Données projet'!$E$15+1,1))</f>
        <v>427.78067187784063</v>
      </c>
      <c r="EP29" s="62">
        <f t="shared" si="46"/>
        <v>464.22892523825118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2.8518518518518516</v>
      </c>
      <c r="FE29" s="13">
        <f>IF('Données projet'!$A$218&gt;35,FE28+FD29-FM28,IF(A29&lt;'Données projet'!$A$218,$FB$205^A29,IF(A29='Données projet'!$A$218,'Données projet'!$B$218,FE28+FD29-FM28)))</f>
        <v>65.557245599514019</v>
      </c>
      <c r="FF29" s="18">
        <f>FE29*VLOOKUP('Données projet'!$B$16,Paramètres!$A$1:$I$89,3,0)*VLOOKUP('Données projet'!$B$16,Paramètres!$A$1:$I$89,5,0)</f>
        <v>56.248116724383038</v>
      </c>
      <c r="FG29" s="14">
        <f t="shared" si="47"/>
        <v>16.216139862418505</v>
      </c>
      <c r="FH29" s="22">
        <f t="shared" si="22"/>
        <v>126.20858022201269</v>
      </c>
      <c r="FI29" s="62">
        <f t="shared" si="23"/>
        <v>414.65302466645716</v>
      </c>
      <c r="FJ29" s="62">
        <f ca="1">AVERAGE(OFFSET($FI$3,0,0,'Données projet'!$E$16+1,1))-AVERAGE(OFFSET($H$3,0,0,'Données projet'!$E$16+1,1))</f>
        <v>448.44001099301806</v>
      </c>
      <c r="FK29" s="62">
        <f t="shared" si="48"/>
        <v>230.82970731138215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10.256410256410254</v>
      </c>
      <c r="FZ29" s="13">
        <f>IF('Données projet'!$A$244&gt;35,FZ28+FY29-GH28,IF(A29&lt;'Données projet'!$A$244,$FW$205^A29,IF(A29='Données projet'!$A$244,'Données projet'!$B$244,FZ28+FY29-GH28)))</f>
        <v>175</v>
      </c>
      <c r="GA29" s="18">
        <f>FZ29*VLOOKUP('Données projet'!$B$17,Paramètres!$A$1:$I$89,3,0)*VLOOKUP('Données projet'!$B$17,Paramètres!$A$1:$I$89,5,0)</f>
        <v>117.39</v>
      </c>
      <c r="GB29" s="14">
        <f t="shared" si="49"/>
        <v>31.065482772413461</v>
      </c>
      <c r="GC29" s="22">
        <f t="shared" si="25"/>
        <v>258.55996582862014</v>
      </c>
      <c r="GD29" s="62">
        <f t="shared" si="26"/>
        <v>547.00441027306465</v>
      </c>
      <c r="GE29" s="62">
        <f ca="1">AVERAGE(OFFSET($GD$3,0,0,'Données projet'!$E$17+1,1))-AVERAGE(OFFSET($H$3,0,0,'Données projet'!$E$17+1,1))</f>
        <v>408.91016501484626</v>
      </c>
      <c r="GF29" s="62">
        <f t="shared" si="50"/>
        <v>354.22396807666433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9.1999999999999993</v>
      </c>
      <c r="GU29" s="13">
        <f>IF('Données projet'!$A$270&gt;35,GU28+GT29-HC28,IF(A29&lt;'Données projet'!$A$270,$GR$205^A29,IF(A29='Données projet'!$A$270,'Données projet'!$B$270,GU28+GT29-HC28)))</f>
        <v>84.200000000000017</v>
      </c>
      <c r="GV29" s="18">
        <f>GU29*VLOOKUP('Données projet'!$B$18,Paramètres!$A$1:$I$89,3,0)*VLOOKUP('Données projet'!$B$18,Paramètres!$A$1:$I$89,5,0)</f>
        <v>81.438240000000022</v>
      </c>
      <c r="GW29" s="14">
        <f t="shared" si="51"/>
        <v>22.488475778344696</v>
      </c>
      <c r="GX29" s="22">
        <f t="shared" si="28"/>
        <v>181.00569664728371</v>
      </c>
      <c r="GY29" s="62">
        <f t="shared" si="29"/>
        <v>469.45014109172814</v>
      </c>
      <c r="GZ29" s="62">
        <f ca="1">AVERAGE(OFFSET($GY$3,0,0,'Données projet'!$E$18+1,1))-AVERAGE(OFFSET($H$3,0,0,'Données projet'!$E$18+1,1))</f>
        <v>562.69380557620775</v>
      </c>
      <c r="HA29" s="62">
        <f t="shared" si="52"/>
        <v>294.45557293177131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529.25712986118265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11.5</v>
      </c>
      <c r="AI30" s="14">
        <f>IF('Données projet'!$A$62&gt;35,AI29+AH30-AQ29,IF(A30&lt;'Données projet'!$A$62,$AF$205^A30,IF(A30='Données projet'!$A$62,'Données projet'!$B$62,AI29+AH30-AQ29)))</f>
        <v>108.99999999999997</v>
      </c>
      <c r="AJ30" s="14">
        <f>AI30*VLOOKUP('Données projet'!$B$10,Paramètres!$A$1:$I$89,3,0)*VLOOKUP('Données projet'!$B$10,Paramètres!$A$1:$I$89,5,0)</f>
        <v>85.019999999999982</v>
      </c>
      <c r="AK30" s="14">
        <f t="shared" si="35"/>
        <v>23.360218970693108</v>
      </c>
      <c r="AL30" s="22">
        <f t="shared" si="4"/>
        <v>188.76221470729047</v>
      </c>
      <c r="AM30" s="62">
        <f t="shared" si="5"/>
        <v>478.42888137395715</v>
      </c>
      <c r="AN30" s="62">
        <f ca="1">AVERAGE(OFFSET($AM$3,0,0,'Données projet'!$E$10+1,1))-AVERAGE(OFFSET($H$3,0,0,'Données projet'!$E$10+1,1))</f>
        <v>292.57482726862594</v>
      </c>
      <c r="AO30" s="62">
        <f t="shared" si="36"/>
        <v>283.48738729114024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16.399999999999999</v>
      </c>
      <c r="BD30" s="13">
        <f>IF('Données projet'!$A$88&gt;35,BD29+BC30-BL29,IF(A30&lt;'Données projet'!$A$88,$BA$205^A30,IF(A30='Données projet'!$A$88,'Données projet'!$B$88,BD29+BC30-BL29)))</f>
        <v>197.80000000000004</v>
      </c>
      <c r="BE30" s="14">
        <f>BD30*VLOOKUP('Données projet'!$B$11,Paramètres!$A$1:$I$89,3,0)*VLOOKUP('Données projet'!$B$11,Paramètres!$A$1:$I$89,5,0)</f>
        <v>145.02696000000003</v>
      </c>
      <c r="BF30" s="14">
        <f t="shared" si="37"/>
        <v>37.446236397854975</v>
      </c>
      <c r="BG30" s="22">
        <f t="shared" si="7"/>
        <v>317.80748372626414</v>
      </c>
      <c r="BH30" s="62">
        <f t="shared" si="8"/>
        <v>607.47415039293082</v>
      </c>
      <c r="BI30" s="62">
        <f ca="1">AVERAGE(OFFSET($BH$3,0,0,'Données projet'!$E$11+1,1))-AVERAGE(OFFSET($H$3,0,0,'Données projet'!$E$11+1,1))</f>
        <v>397.24545766894346</v>
      </c>
      <c r="BJ30" s="62">
        <f t="shared" si="38"/>
        <v>431.44557882369696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8.8000000000000007</v>
      </c>
      <c r="BY30" s="13">
        <f>IF('Données projet'!$A$114&gt;35,BY29+BX30-CG29,IF(A30&lt;'Données projet'!$A$114,$BV$205^A30,IF(A30='Données projet'!$A$114,'Données projet'!$B$114,BY29+BX30-CG29)))</f>
        <v>134.6</v>
      </c>
      <c r="BZ30" s="14">
        <f>BY30*VLOOKUP('Données projet'!$B$12,Paramètres!$A$1:$I$89,3,0)*VLOOKUP('Données projet'!$B$12,Paramètres!$A$1:$I$89,5,0)</f>
        <v>88.189920000000001</v>
      </c>
      <c r="CA30" s="14">
        <f t="shared" si="39"/>
        <v>24.128162431798632</v>
      </c>
      <c r="CB30" s="22">
        <f t="shared" si="10"/>
        <v>195.62066023538262</v>
      </c>
      <c r="CC30" s="62">
        <f t="shared" si="11"/>
        <v>485.2873269020493</v>
      </c>
      <c r="CD30" s="62">
        <f ca="1">AVERAGE(OFFSET($CC$3,0,0,'Données projet'!$E$12+1,1))-AVERAGE(OFFSET($H$3,0,0,'Données projet'!$E$12+1,1))</f>
        <v>277.27246253233807</v>
      </c>
      <c r="CE30" s="62">
        <f t="shared" si="40"/>
        <v>269.61868559913404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70.761600000000001</v>
      </c>
      <c r="CV30" s="14">
        <f t="shared" si="41"/>
        <v>19.862470414169767</v>
      </c>
      <c r="CW30" s="22">
        <f t="shared" si="13"/>
        <v>157.83692263801234</v>
      </c>
      <c r="CX30" s="62">
        <f t="shared" si="14"/>
        <v>447.50358930467905</v>
      </c>
      <c r="CY30" s="62">
        <f ca="1">AVERAGE(OFFSET($CX$3,0,0,'Données projet'!$E$13+1,1))-AVERAGE(OFFSET($H$3,0,0,'Données projet'!$E$13+1,1))</f>
        <v>402.15128814037058</v>
      </c>
      <c r="CZ30" s="62">
        <f t="shared" si="42"/>
        <v>232.85411068442738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9.2307692307692264</v>
      </c>
      <c r="DO30" s="13">
        <f>IF('Données projet'!$A$166&gt;35,DO29+DN30-DW29,IF(A30&lt;'Données projet'!$A$166,$DL$205^A30,IF(A30='Données projet'!$A$166,'Données projet'!$B$166,DO29+DN30-DW29)))</f>
        <v>155.64102564102564</v>
      </c>
      <c r="DP30" s="18">
        <f>DO30*VLOOKUP('Données projet'!$B$14,Paramètres!$A$1:$I$89,3,0)*VLOOKUP('Données projet'!$B$14,Paramètres!$A$1:$I$89,5,0)</f>
        <v>148.108</v>
      </c>
      <c r="DQ30" s="14">
        <f t="shared" si="43"/>
        <v>38.148304705466252</v>
      </c>
      <c r="DR30" s="22">
        <f t="shared" si="16"/>
        <v>324.39639736202037</v>
      </c>
      <c r="DS30" s="62">
        <f t="shared" si="17"/>
        <v>614.06306402868699</v>
      </c>
      <c r="DT30" s="62">
        <f ca="1">AVERAGE(OFFSET($DS$3,0,0,'Données projet'!$E$14+1,1))-AVERAGE(OFFSET($H$3,0,0,'Données projet'!$E$14+1,1))</f>
        <v>485.18236169209541</v>
      </c>
      <c r="DU30" s="62">
        <f t="shared" si="44"/>
        <v>417.30339652956951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16.399999999999999</v>
      </c>
      <c r="EJ30" s="13">
        <f>IF('Données projet'!$A$192&gt;35,EJ29+EI30-ER29,IF(A30&lt;'Données projet'!$A$192,$EG$205^A30,IF(A30='Données projet'!$A$192,'Données projet'!$B$192,EJ29+EI30-ER29)))</f>
        <v>197.80000000000004</v>
      </c>
      <c r="EK30" s="18">
        <f>EJ30*VLOOKUP('Données projet'!$B$15,Paramètres!$A$1:$I$89,3,0)*VLOOKUP('Données projet'!$B$15,Paramètres!$A$1:$I$89,5,0)</f>
        <v>157.36968000000005</v>
      </c>
      <c r="EL30" s="14">
        <f t="shared" si="45"/>
        <v>40.248668251494969</v>
      </c>
      <c r="EM30" s="22">
        <f t="shared" si="19"/>
        <v>344.18528987135386</v>
      </c>
      <c r="EN30" s="62">
        <f t="shared" si="20"/>
        <v>633.85195653802054</v>
      </c>
      <c r="EO30" s="62">
        <f ca="1">AVERAGE(OFFSET($EN$3,0,0,'Données projet'!$E$15+1,1))-AVERAGE(OFFSET($H$3,0,0,'Données projet'!$E$15+1,1))</f>
        <v>427.78067187784063</v>
      </c>
      <c r="EP30" s="62">
        <f t="shared" si="46"/>
        <v>464.22892523825118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>
        <f>VLOOKUP(A30,'Données projet'!$A$217:$I$237,2,0)</f>
        <v>77</v>
      </c>
      <c r="FC30" s="13">
        <f>VLOOKUP(A30,'Données projet'!$A$217:$I$237,9,0)</f>
        <v>2.8518518518518516</v>
      </c>
      <c r="FD30" s="13">
        <f t="array" ref="FD30">INDEX(FC:FC,MIN(IF(ISNUMBER(FC30:FC226),ROW(FC30:FC226),"")))</f>
        <v>2.8518518518518516</v>
      </c>
      <c r="FE30" s="13">
        <f>IF('Données projet'!$A$218&gt;35,FE29+FD30-FM29,IF(A30&lt;'Données projet'!$A$218,$FB$205^A30,IF(A30='Données projet'!$A$218,'Données projet'!$B$218,FE29+FD30-FM29)))</f>
        <v>77</v>
      </c>
      <c r="FF30" s="18">
        <f>FE30*VLOOKUP('Données projet'!$B$16,Paramètres!$A$1:$I$89,3,0)*VLOOKUP('Données projet'!$B$16,Paramètres!$A$1:$I$89,5,0)</f>
        <v>66.066000000000003</v>
      </c>
      <c r="FG30" s="14">
        <f t="shared" si="47"/>
        <v>18.69324238096624</v>
      </c>
      <c r="FH30" s="22">
        <f t="shared" si="22"/>
        <v>147.62234714684953</v>
      </c>
      <c r="FI30" s="62">
        <f t="shared" si="23"/>
        <v>437.28901381351625</v>
      </c>
      <c r="FJ30" s="62">
        <f ca="1">AVERAGE(OFFSET($FI$3,0,0,'Données projet'!$E$16+1,1))-AVERAGE(OFFSET($H$3,0,0,'Données projet'!$E$16+1,1))</f>
        <v>448.44001099301806</v>
      </c>
      <c r="FK30" s="62">
        <f t="shared" si="48"/>
        <v>230.82970731138215</v>
      </c>
      <c r="FL30" s="16">
        <f>IF(ISNA(VLOOKUP(A30,'Données projet'!$A$217:$I$237,3,0)),0,VLOOKUP(A30,'Données projet'!$A$217:$I$237,3,0))</f>
        <v>1</v>
      </c>
      <c r="FM30" s="16">
        <f>IF(ISNA(VLOOKUP(A30,'Données projet'!$A$217:$I$237,4,0)),0,VLOOKUP(A30,'Données projet'!$A$217:$I$237,4,0))</f>
        <v>12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10.256410256410254</v>
      </c>
      <c r="FZ30" s="13">
        <f>IF('Données projet'!$A$244&gt;35,FZ29+FY30-GH29,IF(A30&lt;'Données projet'!$A$244,$FW$205^A30,IF(A30='Données projet'!$A$244,'Données projet'!$B$244,FZ29+FY30-GH29)))</f>
        <v>185.25641025641025</v>
      </c>
      <c r="GA30" s="18">
        <f>FZ30*VLOOKUP('Données projet'!$B$17,Paramètres!$A$1:$I$89,3,0)*VLOOKUP('Données projet'!$B$17,Paramètres!$A$1:$I$89,5,0)</f>
        <v>124.27</v>
      </c>
      <c r="GB30" s="14">
        <f t="shared" si="49"/>
        <v>32.668871006084437</v>
      </c>
      <c r="GC30" s="22">
        <f t="shared" si="25"/>
        <v>273.33520033559711</v>
      </c>
      <c r="GD30" s="62">
        <f t="shared" si="26"/>
        <v>563.00186700226379</v>
      </c>
      <c r="GE30" s="62">
        <f ca="1">AVERAGE(OFFSET($GD$3,0,0,'Données projet'!$E$17+1,1))-AVERAGE(OFFSET($H$3,0,0,'Données projet'!$E$17+1,1))</f>
        <v>408.91016501484626</v>
      </c>
      <c r="GF30" s="62">
        <f t="shared" si="50"/>
        <v>354.22396807666433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9.1999999999999993</v>
      </c>
      <c r="GU30" s="13">
        <f>IF('Données projet'!$A$270&gt;35,GU29+GT30-HC29,IF(A30&lt;'Données projet'!$A$270,$GR$205^A30,IF(A30='Données projet'!$A$270,'Données projet'!$B$270,GU29+GT30-HC29)))</f>
        <v>93.40000000000002</v>
      </c>
      <c r="GV30" s="18">
        <f>GU30*VLOOKUP('Données projet'!$B$18,Paramètres!$A$1:$I$89,3,0)*VLOOKUP('Données projet'!$B$18,Paramètres!$A$1:$I$89,5,0)</f>
        <v>90.336480000000023</v>
      </c>
      <c r="GW30" s="14">
        <f t="shared" si="51"/>
        <v>24.646358234355564</v>
      </c>
      <c r="GX30" s="22">
        <f t="shared" si="28"/>
        <v>200.26177659150264</v>
      </c>
      <c r="GY30" s="62">
        <f t="shared" si="29"/>
        <v>489.9284432581693</v>
      </c>
      <c r="GZ30" s="62">
        <f ca="1">AVERAGE(OFFSET($GY$3,0,0,'Données projet'!$E$18+1,1))-AVERAGE(OFFSET($H$3,0,0,'Données projet'!$E$18+1,1))</f>
        <v>562.69380557620775</v>
      </c>
      <c r="HA30" s="62">
        <f t="shared" si="52"/>
        <v>294.45557293177131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529.25712986118265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11.5</v>
      </c>
      <c r="AI31" s="14">
        <f>IF('Données projet'!$A$62&gt;35,AI30+AH31-AQ30,IF(A31&lt;'Données projet'!$A$62,$AF$205^A31,IF(A31='Données projet'!$A$62,'Données projet'!$B$62,AI30+AH31-AQ30)))</f>
        <v>120.49999999999997</v>
      </c>
      <c r="AJ31" s="14">
        <f>AI31*VLOOKUP('Données projet'!$B$10,Paramètres!$A$1:$I$89,3,0)*VLOOKUP('Données projet'!$B$10,Paramètres!$A$1:$I$89,5,0)</f>
        <v>93.989999999999981</v>
      </c>
      <c r="AK31" s="14">
        <f t="shared" si="35"/>
        <v>25.525074036970079</v>
      </c>
      <c r="AL31" s="22">
        <f t="shared" si="4"/>
        <v>208.15542061438953</v>
      </c>
      <c r="AM31" s="62">
        <f t="shared" si="5"/>
        <v>499.04430950327838</v>
      </c>
      <c r="AN31" s="62">
        <f ca="1">AVERAGE(OFFSET($AM$3,0,0,'Données projet'!$E$10+1,1))-AVERAGE(OFFSET($H$3,0,0,'Données projet'!$E$10+1,1))</f>
        <v>292.57482726862594</v>
      </c>
      <c r="AO31" s="62">
        <f t="shared" si="36"/>
        <v>283.48738729114024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16.399999999999999</v>
      </c>
      <c r="BD31" s="13">
        <f>IF('Données projet'!$A$88&gt;35,BD30+BC31-BL30,IF(A31&lt;'Données projet'!$A$88,$BA$205^A31,IF(A31='Données projet'!$A$88,'Données projet'!$B$88,BD30+BC31-BL30)))</f>
        <v>214.20000000000005</v>
      </c>
      <c r="BE31" s="14">
        <f>BD31*VLOOKUP('Données projet'!$B$11,Paramètres!$A$1:$I$89,3,0)*VLOOKUP('Données projet'!$B$11,Paramètres!$A$1:$I$89,5,0)</f>
        <v>157.05144000000004</v>
      </c>
      <c r="BF31" s="14">
        <f t="shared" si="37"/>
        <v>40.176741230099744</v>
      </c>
      <c r="BG31" s="22">
        <f t="shared" si="7"/>
        <v>343.50574897575711</v>
      </c>
      <c r="BH31" s="62">
        <f t="shared" si="8"/>
        <v>634.39463786464603</v>
      </c>
      <c r="BI31" s="62">
        <f ca="1">AVERAGE(OFFSET($BH$3,0,0,'Données projet'!$E$11+1,1))-AVERAGE(OFFSET($H$3,0,0,'Données projet'!$E$11+1,1))</f>
        <v>397.24545766894346</v>
      </c>
      <c r="BJ31" s="62">
        <f t="shared" si="38"/>
        <v>431.44557882369696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8.8000000000000007</v>
      </c>
      <c r="BY31" s="13">
        <f>IF('Données projet'!$A$114&gt;35,BY30+BX31-CG30,IF(A31&lt;'Données projet'!$A$114,$BV$205^A31,IF(A31='Données projet'!$A$114,'Données projet'!$B$114,BY30+BX31-CG30)))</f>
        <v>143.4</v>
      </c>
      <c r="BZ31" s="14">
        <f>BY31*VLOOKUP('Données projet'!$B$12,Paramètres!$A$1:$I$89,3,0)*VLOOKUP('Données projet'!$B$12,Paramètres!$A$1:$I$89,5,0)</f>
        <v>93.955680000000001</v>
      </c>
      <c r="CA31" s="14">
        <f t="shared" si="39"/>
        <v>25.516838392731955</v>
      </c>
      <c r="CB31" s="22">
        <f t="shared" si="10"/>
        <v>208.08130286734149</v>
      </c>
      <c r="CC31" s="62">
        <f t="shared" si="11"/>
        <v>498.97019175623035</v>
      </c>
      <c r="CD31" s="62">
        <f ca="1">AVERAGE(OFFSET($CC$3,0,0,'Données projet'!$E$12+1,1))-AVERAGE(OFFSET($H$3,0,0,'Données projet'!$E$12+1,1))</f>
        <v>277.27246253233807</v>
      </c>
      <c r="CE31" s="62">
        <f t="shared" si="40"/>
        <v>269.61868559913404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76.6584</v>
      </c>
      <c r="CV31" s="14">
        <f t="shared" si="41"/>
        <v>21.318127749842347</v>
      </c>
      <c r="CW31" s="22">
        <f t="shared" si="13"/>
        <v>170.6424524976421</v>
      </c>
      <c r="CX31" s="62">
        <f t="shared" si="14"/>
        <v>461.53134138653093</v>
      </c>
      <c r="CY31" s="62">
        <f ca="1">AVERAGE(OFFSET($CX$3,0,0,'Données projet'!$E$13+1,1))-AVERAGE(OFFSET($H$3,0,0,'Données projet'!$E$13+1,1))</f>
        <v>402.15128814037058</v>
      </c>
      <c r="CZ31" s="62">
        <f t="shared" si="42"/>
        <v>232.85411068442738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9.2307692307692264</v>
      </c>
      <c r="DO31" s="13">
        <f>IF('Données projet'!$A$166&gt;35,DO30+DN31-DW30,IF(A31&lt;'Données projet'!$A$166,$DL$205^A31,IF(A31='Données projet'!$A$166,'Données projet'!$B$166,DO30+DN31-DW30)))</f>
        <v>164.87179487179486</v>
      </c>
      <c r="DP31" s="18">
        <f>DO31*VLOOKUP('Données projet'!$B$14,Paramètres!$A$1:$I$89,3,0)*VLOOKUP('Données projet'!$B$14,Paramètres!$A$1:$I$89,5,0)</f>
        <v>156.892</v>
      </c>
      <c r="DQ31" s="14">
        <f t="shared" si="43"/>
        <v>40.140699017237473</v>
      </c>
      <c r="DR31" s="22">
        <f t="shared" si="16"/>
        <v>343.16528412168856</v>
      </c>
      <c r="DS31" s="62">
        <f t="shared" si="17"/>
        <v>634.05417301057741</v>
      </c>
      <c r="DT31" s="62">
        <f ca="1">AVERAGE(OFFSET($DS$3,0,0,'Données projet'!$E$14+1,1))-AVERAGE(OFFSET($H$3,0,0,'Données projet'!$E$14+1,1))</f>
        <v>485.18236169209541</v>
      </c>
      <c r="DU31" s="62">
        <f t="shared" si="44"/>
        <v>417.30339652956951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16.399999999999999</v>
      </c>
      <c r="EJ31" s="13">
        <f>IF('Données projet'!$A$192&gt;35,EJ30+EI31-ER30,IF(A31&lt;'Données projet'!$A$192,$EG$205^A31,IF(A31='Données projet'!$A$192,'Données projet'!$B$192,EJ30+EI31-ER30)))</f>
        <v>214.20000000000005</v>
      </c>
      <c r="EK31" s="18">
        <f>EJ31*VLOOKUP('Données projet'!$B$15,Paramètres!$A$1:$I$89,3,0)*VLOOKUP('Données projet'!$B$15,Paramètres!$A$1:$I$89,5,0)</f>
        <v>170.41752000000002</v>
      </c>
      <c r="EL31" s="14">
        <f t="shared" si="45"/>
        <v>43.183520822110523</v>
      </c>
      <c r="EM31" s="22">
        <f t="shared" si="19"/>
        <v>372.02181276517587</v>
      </c>
      <c r="EN31" s="62">
        <f t="shared" si="20"/>
        <v>662.91070165406472</v>
      </c>
      <c r="EO31" s="62">
        <f ca="1">AVERAGE(OFFSET($EN$3,0,0,'Données projet'!$E$15+1,1))-AVERAGE(OFFSET($H$3,0,0,'Données projet'!$E$15+1,1))</f>
        <v>427.78067187784063</v>
      </c>
      <c r="EP31" s="62">
        <f t="shared" si="46"/>
        <v>464.22892523825118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12.333333333333334</v>
      </c>
      <c r="FE31" s="13">
        <f>IF('Données projet'!$A$218&gt;35,FE30+FD31-FM30,IF(A31&lt;'Données projet'!$A$218,$FB$205^A31,IF(A31='Données projet'!$A$218,'Données projet'!$B$218,FE30+FD31-FM30)))</f>
        <v>77.333333333333329</v>
      </c>
      <c r="FF31" s="18">
        <f>FE31*VLOOKUP('Données projet'!$B$16,Paramètres!$A$1:$I$89,3,0)*VLOOKUP('Données projet'!$B$16,Paramètres!$A$1:$I$89,5,0)</f>
        <v>66.352000000000004</v>
      </c>
      <c r="FG31" s="14">
        <f t="shared" si="47"/>
        <v>18.764728069895565</v>
      </c>
      <c r="FH31" s="22">
        <f t="shared" si="22"/>
        <v>148.24496805506811</v>
      </c>
      <c r="FI31" s="62">
        <f t="shared" si="23"/>
        <v>439.13385694395697</v>
      </c>
      <c r="FJ31" s="62">
        <f ca="1">AVERAGE(OFFSET($FI$3,0,0,'Données projet'!$E$16+1,1))-AVERAGE(OFFSET($H$3,0,0,'Données projet'!$E$16+1,1))</f>
        <v>448.44001099301806</v>
      </c>
      <c r="FK31" s="62">
        <f t="shared" si="48"/>
        <v>230.82970731138215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10.256410256410254</v>
      </c>
      <c r="FZ31" s="13">
        <f>IF('Données projet'!$A$244&gt;35,FZ30+FY31-GH30,IF(A31&lt;'Données projet'!$A$244,$FW$205^A31,IF(A31='Données projet'!$A$244,'Données projet'!$B$244,FZ30+FY31-GH30)))</f>
        <v>195.5128205128205</v>
      </c>
      <c r="GA31" s="18">
        <f>FZ31*VLOOKUP('Données projet'!$B$17,Paramètres!$A$1:$I$89,3,0)*VLOOKUP('Données projet'!$B$17,Paramètres!$A$1:$I$89,5,0)</f>
        <v>131.15</v>
      </c>
      <c r="GB31" s="14">
        <f t="shared" si="49"/>
        <v>34.261954205091826</v>
      </c>
      <c r="GC31" s="22">
        <f t="shared" si="25"/>
        <v>288.09248690720159</v>
      </c>
      <c r="GD31" s="62">
        <f t="shared" si="26"/>
        <v>578.98137579609045</v>
      </c>
      <c r="GE31" s="62">
        <f ca="1">AVERAGE(OFFSET($GD$3,0,0,'Données projet'!$E$17+1,1))-AVERAGE(OFFSET($H$3,0,0,'Données projet'!$E$17+1,1))</f>
        <v>408.91016501484626</v>
      </c>
      <c r="GF31" s="62">
        <f t="shared" si="50"/>
        <v>354.22396807666433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9.1999999999999993</v>
      </c>
      <c r="GU31" s="13">
        <f>IF('Données projet'!$A$270&gt;35,GU30+GT31-HC30,IF(A31&lt;'Données projet'!$A$270,$GR$205^A31,IF(A31='Données projet'!$A$270,'Données projet'!$B$270,GU30+GT31-HC30)))</f>
        <v>102.60000000000002</v>
      </c>
      <c r="GV31" s="18">
        <f>GU31*VLOOKUP('Données projet'!$B$18,Paramètres!$A$1:$I$89,3,0)*VLOOKUP('Données projet'!$B$18,Paramètres!$A$1:$I$89,5,0)</f>
        <v>99.234720000000024</v>
      </c>
      <c r="GW31" s="14">
        <f t="shared" si="51"/>
        <v>26.779598706219044</v>
      </c>
      <c r="GX31" s="22">
        <f t="shared" si="28"/>
        <v>219.47493841333153</v>
      </c>
      <c r="GY31" s="62">
        <f t="shared" si="29"/>
        <v>510.36382730222039</v>
      </c>
      <c r="GZ31" s="62">
        <f ca="1">AVERAGE(OFFSET($GY$3,0,0,'Données projet'!$E$18+1,1))-AVERAGE(OFFSET($H$3,0,0,'Données projet'!$E$18+1,1))</f>
        <v>562.69380557620775</v>
      </c>
      <c r="HA31" s="62">
        <f t="shared" si="52"/>
        <v>294.45557293177131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529.25712986118265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11.5</v>
      </c>
      <c r="AI32" s="14">
        <f>IF('Données projet'!$A$62&gt;35,AI31+AH32-AQ31,IF(A32&lt;'Données projet'!$A$62,$AF$205^A32,IF(A32='Données projet'!$A$62,'Données projet'!$B$62,AI31+AH32-AQ31)))</f>
        <v>131.99999999999997</v>
      </c>
      <c r="AJ32" s="14">
        <f>AI32*VLOOKUP('Données projet'!$B$10,Paramètres!$A$1:$I$89,3,0)*VLOOKUP('Données projet'!$B$10,Paramètres!$A$1:$I$89,5,0)</f>
        <v>102.95999999999998</v>
      </c>
      <c r="AK32" s="14">
        <f t="shared" si="35"/>
        <v>27.665975080374633</v>
      </c>
      <c r="AL32" s="22">
        <f t="shared" si="4"/>
        <v>227.50690659831912</v>
      </c>
      <c r="AM32" s="62">
        <f t="shared" si="5"/>
        <v>519.61801770943021</v>
      </c>
      <c r="AN32" s="62">
        <f ca="1">AVERAGE(OFFSET($AM$3,0,0,'Données projet'!$E$10+1,1))-AVERAGE(OFFSET($H$3,0,0,'Données projet'!$E$10+1,1))</f>
        <v>292.57482726862594</v>
      </c>
      <c r="AO32" s="62">
        <f t="shared" si="36"/>
        <v>283.48738729114024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16.399999999999999</v>
      </c>
      <c r="BD32" s="13">
        <f>IF('Données projet'!$A$88&gt;35,BD31+BC32-BL31,IF(A32&lt;'Données projet'!$A$88,$BA$205^A32,IF(A32='Données projet'!$A$88,'Données projet'!$B$88,BD31+BC32-BL31)))</f>
        <v>230.60000000000005</v>
      </c>
      <c r="BE32" s="14">
        <f>BD32*VLOOKUP('Données projet'!$B$11,Paramètres!$A$1:$I$89,3,0)*VLOOKUP('Données projet'!$B$11,Paramètres!$A$1:$I$89,5,0)</f>
        <v>169.07592000000002</v>
      </c>
      <c r="BF32" s="14">
        <f t="shared" si="37"/>
        <v>42.882994797420785</v>
      </c>
      <c r="BG32" s="22">
        <f t="shared" si="7"/>
        <v>369.1617766055079</v>
      </c>
      <c r="BH32" s="62">
        <f t="shared" si="8"/>
        <v>661.27288771661904</v>
      </c>
      <c r="BI32" s="62">
        <f ca="1">AVERAGE(OFFSET($BH$3,0,0,'Données projet'!$E$11+1,1))-AVERAGE(OFFSET($H$3,0,0,'Données projet'!$E$11+1,1))</f>
        <v>397.24545766894346</v>
      </c>
      <c r="BJ32" s="62">
        <f t="shared" si="38"/>
        <v>431.44557882369696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8.8000000000000007</v>
      </c>
      <c r="BY32" s="13">
        <f>IF('Données projet'!$A$114&gt;35,BY31+BX32-CG31,IF(A32&lt;'Données projet'!$A$114,$BV$205^A32,IF(A32='Données projet'!$A$114,'Données projet'!$B$114,BY31+BX32-CG31)))</f>
        <v>152.20000000000002</v>
      </c>
      <c r="BZ32" s="14">
        <f>BY32*VLOOKUP('Données projet'!$B$12,Paramètres!$A$1:$I$89,3,0)*VLOOKUP('Données projet'!$B$12,Paramètres!$A$1:$I$89,5,0)</f>
        <v>99.721440000000015</v>
      </c>
      <c r="CA32" s="14">
        <f t="shared" si="39"/>
        <v>26.895623699520389</v>
      </c>
      <c r="CB32" s="22">
        <f t="shared" si="10"/>
        <v>220.52471927666468</v>
      </c>
      <c r="CC32" s="62">
        <f t="shared" si="11"/>
        <v>512.63583038777585</v>
      </c>
      <c r="CD32" s="62">
        <f ca="1">AVERAGE(OFFSET($CC$3,0,0,'Données projet'!$E$12+1,1))-AVERAGE(OFFSET($H$3,0,0,'Données projet'!$E$12+1,1))</f>
        <v>277.27246253233807</v>
      </c>
      <c r="CE32" s="62">
        <f t="shared" si="40"/>
        <v>269.61868559913404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82.555199999999999</v>
      </c>
      <c r="CV32" s="14">
        <f t="shared" si="41"/>
        <v>22.760796016854769</v>
      </c>
      <c r="CW32" s="22">
        <f t="shared" si="13"/>
        <v>183.42535972935536</v>
      </c>
      <c r="CX32" s="62">
        <f t="shared" si="14"/>
        <v>475.53647084046651</v>
      </c>
      <c r="CY32" s="62">
        <f ca="1">AVERAGE(OFFSET($CX$3,0,0,'Données projet'!$E$13+1,1))-AVERAGE(OFFSET($H$3,0,0,'Données projet'!$E$13+1,1))</f>
        <v>402.15128814037058</v>
      </c>
      <c r="CZ32" s="62">
        <f t="shared" si="42"/>
        <v>232.85411068442738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9.2307692307692264</v>
      </c>
      <c r="DO32" s="13">
        <f>IF('Données projet'!$A$166&gt;35,DO31+DN32-DW31,IF(A32&lt;'Données projet'!$A$166,$DL$205^A32,IF(A32='Données projet'!$A$166,'Données projet'!$B$166,DO31+DN32-DW31)))</f>
        <v>174.10256410256409</v>
      </c>
      <c r="DP32" s="18">
        <f>DO32*VLOOKUP('Données projet'!$B$14,Paramètres!$A$1:$I$89,3,0)*VLOOKUP('Données projet'!$B$14,Paramètres!$A$1:$I$89,5,0)</f>
        <v>165.67599999999999</v>
      </c>
      <c r="DQ32" s="14">
        <f t="shared" si="43"/>
        <v>42.120144067727985</v>
      </c>
      <c r="DR32" s="22">
        <f t="shared" si="16"/>
        <v>361.91161758462619</v>
      </c>
      <c r="DS32" s="62">
        <f t="shared" si="17"/>
        <v>654.02272869573733</v>
      </c>
      <c r="DT32" s="62">
        <f ca="1">AVERAGE(OFFSET($DS$3,0,0,'Données projet'!$E$14+1,1))-AVERAGE(OFFSET($H$3,0,0,'Données projet'!$E$14+1,1))</f>
        <v>485.18236169209541</v>
      </c>
      <c r="DU32" s="62">
        <f t="shared" si="44"/>
        <v>417.30339652956951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16.399999999999999</v>
      </c>
      <c r="EJ32" s="13">
        <f>IF('Données projet'!$A$192&gt;35,EJ31+EI32-ER31,IF(A32&lt;'Données projet'!$A$192,$EG$205^A32,IF(A32='Données projet'!$A$192,'Données projet'!$B$192,EJ31+EI32-ER31)))</f>
        <v>230.60000000000005</v>
      </c>
      <c r="EK32" s="18">
        <f>EJ32*VLOOKUP('Données projet'!$B$15,Paramètres!$A$1:$I$89,3,0)*VLOOKUP('Données projet'!$B$15,Paramètres!$A$1:$I$89,5,0)</f>
        <v>183.46536000000003</v>
      </c>
      <c r="EL32" s="14">
        <f t="shared" si="45"/>
        <v>46.092307191940968</v>
      </c>
      <c r="EM32" s="22">
        <f t="shared" si="19"/>
        <v>399.81293702596389</v>
      </c>
      <c r="EN32" s="62">
        <f t="shared" si="20"/>
        <v>691.92404813707503</v>
      </c>
      <c r="EO32" s="62">
        <f ca="1">AVERAGE(OFFSET($EN$3,0,0,'Données projet'!$E$15+1,1))-AVERAGE(OFFSET($H$3,0,0,'Données projet'!$E$15+1,1))</f>
        <v>427.78067187784063</v>
      </c>
      <c r="EP32" s="62">
        <f t="shared" si="46"/>
        <v>464.22892523825118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12.333333333333334</v>
      </c>
      <c r="FE32" s="13">
        <f>IF('Données projet'!$A$218&gt;35,FE31+FD32-FM31,IF(A32&lt;'Données projet'!$A$218,$FB$205^A32,IF(A32='Données projet'!$A$218,'Données projet'!$B$218,FE31+FD32-FM31)))</f>
        <v>89.666666666666657</v>
      </c>
      <c r="FF32" s="18">
        <f>FE32*VLOOKUP('Données projet'!$B$16,Paramètres!$A$1:$I$89,3,0)*VLOOKUP('Données projet'!$B$16,Paramètres!$A$1:$I$89,5,0)</f>
        <v>76.933999999999997</v>
      </c>
      <c r="FG32" s="14">
        <f t="shared" si="47"/>
        <v>21.385834734197029</v>
      </c>
      <c r="FH32" s="22">
        <f t="shared" si="22"/>
        <v>171.24037882872651</v>
      </c>
      <c r="FI32" s="62">
        <f t="shared" si="23"/>
        <v>463.35148993983762</v>
      </c>
      <c r="FJ32" s="62">
        <f ca="1">AVERAGE(OFFSET($FI$3,0,0,'Données projet'!$E$16+1,1))-AVERAGE(OFFSET($H$3,0,0,'Données projet'!$E$16+1,1))</f>
        <v>448.44001099301806</v>
      </c>
      <c r="FK32" s="62">
        <f t="shared" si="48"/>
        <v>230.82970731138215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10.256410256410254</v>
      </c>
      <c r="FZ32" s="13">
        <f>IF('Données projet'!$A$244&gt;35,FZ31+FY32-GH31,IF(A32&lt;'Données projet'!$A$244,$FW$205^A32,IF(A32='Données projet'!$A$244,'Données projet'!$B$244,FZ31+FY32-GH31)))</f>
        <v>205.76923076923075</v>
      </c>
      <c r="GA32" s="18">
        <f>FZ32*VLOOKUP('Données projet'!$B$17,Paramètres!$A$1:$I$89,3,0)*VLOOKUP('Données projet'!$B$17,Paramètres!$A$1:$I$89,5,0)</f>
        <v>138.02999999999997</v>
      </c>
      <c r="GB32" s="14">
        <f t="shared" si="49"/>
        <v>35.845334613941432</v>
      </c>
      <c r="GC32" s="22">
        <f t="shared" si="25"/>
        <v>302.83287445261459</v>
      </c>
      <c r="GD32" s="62">
        <f t="shared" si="26"/>
        <v>594.94398556372573</v>
      </c>
      <c r="GE32" s="62">
        <f ca="1">AVERAGE(OFFSET($GD$3,0,0,'Données projet'!$E$17+1,1))-AVERAGE(OFFSET($H$3,0,0,'Données projet'!$E$17+1,1))</f>
        <v>408.91016501484626</v>
      </c>
      <c r="GF32" s="62">
        <f t="shared" si="50"/>
        <v>354.22396807666433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9.1999999999999993</v>
      </c>
      <c r="GU32" s="13">
        <f>IF('Données projet'!$A$270&gt;35,GU31+GT32-HC31,IF(A32&lt;'Données projet'!$A$270,$GR$205^A32,IF(A32='Données projet'!$A$270,'Données projet'!$B$270,GU31+GT32-HC31)))</f>
        <v>111.80000000000003</v>
      </c>
      <c r="GV32" s="18">
        <f>GU32*VLOOKUP('Données projet'!$B$18,Paramètres!$A$1:$I$89,3,0)*VLOOKUP('Données projet'!$B$18,Paramètres!$A$1:$I$89,5,0)</f>
        <v>108.13296000000003</v>
      </c>
      <c r="GW32" s="14">
        <f t="shared" si="51"/>
        <v>28.890658079177882</v>
      </c>
      <c r="GX32" s="22">
        <f t="shared" si="28"/>
        <v>238.64946815456821</v>
      </c>
      <c r="GY32" s="62">
        <f t="shared" si="29"/>
        <v>530.76057926567933</v>
      </c>
      <c r="GZ32" s="62">
        <f ca="1">AVERAGE(OFFSET($GY$3,0,0,'Données projet'!$E$18+1,1))-AVERAGE(OFFSET($H$3,0,0,'Données projet'!$E$18+1,1))</f>
        <v>562.69380557620775</v>
      </c>
      <c r="HA32" s="62">
        <f t="shared" si="52"/>
        <v>294.45557293177131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529.25712986118265</v>
      </c>
      <c r="T33" s="62">
        <f t="shared" si="34"/>
        <v>278.21741231699929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11.5</v>
      </c>
      <c r="AI33" s="14">
        <f>IF('Données projet'!$A$62&gt;35,AI32+AH33-AQ32,IF(A33&lt;'Données projet'!$A$62,$AF$205^A33,IF(A33='Données projet'!$A$62,'Données projet'!$B$62,AI32+AH33-AQ32)))</f>
        <v>143.49999999999997</v>
      </c>
      <c r="AJ33" s="14">
        <f>AI33*VLOOKUP('Données projet'!$B$10,Paramètres!$A$1:$I$89,3,0)*VLOOKUP('Données projet'!$B$10,Paramètres!$A$1:$I$89,5,0)</f>
        <v>111.92999999999998</v>
      </c>
      <c r="AK33" s="14">
        <f t="shared" si="35"/>
        <v>29.785246291563833</v>
      </c>
      <c r="AL33" s="22">
        <f t="shared" si="4"/>
        <v>246.82072062447358</v>
      </c>
      <c r="AM33" s="62">
        <f t="shared" si="5"/>
        <v>540.15405395780692</v>
      </c>
      <c r="AN33" s="62">
        <f ca="1">AVERAGE(OFFSET($AM$3,0,0,'Données projet'!$E$10+1,1))-AVERAGE(OFFSET($H$3,0,0,'Données projet'!$E$10+1,1))</f>
        <v>292.57482726862594</v>
      </c>
      <c r="AO33" s="62">
        <f t="shared" si="36"/>
        <v>283.48738729114024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247</v>
      </c>
      <c r="BB33" s="13">
        <f>VLOOKUP(A33,'Données projet'!$A$87:$I$107,9,0)</f>
        <v>16.399999999999999</v>
      </c>
      <c r="BC33" s="13">
        <f t="array" ref="BC33">INDEX(BB:BB,MIN(IF(ISNUMBER(BB33:BB229),ROW(BB33:BB229),"")))</f>
        <v>16.399999999999999</v>
      </c>
      <c r="BD33" s="13">
        <f>IF('Données projet'!$A$88&gt;35,BD32+BC33-BL32,IF(A33&lt;'Données projet'!$A$88,$BA$205^A33,IF(A33='Données projet'!$A$88,'Données projet'!$B$88,BD32+BC33-BL32)))</f>
        <v>247.00000000000006</v>
      </c>
      <c r="BE33" s="14">
        <f>BD33*VLOOKUP('Données projet'!$B$11,Paramètres!$A$1:$I$89,3,0)*VLOOKUP('Données projet'!$B$11,Paramètres!$A$1:$I$89,5,0)</f>
        <v>181.10040000000004</v>
      </c>
      <c r="BF33" s="14">
        <f t="shared" si="37"/>
        <v>45.566917984897771</v>
      </c>
      <c r="BG33" s="22">
        <f t="shared" si="7"/>
        <v>394.77891215703033</v>
      </c>
      <c r="BH33" s="62">
        <f t="shared" si="8"/>
        <v>688.11224549036365</v>
      </c>
      <c r="BI33" s="62">
        <f ca="1">AVERAGE(OFFSET($BH$3,0,0,'Données projet'!$E$11+1,1))-AVERAGE(OFFSET($H$3,0,0,'Données projet'!$E$11+1,1))</f>
        <v>397.24545766894346</v>
      </c>
      <c r="BJ33" s="62">
        <f t="shared" si="38"/>
        <v>431.44557882369696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84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161</v>
      </c>
      <c r="BW33" s="13">
        <f>VLOOKUP(A33,'Données projet'!$A$113:$I$133,9,0)</f>
        <v>8.8000000000000007</v>
      </c>
      <c r="BX33" s="13">
        <f t="array" ref="BX33">INDEX(BW:BW,MIN(IF(ISNUMBER(BW33:BW229),ROW(BW33:BW229),"")))</f>
        <v>8.8000000000000007</v>
      </c>
      <c r="BY33" s="13">
        <f>IF('Données projet'!$A$114&gt;35,BY32+BX33-CG32,IF(A33&lt;'Données projet'!$A$114,$BV$205^A33,IF(A33='Données projet'!$A$114,'Données projet'!$B$114,BY32+BX33-CG32)))</f>
        <v>161.00000000000003</v>
      </c>
      <c r="BZ33" s="14">
        <f>BY33*VLOOKUP('Données projet'!$B$12,Paramètres!$A$1:$I$89,3,0)*VLOOKUP('Données projet'!$B$12,Paramètres!$A$1:$I$89,5,0)</f>
        <v>105.48720000000002</v>
      </c>
      <c r="CA33" s="14">
        <f t="shared" si="39"/>
        <v>28.265155367923839</v>
      </c>
      <c r="CB33" s="22">
        <f t="shared" si="10"/>
        <v>232.95201893246738</v>
      </c>
      <c r="CC33" s="62">
        <f t="shared" si="11"/>
        <v>526.28535226580073</v>
      </c>
      <c r="CD33" s="62">
        <f ca="1">AVERAGE(OFFSET($CC$3,0,0,'Données projet'!$E$12+1,1))-AVERAGE(OFFSET($H$3,0,0,'Données projet'!$E$12+1,1))</f>
        <v>277.27246253233807</v>
      </c>
      <c r="CE33" s="62">
        <f t="shared" si="40"/>
        <v>269.61868559913404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88.452000000000012</v>
      </c>
      <c r="CV33" s="14">
        <f t="shared" si="41"/>
        <v>24.191508526943956</v>
      </c>
      <c r="CW33" s="22">
        <f t="shared" si="13"/>
        <v>196.18744401776075</v>
      </c>
      <c r="CX33" s="62">
        <f t="shared" si="14"/>
        <v>489.52077735109407</v>
      </c>
      <c r="CY33" s="62">
        <f ca="1">AVERAGE(OFFSET($CX$3,0,0,'Données projet'!$E$13+1,1))-AVERAGE(OFFSET($H$3,0,0,'Données projet'!$E$13+1,1))</f>
        <v>402.15128814037058</v>
      </c>
      <c r="CZ33" s="62">
        <f t="shared" si="42"/>
        <v>232.85411068442738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183.33333333333331</v>
      </c>
      <c r="DM33" s="13">
        <f>VLOOKUP(A33,'Données projet'!$A$165:$I$185,9,0)</f>
        <v>9.2307692307692264</v>
      </c>
      <c r="DN33" s="13">
        <f t="array" ref="DN33">INDEX(DM:DM,MIN(IF(ISNUMBER(DM33:DM229),ROW(DM33:DM229),"")))</f>
        <v>9.2307692307692264</v>
      </c>
      <c r="DO33" s="13">
        <f>IF('Données projet'!$A$166&gt;35,DO32+DN33-DW32,IF(A33&lt;'Données projet'!$A$166,$DL$205^A33,IF(A33='Données projet'!$A$166,'Données projet'!$B$166,DO32+DN33-DW32)))</f>
        <v>183.33333333333331</v>
      </c>
      <c r="DP33" s="18">
        <f>DO33*VLOOKUP('Données projet'!$B$14,Paramètres!$A$1:$I$89,3,0)*VLOOKUP('Données projet'!$B$14,Paramètres!$A$1:$I$89,5,0)</f>
        <v>174.45999999999998</v>
      </c>
      <c r="DQ33" s="14">
        <f t="shared" si="43"/>
        <v>44.087404705973029</v>
      </c>
      <c r="DR33" s="22">
        <f t="shared" si="16"/>
        <v>380.63672986290294</v>
      </c>
      <c r="DS33" s="62">
        <f t="shared" si="17"/>
        <v>673.9700631962362</v>
      </c>
      <c r="DT33" s="62">
        <f ca="1">AVERAGE(OFFSET($DS$3,0,0,'Données projet'!$E$14+1,1))-AVERAGE(OFFSET($H$3,0,0,'Données projet'!$E$14+1,1))</f>
        <v>485.18236169209541</v>
      </c>
      <c r="DU33" s="62">
        <f t="shared" si="44"/>
        <v>417.30339652956951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42.307692307692307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247</v>
      </c>
      <c r="EH33" s="13">
        <f>VLOOKUP(A33,'Données projet'!$A$191:$I$211,9,0)</f>
        <v>16.399999999999999</v>
      </c>
      <c r="EI33" s="13">
        <f t="array" ref="EI33">INDEX(EH:EH,MIN(IF(ISNUMBER(EH33:EH229),ROW(EH33:EH229),"")))</f>
        <v>16.399999999999999</v>
      </c>
      <c r="EJ33" s="13">
        <f>IF('Données projet'!$A$192&gt;35,EJ32+EI33-ER32,IF(A33&lt;'Données projet'!$A$192,$EG$205^A33,IF(A33='Données projet'!$A$192,'Données projet'!$B$192,EJ32+EI33-ER32)))</f>
        <v>247.00000000000006</v>
      </c>
      <c r="EK33" s="18">
        <f>EJ33*VLOOKUP('Données projet'!$B$15,Paramètres!$A$1:$I$89,3,0)*VLOOKUP('Données projet'!$B$15,Paramètres!$A$1:$I$89,5,0)</f>
        <v>196.51320000000004</v>
      </c>
      <c r="EL33" s="14">
        <f t="shared" si="45"/>
        <v>48.977092002823696</v>
      </c>
      <c r="EM33" s="22">
        <f t="shared" si="19"/>
        <v>427.56225857158461</v>
      </c>
      <c r="EN33" s="62">
        <f t="shared" si="20"/>
        <v>720.89559190491786</v>
      </c>
      <c r="EO33" s="62">
        <f ca="1">AVERAGE(OFFSET($EN$3,0,0,'Données projet'!$E$15+1,1))-AVERAGE(OFFSET($H$3,0,0,'Données projet'!$E$15+1,1))</f>
        <v>427.78067187784063</v>
      </c>
      <c r="EP33" s="62">
        <f t="shared" si="46"/>
        <v>464.22892523825118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84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102</v>
      </c>
      <c r="FC33" s="13">
        <f>VLOOKUP(A33,'Données projet'!$A$217:$I$237,9,0)</f>
        <v>12.333333333333334</v>
      </c>
      <c r="FD33" s="13">
        <f t="array" ref="FD33">INDEX(FC:FC,MIN(IF(ISNUMBER(FC33:FC229),ROW(FC33:FC229),"")))</f>
        <v>12.333333333333334</v>
      </c>
      <c r="FE33" s="13">
        <f>IF('Données projet'!$A$218&gt;35,FE32+FD33-FM32,IF(A33&lt;'Données projet'!$A$218,$FB$205^A33,IF(A33='Données projet'!$A$218,'Données projet'!$B$218,FE32+FD33-FM32)))</f>
        <v>101.99999999999999</v>
      </c>
      <c r="FF33" s="18">
        <f>FE33*VLOOKUP('Données projet'!$B$16,Paramètres!$A$1:$I$89,3,0)*VLOOKUP('Données projet'!$B$16,Paramètres!$A$1:$I$89,5,0)</f>
        <v>87.515999999999991</v>
      </c>
      <c r="FG33" s="14">
        <f t="shared" si="47"/>
        <v>23.965171662037644</v>
      </c>
      <c r="FH33" s="22">
        <f t="shared" si="22"/>
        <v>194.16304064471555</v>
      </c>
      <c r="FI33" s="62">
        <f t="shared" si="23"/>
        <v>487.49637397804884</v>
      </c>
      <c r="FJ33" s="62">
        <f ca="1">AVERAGE(OFFSET($FI$3,0,0,'Données projet'!$E$16+1,1))-AVERAGE(OFFSET($H$3,0,0,'Données projet'!$E$16+1,1))</f>
        <v>448.44001099301806</v>
      </c>
      <c r="FK33" s="62">
        <f t="shared" si="48"/>
        <v>230.82970731138215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13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216.02564102564102</v>
      </c>
      <c r="FX33" s="13">
        <f>VLOOKUP(A33,'Données projet'!$A$243:$I$263,9,0)</f>
        <v>10.256410256410254</v>
      </c>
      <c r="FY33" s="13">
        <f t="array" ref="FY33">INDEX(FX:FX,MIN(IF(ISNUMBER(FX33:FX229),ROW(FX33:FX229),"")))</f>
        <v>10.256410256410254</v>
      </c>
      <c r="FZ33" s="13">
        <f>IF('Données projet'!$A$244&gt;35,FZ32+FY33-GH32,IF(A33&lt;'Données projet'!$A$244,$FW$205^A33,IF(A33='Données projet'!$A$244,'Données projet'!$B$244,FZ32+FY33-GH32)))</f>
        <v>216.02564102564099</v>
      </c>
      <c r="GA33" s="18">
        <f>FZ33*VLOOKUP('Données projet'!$B$17,Paramètres!$A$1:$I$89,3,0)*VLOOKUP('Données projet'!$B$17,Paramètres!$A$1:$I$89,5,0)</f>
        <v>144.90999999999997</v>
      </c>
      <c r="GB33" s="14">
        <f t="shared" si="49"/>
        <v>37.419551048802518</v>
      </c>
      <c r="GC33" s="22">
        <f t="shared" si="25"/>
        <v>317.55730140999771</v>
      </c>
      <c r="GD33" s="62">
        <f t="shared" si="26"/>
        <v>610.89063474333102</v>
      </c>
      <c r="GE33" s="62">
        <f ca="1">AVERAGE(OFFSET($GD$3,0,0,'Données projet'!$E$17+1,1))-AVERAGE(OFFSET($H$3,0,0,'Données projet'!$E$17+1,1))</f>
        <v>408.91016501484626</v>
      </c>
      <c r="GF33" s="62">
        <f t="shared" si="50"/>
        <v>354.22396807666433</v>
      </c>
      <c r="GG33" s="16">
        <f>IF(ISNA(VLOOKUP(A33,'Données projet'!$A$243:$I$263,3,0)),0,VLOOKUP(A33,'Données projet'!$A$243:$I$263,3,0))</f>
        <v>2</v>
      </c>
      <c r="GH33" s="16">
        <f>IF(ISNA(VLOOKUP(A33,'Données projet'!$A$243:$I$263,4,0)),0,VLOOKUP(A33,'Données projet'!$A$243:$I$263,4,0))</f>
        <v>44.871794871794869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121</v>
      </c>
      <c r="GS33" s="13">
        <f>VLOOKUP(A33,'Données projet'!$A$269:$I$289,9,0)</f>
        <v>9.1999999999999993</v>
      </c>
      <c r="GT33" s="13">
        <f t="array" ref="GT33">INDEX(GS:GS,MIN(IF(ISNUMBER(GS33:GS229),ROW(GS33:GS229),"")))</f>
        <v>9.1999999999999993</v>
      </c>
      <c r="GU33" s="13">
        <f>IF('Données projet'!$A$270&gt;35,GU32+GT33-HC32,IF(A33&lt;'Données projet'!$A$270,$GR$205^A33,IF(A33='Données projet'!$A$270,'Données projet'!$B$270,GU32+GT33-HC32)))</f>
        <v>121.00000000000003</v>
      </c>
      <c r="GV33" s="18">
        <f>GU33*VLOOKUP('Données projet'!$B$18,Paramètres!$A$1:$I$89,3,0)*VLOOKUP('Données projet'!$B$18,Paramètres!$A$1:$I$89,5,0)</f>
        <v>117.03120000000003</v>
      </c>
      <c r="GW33" s="14">
        <f t="shared" si="51"/>
        <v>30.981569147428555</v>
      </c>
      <c r="GX33" s="22">
        <f t="shared" si="28"/>
        <v>257.78890626510474</v>
      </c>
      <c r="GY33" s="62">
        <f t="shared" si="29"/>
        <v>551.122239598438</v>
      </c>
      <c r="GZ33" s="62">
        <f ca="1">AVERAGE(OFFSET($GY$3,0,0,'Données projet'!$E$18+1,1))-AVERAGE(OFFSET($H$3,0,0,'Données projet'!$E$18+1,1))</f>
        <v>562.69380557620775</v>
      </c>
      <c r="HA33" s="62">
        <f t="shared" si="52"/>
        <v>294.45557293177131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2">
        <f t="shared" si="0"/>
        <v>555.8952725195021</v>
      </c>
      <c r="S34" s="62">
        <f ca="1">AVERAGE(OFFSET($R$3,0,0,'Données projet'!$E$9+1,1))-AVERAGE(OFFSET($H$3,0,0,'Données projet'!$E$9+1,1))</f>
        <v>529.25712986118265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>
        <f>VLOOKUP(A34,'Données projet'!$A$61:$I$81,2,0)</f>
        <v>155</v>
      </c>
      <c r="AG34" s="13">
        <f>VLOOKUP(A34,'Données projet'!$A$61:$I$81,9,0)</f>
        <v>11.5</v>
      </c>
      <c r="AH34" s="13">
        <f t="array" ref="AH34">INDEX(AG:AG,MIN(IF(ISNUMBER(AG34:AG230),ROW(AG34:AG230),"")))</f>
        <v>11.5</v>
      </c>
      <c r="AI34" s="14">
        <f>IF('Données projet'!$A$62&gt;35,AI33+AH34-AQ33,IF(A34&lt;'Données projet'!$A$62,$AF$205^A34,IF(A34='Données projet'!$A$62,'Données projet'!$B$62,AI33+AH34-AQ33)))</f>
        <v>154.99999999999997</v>
      </c>
      <c r="AJ34" s="14">
        <f>AI34*VLOOKUP('Données projet'!$B$10,Paramètres!$A$1:$I$89,3,0)*VLOOKUP('Données projet'!$B$10,Paramètres!$A$1:$I$89,5,0)</f>
        <v>120.89999999999998</v>
      </c>
      <c r="AK34" s="14">
        <f t="shared" si="35"/>
        <v>31.884818143351602</v>
      </c>
      <c r="AL34" s="22">
        <f t="shared" si="4"/>
        <v>266.10022493300397</v>
      </c>
      <c r="AM34" s="62">
        <f t="shared" si="5"/>
        <v>559.43355826633729</v>
      </c>
      <c r="AN34" s="62">
        <f ca="1">AVERAGE(OFFSET($AM$3,0,0,'Données projet'!$E$10+1,1))-AVERAGE(OFFSET($H$3,0,0,'Données projet'!$E$10+1,1))</f>
        <v>292.57482726862594</v>
      </c>
      <c r="AO34" s="62">
        <f t="shared" si="36"/>
        <v>283.48738729114024</v>
      </c>
      <c r="AP34" s="16">
        <f>IF(ISNA(VLOOKUP(A34,'Données projet'!$A$61:$I$81,3,0)),0,VLOOKUP(A34,'Données projet'!$A$61:$I$81,3,0))</f>
        <v>2</v>
      </c>
      <c r="AQ34" s="16">
        <f>IF(ISNA(VLOOKUP(A34,'Données projet'!$A$61:$I$81,4,0)),0,VLOOKUP(A34,'Données projet'!$A$61:$I$81,4,0))</f>
        <v>36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15.2</v>
      </c>
      <c r="BD34" s="13">
        <f>IF('Données projet'!$A$88&gt;35,BD33+BC34-BL33,IF(A34&lt;'Données projet'!$A$88,$BA$205^A34,IF(A34='Données projet'!$A$88,'Données projet'!$B$88,BD33+BC34-BL33)))</f>
        <v>178.20000000000005</v>
      </c>
      <c r="BE34" s="14">
        <f>BD34*VLOOKUP('Données projet'!$B$11,Paramètres!$A$1:$I$89,3,0)*VLOOKUP('Données projet'!$B$11,Paramètres!$A$1:$I$89,5,0)</f>
        <v>130.65624000000003</v>
      </c>
      <c r="BF34" s="14">
        <f t="shared" si="37"/>
        <v>34.147952661921146</v>
      </c>
      <c r="BG34" s="22">
        <f t="shared" si="7"/>
        <v>287.03396888617937</v>
      </c>
      <c r="BH34" s="62">
        <f t="shared" si="8"/>
        <v>580.36730221951268</v>
      </c>
      <c r="BI34" s="62">
        <f ca="1">AVERAGE(OFFSET($BH$3,0,0,'Données projet'!$E$11+1,1))-AVERAGE(OFFSET($H$3,0,0,'Données projet'!$E$11+1,1))</f>
        <v>397.24545766894346</v>
      </c>
      <c r="BJ34" s="62">
        <f t="shared" si="38"/>
        <v>431.44557882369696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8.6</v>
      </c>
      <c r="BY34" s="13">
        <f>IF('Données projet'!$A$114&gt;35,BY33+BX34-CG33,IF(A34&lt;'Données projet'!$A$114,$BV$205^A34,IF(A34='Données projet'!$A$114,'Données projet'!$B$114,BY33+BX34-CG33)))</f>
        <v>169.60000000000002</v>
      </c>
      <c r="BZ34" s="14">
        <f>BY34*VLOOKUP('Données projet'!$B$12,Paramètres!$A$1:$I$89,3,0)*VLOOKUP('Données projet'!$B$12,Paramètres!$A$1:$I$89,5,0)</f>
        <v>111.12192000000003</v>
      </c>
      <c r="CA34" s="14">
        <f t="shared" si="39"/>
        <v>29.595161360044589</v>
      </c>
      <c r="CB34" s="22">
        <f t="shared" si="10"/>
        <v>245.08225003541108</v>
      </c>
      <c r="CC34" s="62">
        <f t="shared" si="11"/>
        <v>538.41558336874436</v>
      </c>
      <c r="CD34" s="62">
        <f ca="1">AVERAGE(OFFSET($CC$3,0,0,'Données projet'!$E$12+1,1))-AVERAGE(OFFSET($H$3,0,0,'Données projet'!$E$12+1,1))</f>
        <v>277.27246253233807</v>
      </c>
      <c r="CE34" s="62">
        <f t="shared" si="40"/>
        <v>269.61868559913404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70.761600000000001</v>
      </c>
      <c r="CV34" s="14">
        <f t="shared" si="41"/>
        <v>19.862470414169767</v>
      </c>
      <c r="CW34" s="22">
        <f t="shared" si="13"/>
        <v>157.83692263801234</v>
      </c>
      <c r="CX34" s="62">
        <f t="shared" si="14"/>
        <v>451.17025597134568</v>
      </c>
      <c r="CY34" s="62">
        <f ca="1">AVERAGE(OFFSET($CX$3,0,0,'Données projet'!$E$13+1,1))-AVERAGE(OFFSET($H$3,0,0,'Données projet'!$E$13+1,1))</f>
        <v>402.15128814037058</v>
      </c>
      <c r="CZ34" s="62">
        <f t="shared" si="42"/>
        <v>232.85411068442738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8.5897435897435965</v>
      </c>
      <c r="DO34" s="13">
        <f>IF('Données projet'!$A$166&gt;35,DO33+DN34-DW33,IF(A34&lt;'Données projet'!$A$166,$DL$205^A34,IF(A34='Données projet'!$A$166,'Données projet'!$B$166,DO33+DN34-DW33)))</f>
        <v>149.61538461538458</v>
      </c>
      <c r="DP34" s="18">
        <f>DO34*VLOOKUP('Données projet'!$B$14,Paramètres!$A$1:$I$89,3,0)*VLOOKUP('Données projet'!$B$14,Paramètres!$A$1:$I$89,5,0)</f>
        <v>142.37399999999997</v>
      </c>
      <c r="DQ34" s="14">
        <f t="shared" si="43"/>
        <v>36.840322186328187</v>
      </c>
      <c r="DR34" s="22">
        <f t="shared" si="16"/>
        <v>312.13161114118822</v>
      </c>
      <c r="DS34" s="62">
        <f t="shared" si="17"/>
        <v>605.46494447452153</v>
      </c>
      <c r="DT34" s="62">
        <f ca="1">AVERAGE(OFFSET($DS$3,0,0,'Données projet'!$E$14+1,1))-AVERAGE(OFFSET($H$3,0,0,'Données projet'!$E$14+1,1))</f>
        <v>485.18236169209541</v>
      </c>
      <c r="DU34" s="62">
        <f t="shared" si="44"/>
        <v>417.30339652956951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15.2</v>
      </c>
      <c r="EJ34" s="13">
        <f>IF('Données projet'!$A$192&gt;35,EJ33+EI34-ER33,IF(A34&lt;'Données projet'!$A$192,$EG$205^A34,IF(A34='Données projet'!$A$192,'Données projet'!$B$192,EJ33+EI34-ER33)))</f>
        <v>178.20000000000005</v>
      </c>
      <c r="EK34" s="18">
        <f>EJ34*VLOOKUP('Données projet'!$B$15,Paramètres!$A$1:$I$89,3,0)*VLOOKUP('Données projet'!$B$15,Paramètres!$A$1:$I$89,5,0)</f>
        <v>141.77592000000004</v>
      </c>
      <c r="EL34" s="14">
        <f t="shared" si="45"/>
        <v>36.703544878441981</v>
      </c>
      <c r="EM34" s="22">
        <f t="shared" si="19"/>
        <v>310.85173466328649</v>
      </c>
      <c r="EN34" s="62">
        <f t="shared" si="20"/>
        <v>604.18506799661986</v>
      </c>
      <c r="EO34" s="62">
        <f ca="1">AVERAGE(OFFSET($EN$3,0,0,'Données projet'!$E$15+1,1))-AVERAGE(OFFSET($H$3,0,0,'Données projet'!$E$15+1,1))</f>
        <v>427.78067187784063</v>
      </c>
      <c r="EP34" s="62">
        <f t="shared" si="46"/>
        <v>464.22892523825118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14.166666666666666</v>
      </c>
      <c r="FE34" s="13">
        <f>IF('Données projet'!$A$218&gt;35,FE33+FD34-FM33,IF(A34&lt;'Données projet'!$A$218,$FB$205^A34,IF(A34='Données projet'!$A$218,'Données projet'!$B$218,FE33+FD34-FM33)))</f>
        <v>103.16666666666666</v>
      </c>
      <c r="FF34" s="18">
        <f>FE34*VLOOKUP('Données projet'!$B$16,Paramètres!$A$1:$I$89,3,0)*VLOOKUP('Données projet'!$B$16,Paramètres!$A$1:$I$89,5,0)</f>
        <v>88.51700000000001</v>
      </c>
      <c r="FG34" s="14">
        <f t="shared" si="47"/>
        <v>24.207215980626653</v>
      </c>
      <c r="FH34" s="22">
        <f t="shared" si="22"/>
        <v>196.32800949959145</v>
      </c>
      <c r="FI34" s="62">
        <f t="shared" si="23"/>
        <v>489.66134283292479</v>
      </c>
      <c r="FJ34" s="62">
        <f ca="1">AVERAGE(OFFSET($FI$3,0,0,'Données projet'!$E$16+1,1))-AVERAGE(OFFSET($H$3,0,0,'Données projet'!$E$16+1,1))</f>
        <v>448.44001099301806</v>
      </c>
      <c r="FK34" s="62">
        <f t="shared" si="48"/>
        <v>230.82970731138215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9.4871794871794854</v>
      </c>
      <c r="FZ34" s="13">
        <f>IF('Données projet'!$A$244&gt;35,FZ33+FY34-GH33,IF(A34&lt;'Données projet'!$A$244,$FW$205^A34,IF(A34='Données projet'!$A$244,'Données projet'!$B$244,FZ33+FY34-GH33)))</f>
        <v>180.64102564102561</v>
      </c>
      <c r="GA34" s="18">
        <f>FZ34*VLOOKUP('Données projet'!$B$17,Paramètres!$A$1:$I$89,3,0)*VLOOKUP('Données projet'!$B$17,Paramètres!$A$1:$I$89,5,0)</f>
        <v>121.17399999999998</v>
      </c>
      <c r="GB34" s="14">
        <f t="shared" si="49"/>
        <v>31.948660171331806</v>
      </c>
      <c r="GC34" s="22">
        <f t="shared" si="25"/>
        <v>266.68863313173614</v>
      </c>
      <c r="GD34" s="62">
        <f t="shared" si="26"/>
        <v>560.02196646506945</v>
      </c>
      <c r="GE34" s="62">
        <f ca="1">AVERAGE(OFFSET($GD$3,0,0,'Données projet'!$E$17+1,1))-AVERAGE(OFFSET($H$3,0,0,'Données projet'!$E$17+1,1))</f>
        <v>408.91016501484626</v>
      </c>
      <c r="GF34" s="62">
        <f t="shared" si="50"/>
        <v>354.22396807666433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10.8</v>
      </c>
      <c r="GU34" s="13">
        <f>IF('Données projet'!$A$270&gt;35,GU33+GT34-HC33,IF(A34&lt;'Données projet'!$A$270,$GR$205^A34,IF(A34='Données projet'!$A$270,'Données projet'!$B$270,GU33+GT34-HC33)))</f>
        <v>131.80000000000004</v>
      </c>
      <c r="GV34" s="18">
        <f>GU34*VLOOKUP('Données projet'!$B$18,Paramètres!$A$1:$I$89,3,0)*VLOOKUP('Données projet'!$B$18,Paramètres!$A$1:$I$89,5,0)</f>
        <v>127.47696000000003</v>
      </c>
      <c r="GW34" s="14">
        <f t="shared" si="51"/>
        <v>33.412695535466739</v>
      </c>
      <c r="GX34" s="22">
        <f t="shared" si="28"/>
        <v>280.21615005760458</v>
      </c>
      <c r="GY34" s="62">
        <f t="shared" si="29"/>
        <v>573.54948339093789</v>
      </c>
      <c r="GZ34" s="62">
        <f ca="1">AVERAGE(OFFSET($GY$3,0,0,'Données projet'!$E$18+1,1))-AVERAGE(OFFSET($H$3,0,0,'Données projet'!$E$18+1,1))</f>
        <v>562.69380557620775</v>
      </c>
      <c r="HA34" s="62">
        <f t="shared" si="52"/>
        <v>294.45557293177131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2">
        <f t="shared" si="0"/>
        <v>576.86852712790665</v>
      </c>
      <c r="S35" s="62">
        <f ca="1">AVERAGE(OFFSET($R$3,0,0,'Données projet'!$E$9+1,1))-AVERAGE(OFFSET($H$3,0,0,'Données projet'!$E$9+1,1))</f>
        <v>529.25712986118265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11.5</v>
      </c>
      <c r="AI35" s="14">
        <f>IF('Données projet'!$A$62&gt;35,AI34+AH35-AQ34,IF(A35&lt;'Données projet'!$A$62,$AF$205^A35,IF(A35='Données projet'!$A$62,'Données projet'!$B$62,AI34+AH35-AQ34)))</f>
        <v>130.49999999999997</v>
      </c>
      <c r="AJ35" s="14">
        <f>AI35*VLOOKUP('Données projet'!$B$10,Paramètres!$A$1:$I$89,3,0)*VLOOKUP('Données projet'!$B$10,Paramètres!$A$1:$I$89,5,0)</f>
        <v>101.78999999999998</v>
      </c>
      <c r="AK35" s="14">
        <f t="shared" si="35"/>
        <v>27.38799903683508</v>
      </c>
      <c r="AL35" s="22">
        <f t="shared" si="4"/>
        <v>224.98501498915437</v>
      </c>
      <c r="AM35" s="62">
        <f t="shared" si="5"/>
        <v>518.31834832248774</v>
      </c>
      <c r="AN35" s="62">
        <f ca="1">AVERAGE(OFFSET($AM$3,0,0,'Données projet'!$E$10+1,1))-AVERAGE(OFFSET($H$3,0,0,'Données projet'!$E$10+1,1))</f>
        <v>292.57482726862594</v>
      </c>
      <c r="AO35" s="62">
        <f t="shared" si="36"/>
        <v>283.48738729114024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15.2</v>
      </c>
      <c r="BD35" s="13">
        <f>IF('Données projet'!$A$88&gt;35,BD34+BC35-BL34,IF(A35&lt;'Données projet'!$A$88,$BA$205^A35,IF(A35='Données projet'!$A$88,'Données projet'!$B$88,BD34+BC35-BL34)))</f>
        <v>193.40000000000003</v>
      </c>
      <c r="BE35" s="14">
        <f>BD35*VLOOKUP('Données projet'!$B$11,Paramètres!$A$1:$I$89,3,0)*VLOOKUP('Données projet'!$B$11,Paramètres!$A$1:$I$89,5,0)</f>
        <v>141.80088000000003</v>
      </c>
      <c r="BF35" s="14">
        <f t="shared" si="37"/>
        <v>36.709254421801973</v>
      </c>
      <c r="BG35" s="22">
        <f t="shared" si="7"/>
        <v>310.90515078463847</v>
      </c>
      <c r="BH35" s="62">
        <f t="shared" si="8"/>
        <v>604.23848411797178</v>
      </c>
      <c r="BI35" s="62">
        <f ca="1">AVERAGE(OFFSET($BH$3,0,0,'Données projet'!$E$11+1,1))-AVERAGE(OFFSET($H$3,0,0,'Données projet'!$E$11+1,1))</f>
        <v>397.24545766894346</v>
      </c>
      <c r="BJ35" s="62">
        <f t="shared" si="38"/>
        <v>431.44557882369696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8.6</v>
      </c>
      <c r="BY35" s="13">
        <f>IF('Données projet'!$A$114&gt;35,BY34+BX35-CG34,IF(A35&lt;'Données projet'!$A$114,$BV$205^A35,IF(A35='Données projet'!$A$114,'Données projet'!$B$114,BY34+BX35-CG34)))</f>
        <v>178.20000000000002</v>
      </c>
      <c r="BZ35" s="14">
        <f>BY35*VLOOKUP('Données projet'!$B$12,Paramètres!$A$1:$I$89,3,0)*VLOOKUP('Données projet'!$B$12,Paramètres!$A$1:$I$89,5,0)</f>
        <v>116.75664000000002</v>
      </c>
      <c r="CA35" s="14">
        <f t="shared" si="39"/>
        <v>30.91733675897062</v>
      </c>
      <c r="CB35" s="22">
        <f t="shared" si="10"/>
        <v>257.19884285520715</v>
      </c>
      <c r="CC35" s="62">
        <f t="shared" si="11"/>
        <v>550.53217618854046</v>
      </c>
      <c r="CD35" s="62">
        <f ca="1">AVERAGE(OFFSET($CC$3,0,0,'Données projet'!$E$12+1,1))-AVERAGE(OFFSET($H$3,0,0,'Données projet'!$E$12+1,1))</f>
        <v>277.27246253233807</v>
      </c>
      <c r="CE35" s="62">
        <f t="shared" si="40"/>
        <v>269.61868559913404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77.500800000000012</v>
      </c>
      <c r="CV35" s="14">
        <f t="shared" si="41"/>
        <v>21.524992579009275</v>
      </c>
      <c r="CW35" s="22">
        <f t="shared" si="13"/>
        <v>172.46992207510786</v>
      </c>
      <c r="CX35" s="62">
        <f t="shared" si="14"/>
        <v>465.80325540844115</v>
      </c>
      <c r="CY35" s="62">
        <f ca="1">AVERAGE(OFFSET($CX$3,0,0,'Données projet'!$E$13+1,1))-AVERAGE(OFFSET($H$3,0,0,'Données projet'!$E$13+1,1))</f>
        <v>402.15128814037058</v>
      </c>
      <c r="CZ35" s="62">
        <f t="shared" si="42"/>
        <v>232.85411068442738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8.5897435897435965</v>
      </c>
      <c r="DO35" s="13">
        <f>IF('Données projet'!$A$166&gt;35,DO34+DN35-DW34,IF(A35&lt;'Données projet'!$A$166,$DL$205^A35,IF(A35='Données projet'!$A$166,'Données projet'!$B$166,DO34+DN35-DW34)))</f>
        <v>158.20512820512818</v>
      </c>
      <c r="DP35" s="18">
        <f>DO35*VLOOKUP('Données projet'!$B$14,Paramètres!$A$1:$I$89,3,0)*VLOOKUP('Données projet'!$B$14,Paramètres!$A$1:$I$89,5,0)</f>
        <v>150.54799999999997</v>
      </c>
      <c r="DQ35" s="14">
        <f t="shared" si="43"/>
        <v>38.703094144084069</v>
      </c>
      <c r="DR35" s="22">
        <f t="shared" si="16"/>
        <v>329.61232230094635</v>
      </c>
      <c r="DS35" s="62">
        <f t="shared" si="17"/>
        <v>622.94565563427966</v>
      </c>
      <c r="DT35" s="62">
        <f ca="1">AVERAGE(OFFSET($DS$3,0,0,'Données projet'!$E$14+1,1))-AVERAGE(OFFSET($H$3,0,0,'Données projet'!$E$14+1,1))</f>
        <v>485.18236169209541</v>
      </c>
      <c r="DU35" s="62">
        <f t="shared" si="44"/>
        <v>417.30339652956951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15.2</v>
      </c>
      <c r="EJ35" s="13">
        <f>IF('Données projet'!$A$192&gt;35,EJ34+EI35-ER34,IF(A35&lt;'Données projet'!$A$192,$EG$205^A35,IF(A35='Données projet'!$A$192,'Données projet'!$B$192,EJ34+EI35-ER34)))</f>
        <v>193.40000000000003</v>
      </c>
      <c r="EK35" s="18">
        <f>EJ35*VLOOKUP('Données projet'!$B$15,Paramètres!$A$1:$I$89,3,0)*VLOOKUP('Données projet'!$B$15,Paramètres!$A$1:$I$89,5,0)</f>
        <v>153.86904000000004</v>
      </c>
      <c r="EL35" s="14">
        <f t="shared" si="45"/>
        <v>39.456531419736123</v>
      </c>
      <c r="EM35" s="22">
        <f t="shared" si="19"/>
        <v>336.70870355604046</v>
      </c>
      <c r="EN35" s="62">
        <f t="shared" si="20"/>
        <v>630.04203688937378</v>
      </c>
      <c r="EO35" s="62">
        <f ca="1">AVERAGE(OFFSET($EN$3,0,0,'Données projet'!$E$15+1,1))-AVERAGE(OFFSET($H$3,0,0,'Données projet'!$E$15+1,1))</f>
        <v>427.78067187784063</v>
      </c>
      <c r="EP35" s="62">
        <f t="shared" si="46"/>
        <v>464.22892523825118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14.166666666666666</v>
      </c>
      <c r="FE35" s="13">
        <f>IF('Données projet'!$A$218&gt;35,FE34+FD35-FM34,IF(A35&lt;'Données projet'!$A$218,$FB$205^A35,IF(A35='Données projet'!$A$218,'Données projet'!$B$218,FE34+FD35-FM34)))</f>
        <v>117.33333333333333</v>
      </c>
      <c r="FF35" s="18">
        <f>FE35*VLOOKUP('Données projet'!$B$16,Paramètres!$A$1:$I$89,3,0)*VLOOKUP('Données projet'!$B$16,Paramètres!$A$1:$I$89,5,0)</f>
        <v>100.672</v>
      </c>
      <c r="FG35" s="14">
        <f t="shared" si="47"/>
        <v>27.122029824032914</v>
      </c>
      <c r="FH35" s="22">
        <f t="shared" si="22"/>
        <v>222.57460194352402</v>
      </c>
      <c r="FI35" s="62">
        <f t="shared" si="23"/>
        <v>515.9079352768573</v>
      </c>
      <c r="FJ35" s="62">
        <f ca="1">AVERAGE(OFFSET($FI$3,0,0,'Données projet'!$E$16+1,1))-AVERAGE(OFFSET($H$3,0,0,'Données projet'!$E$16+1,1))</f>
        <v>448.44001099301806</v>
      </c>
      <c r="FK35" s="62">
        <f t="shared" si="48"/>
        <v>230.82970731138215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9.4871794871794854</v>
      </c>
      <c r="FZ35" s="13">
        <f>IF('Données projet'!$A$244&gt;35,FZ34+FY35-GH34,IF(A35&lt;'Données projet'!$A$244,$FW$205^A35,IF(A35='Données projet'!$A$244,'Données projet'!$B$244,FZ34+FY35-GH34)))</f>
        <v>190.12820512820508</v>
      </c>
      <c r="GA35" s="18">
        <f>FZ35*VLOOKUP('Données projet'!$B$17,Paramètres!$A$1:$I$89,3,0)*VLOOKUP('Données projet'!$B$17,Paramètres!$A$1:$I$89,5,0)</f>
        <v>127.53799999999998</v>
      </c>
      <c r="GB35" s="14">
        <f t="shared" si="49"/>
        <v>33.426831906857181</v>
      </c>
      <c r="GC35" s="22">
        <f t="shared" si="25"/>
        <v>280.34708223777625</v>
      </c>
      <c r="GD35" s="62">
        <f t="shared" si="26"/>
        <v>573.68041557110951</v>
      </c>
      <c r="GE35" s="62">
        <f ca="1">AVERAGE(OFFSET($GD$3,0,0,'Données projet'!$E$17+1,1))-AVERAGE(OFFSET($H$3,0,0,'Données projet'!$E$17+1,1))</f>
        <v>408.91016501484626</v>
      </c>
      <c r="GF35" s="62">
        <f t="shared" si="50"/>
        <v>354.22396807666433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10.8</v>
      </c>
      <c r="GU35" s="13">
        <f>IF('Données projet'!$A$270&gt;35,GU34+GT35-HC34,IF(A35&lt;'Données projet'!$A$270,$GR$205^A35,IF(A35='Données projet'!$A$270,'Données projet'!$B$270,GU34+GT35-HC34)))</f>
        <v>142.60000000000005</v>
      </c>
      <c r="GV35" s="18">
        <f>GU35*VLOOKUP('Données projet'!$B$18,Paramètres!$A$1:$I$89,3,0)*VLOOKUP('Données projet'!$B$18,Paramètres!$A$1:$I$89,5,0)</f>
        <v>137.92272000000006</v>
      </c>
      <c r="GW35" s="14">
        <f t="shared" si="51"/>
        <v>35.82071658526872</v>
      </c>
      <c r="GX35" s="22">
        <f t="shared" si="28"/>
        <v>302.60315205267642</v>
      </c>
      <c r="GY35" s="62">
        <f t="shared" si="29"/>
        <v>595.93648538600974</v>
      </c>
      <c r="GZ35" s="62">
        <f ca="1">AVERAGE(OFFSET($GY$3,0,0,'Données projet'!$E$18+1,1))-AVERAGE(OFFSET($H$3,0,0,'Données projet'!$E$18+1,1))</f>
        <v>562.69380557620775</v>
      </c>
      <c r="HA35" s="62">
        <f t="shared" si="52"/>
        <v>294.45557293177131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2">
        <f t="shared" si="0"/>
        <v>597.80704287706772</v>
      </c>
      <c r="S36" s="62">
        <f ca="1">AVERAGE(OFFSET($R$3,0,0,'Données projet'!$E$9+1,1))-AVERAGE(OFFSET($H$3,0,0,'Données projet'!$E$9+1,1))</f>
        <v>529.25712986118265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11.5</v>
      </c>
      <c r="AI36" s="14">
        <f>IF('Données projet'!$A$62&gt;35,AI35+AH36-AQ35,IF(A36&lt;'Données projet'!$A$62,$AF$205^A36,IF(A36='Données projet'!$A$62,'Données projet'!$B$62,AI35+AH36-AQ35)))</f>
        <v>141.99999999999997</v>
      </c>
      <c r="AJ36" s="14">
        <f>AI36*VLOOKUP('Données projet'!$B$10,Paramètres!$A$1:$I$89,3,0)*VLOOKUP('Données projet'!$B$10,Paramètres!$A$1:$I$89,5,0)</f>
        <v>110.75999999999998</v>
      </c>
      <c r="AK36" s="14">
        <f t="shared" si="35"/>
        <v>29.509974682362923</v>
      </c>
      <c r="AL36" s="22">
        <f t="shared" si="4"/>
        <v>244.30353923844871</v>
      </c>
      <c r="AM36" s="62">
        <f t="shared" si="5"/>
        <v>537.63687257178208</v>
      </c>
      <c r="AN36" s="62">
        <f ca="1">AVERAGE(OFFSET($AM$3,0,0,'Données projet'!$E$10+1,1))-AVERAGE(OFFSET($H$3,0,0,'Données projet'!$E$10+1,1))</f>
        <v>292.57482726862594</v>
      </c>
      <c r="AO36" s="62">
        <f t="shared" si="36"/>
        <v>283.48738729114024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15.2</v>
      </c>
      <c r="BD36" s="13">
        <f>IF('Données projet'!$A$88&gt;35,BD35+BC36-BL35,IF(A36&lt;'Données projet'!$A$88,$BA$205^A36,IF(A36='Données projet'!$A$88,'Données projet'!$B$88,BD35+BC36-BL35)))</f>
        <v>208.60000000000002</v>
      </c>
      <c r="BE36" s="14">
        <f>BD36*VLOOKUP('Données projet'!$B$11,Paramètres!$A$1:$I$89,3,0)*VLOOKUP('Données projet'!$B$11,Paramètres!$A$1:$I$89,5,0)</f>
        <v>152.94552000000002</v>
      </c>
      <c r="BF36" s="14">
        <f t="shared" si="37"/>
        <v>39.247206134585156</v>
      </c>
      <c r="BG36" s="22">
        <f t="shared" si="7"/>
        <v>334.73566468440248</v>
      </c>
      <c r="BH36" s="62">
        <f t="shared" si="8"/>
        <v>628.06899801773579</v>
      </c>
      <c r="BI36" s="62">
        <f ca="1">AVERAGE(OFFSET($BH$3,0,0,'Données projet'!$E$11+1,1))-AVERAGE(OFFSET($H$3,0,0,'Données projet'!$E$11+1,1))</f>
        <v>397.24545766894346</v>
      </c>
      <c r="BJ36" s="62">
        <f t="shared" si="38"/>
        <v>431.44557882369696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8.6</v>
      </c>
      <c r="BY36" s="13">
        <f>IF('Données projet'!$A$114&gt;35,BY35+BX36-CG35,IF(A36&lt;'Données projet'!$A$114,$BV$205^A36,IF(A36='Données projet'!$A$114,'Données projet'!$B$114,BY35+BX36-CG35)))</f>
        <v>186.8</v>
      </c>
      <c r="BZ36" s="14">
        <f>BY36*VLOOKUP('Données projet'!$B$12,Paramètres!$A$1:$I$89,3,0)*VLOOKUP('Données projet'!$B$12,Paramètres!$A$1:$I$89,5,0)</f>
        <v>122.39136000000001</v>
      </c>
      <c r="CA36" s="14">
        <f t="shared" si="39"/>
        <v>32.232102612215037</v>
      </c>
      <c r="CB36" s="22">
        <f t="shared" si="10"/>
        <v>269.30253071627453</v>
      </c>
      <c r="CC36" s="62">
        <f t="shared" si="11"/>
        <v>562.63586404960779</v>
      </c>
      <c r="CD36" s="62">
        <f ca="1">AVERAGE(OFFSET($CC$3,0,0,'Données projet'!$E$12+1,1))-AVERAGE(OFFSET($H$3,0,0,'Données projet'!$E$12+1,1))</f>
        <v>277.27246253233807</v>
      </c>
      <c r="CE36" s="62">
        <f t="shared" si="40"/>
        <v>269.61868559913404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84.240000000000009</v>
      </c>
      <c r="CV36" s="14">
        <f t="shared" si="41"/>
        <v>23.170749718409468</v>
      </c>
      <c r="CW36" s="22">
        <f t="shared" si="13"/>
        <v>187.07372242622981</v>
      </c>
      <c r="CX36" s="62">
        <f t="shared" si="14"/>
        <v>480.40705575956315</v>
      </c>
      <c r="CY36" s="62">
        <f ca="1">AVERAGE(OFFSET($CX$3,0,0,'Données projet'!$E$13+1,1))-AVERAGE(OFFSET($H$3,0,0,'Données projet'!$E$13+1,1))</f>
        <v>402.15128814037058</v>
      </c>
      <c r="CZ36" s="62">
        <f t="shared" si="42"/>
        <v>232.85411068442738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8.5897435897435965</v>
      </c>
      <c r="DO36" s="13">
        <f>IF('Données projet'!$A$166&gt;35,DO35+DN36-DW35,IF(A36&lt;'Données projet'!$A$166,$DL$205^A36,IF(A36='Données projet'!$A$166,'Données projet'!$B$166,DO35+DN36-DW35)))</f>
        <v>166.79487179487177</v>
      </c>
      <c r="DP36" s="18">
        <f>DO36*VLOOKUP('Données projet'!$B$14,Paramètres!$A$1:$I$89,3,0)*VLOOKUP('Données projet'!$B$14,Paramètres!$A$1:$I$89,5,0)</f>
        <v>158.72199999999998</v>
      </c>
      <c r="DQ36" s="14">
        <f t="shared" si="43"/>
        <v>40.554124536864236</v>
      </c>
      <c r="DR36" s="22">
        <f t="shared" si="16"/>
        <v>347.07258356837184</v>
      </c>
      <c r="DS36" s="62">
        <f t="shared" si="17"/>
        <v>640.40591690170515</v>
      </c>
      <c r="DT36" s="62">
        <f ca="1">AVERAGE(OFFSET($DS$3,0,0,'Données projet'!$E$14+1,1))-AVERAGE(OFFSET($H$3,0,0,'Données projet'!$E$14+1,1))</f>
        <v>485.18236169209541</v>
      </c>
      <c r="DU36" s="62">
        <f t="shared" si="44"/>
        <v>417.30339652956951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15.2</v>
      </c>
      <c r="EJ36" s="13">
        <f>IF('Données projet'!$A$192&gt;35,EJ35+EI36-ER35,IF(A36&lt;'Données projet'!$A$192,$EG$205^A36,IF(A36='Données projet'!$A$192,'Données projet'!$B$192,EJ35+EI36-ER35)))</f>
        <v>208.60000000000002</v>
      </c>
      <c r="EK36" s="18">
        <f>EJ36*VLOOKUP('Données projet'!$B$15,Paramètres!$A$1:$I$89,3,0)*VLOOKUP('Données projet'!$B$15,Paramètres!$A$1:$I$89,5,0)</f>
        <v>165.96216000000001</v>
      </c>
      <c r="EL36" s="14">
        <f t="shared" si="45"/>
        <v>42.184420424142857</v>
      </c>
      <c r="EM36" s="22">
        <f t="shared" si="19"/>
        <v>362.52196090538217</v>
      </c>
      <c r="EN36" s="62">
        <f t="shared" si="20"/>
        <v>655.85529423871549</v>
      </c>
      <c r="EO36" s="62">
        <f ca="1">AVERAGE(OFFSET($EN$3,0,0,'Données projet'!$E$15+1,1))-AVERAGE(OFFSET($H$3,0,0,'Données projet'!$E$15+1,1))</f>
        <v>427.78067187784063</v>
      </c>
      <c r="EP36" s="62">
        <f t="shared" si="46"/>
        <v>464.22892523825118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14.166666666666666</v>
      </c>
      <c r="FE36" s="13">
        <f>IF('Données projet'!$A$218&gt;35,FE35+FD36-FM35,IF(A36&lt;'Données projet'!$A$218,$FB$205^A36,IF(A36='Données projet'!$A$218,'Données projet'!$B$218,FE35+FD36-FM35)))</f>
        <v>131.5</v>
      </c>
      <c r="FF36" s="18">
        <f>FE36*VLOOKUP('Données projet'!$B$16,Paramètres!$A$1:$I$89,3,0)*VLOOKUP('Données projet'!$B$16,Paramètres!$A$1:$I$89,5,0)</f>
        <v>112.82700000000001</v>
      </c>
      <c r="FG36" s="14">
        <f t="shared" si="47"/>
        <v>29.996060965411449</v>
      </c>
      <c r="FH36" s="22">
        <f t="shared" si="22"/>
        <v>248.75016451475827</v>
      </c>
      <c r="FI36" s="62">
        <f t="shared" si="23"/>
        <v>542.08349784809161</v>
      </c>
      <c r="FJ36" s="62">
        <f ca="1">AVERAGE(OFFSET($FI$3,0,0,'Données projet'!$E$16+1,1))-AVERAGE(OFFSET($H$3,0,0,'Données projet'!$E$16+1,1))</f>
        <v>448.44001099301806</v>
      </c>
      <c r="FK36" s="62">
        <f t="shared" si="48"/>
        <v>230.82970731138215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9.4871794871794854</v>
      </c>
      <c r="FZ36" s="13">
        <f>IF('Données projet'!$A$244&gt;35,FZ35+FY36-GH35,IF(A36&lt;'Données projet'!$A$244,$FW$205^A36,IF(A36='Données projet'!$A$244,'Données projet'!$B$244,FZ35+FY36-GH35)))</f>
        <v>199.61538461538456</v>
      </c>
      <c r="GA36" s="18">
        <f>FZ36*VLOOKUP('Données projet'!$B$17,Paramètres!$A$1:$I$89,3,0)*VLOOKUP('Données projet'!$B$17,Paramètres!$A$1:$I$89,5,0)</f>
        <v>133.90199999999996</v>
      </c>
      <c r="GB36" s="14">
        <f t="shared" si="49"/>
        <v>34.896439218973008</v>
      </c>
      <c r="GC36" s="22">
        <f t="shared" si="25"/>
        <v>293.99061497304456</v>
      </c>
      <c r="GD36" s="62">
        <f t="shared" si="26"/>
        <v>587.32394830637782</v>
      </c>
      <c r="GE36" s="62">
        <f ca="1">AVERAGE(OFFSET($GD$3,0,0,'Données projet'!$E$17+1,1))-AVERAGE(OFFSET($H$3,0,0,'Données projet'!$E$17+1,1))</f>
        <v>408.91016501484626</v>
      </c>
      <c r="GF36" s="62">
        <f t="shared" si="50"/>
        <v>354.22396807666433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10.8</v>
      </c>
      <c r="GU36" s="13">
        <f>IF('Données projet'!$A$270&gt;35,GU35+GT36-HC35,IF(A36&lt;'Données projet'!$A$270,$GR$205^A36,IF(A36='Données projet'!$A$270,'Données projet'!$B$270,GU35+GT36-HC35)))</f>
        <v>153.40000000000006</v>
      </c>
      <c r="GV36" s="18">
        <f>GU36*VLOOKUP('Données projet'!$B$18,Paramètres!$A$1:$I$89,3,0)*VLOOKUP('Données projet'!$B$18,Paramètres!$A$1:$I$89,5,0)</f>
        <v>148.36848000000006</v>
      </c>
      <c r="GW36" s="14">
        <f t="shared" si="51"/>
        <v>38.207581183185937</v>
      </c>
      <c r="GX36" s="22">
        <f t="shared" si="28"/>
        <v>324.95330656071559</v>
      </c>
      <c r="GY36" s="62">
        <f t="shared" si="29"/>
        <v>618.2866398940489</v>
      </c>
      <c r="GZ36" s="62">
        <f ca="1">AVERAGE(OFFSET($GY$3,0,0,'Données projet'!$E$18+1,1))-AVERAGE(OFFSET($H$3,0,0,'Données projet'!$E$18+1,1))</f>
        <v>562.69380557620775</v>
      </c>
      <c r="HA36" s="62">
        <f t="shared" si="52"/>
        <v>294.45557293177131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2">
        <f t="shared" si="0"/>
        <v>618.71354371583652</v>
      </c>
      <c r="S37" s="62">
        <f ca="1">AVERAGE(OFFSET($R$3,0,0,'Données projet'!$E$9+1,1))-AVERAGE(OFFSET($H$3,0,0,'Données projet'!$E$9+1,1))</f>
        <v>529.25712986118265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11.5</v>
      </c>
      <c r="AI37" s="14">
        <f>IF('Données projet'!$A$62&gt;35,AI36+AH37-AQ36,IF(A37&lt;'Données projet'!$A$62,$AF$205^A37,IF(A37='Données projet'!$A$62,'Données projet'!$B$62,AI36+AH37-AQ36)))</f>
        <v>153.49999999999997</v>
      </c>
      <c r="AJ37" s="14">
        <f>AI37*VLOOKUP('Données projet'!$B$10,Paramètres!$A$1:$I$89,3,0)*VLOOKUP('Données projet'!$B$10,Paramètres!$A$1:$I$89,5,0)</f>
        <v>119.72999999999998</v>
      </c>
      <c r="AK37" s="14">
        <f t="shared" si="35"/>
        <v>31.612017974790529</v>
      </c>
      <c r="AL37" s="22">
        <f t="shared" si="4"/>
        <v>263.58734797276014</v>
      </c>
      <c r="AM37" s="62">
        <f t="shared" si="5"/>
        <v>556.92068130609346</v>
      </c>
      <c r="AN37" s="62">
        <f ca="1">AVERAGE(OFFSET($AM$3,0,0,'Données projet'!$E$10+1,1))-AVERAGE(OFFSET($H$3,0,0,'Données projet'!$E$10+1,1))</f>
        <v>292.57482726862594</v>
      </c>
      <c r="AO37" s="62">
        <f t="shared" si="36"/>
        <v>283.48738729114024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15.2</v>
      </c>
      <c r="BD37" s="13">
        <f>IF('Données projet'!$A$88&gt;35,BD36+BC37-BL36,IF(A37&lt;'Données projet'!$A$88,$BA$205^A37,IF(A37='Données projet'!$A$88,'Données projet'!$B$88,BD36+BC37-BL36)))</f>
        <v>223.8</v>
      </c>
      <c r="BE37" s="14">
        <f>BD37*VLOOKUP('Données projet'!$B$11,Paramètres!$A$1:$I$89,3,0)*VLOOKUP('Données projet'!$B$11,Paramètres!$A$1:$I$89,5,0)</f>
        <v>164.09016</v>
      </c>
      <c r="BF37" s="14">
        <f t="shared" si="37"/>
        <v>41.763702733606458</v>
      </c>
      <c r="BG37" s="22">
        <f t="shared" si="7"/>
        <v>358.52881092769786</v>
      </c>
      <c r="BH37" s="62">
        <f t="shared" si="8"/>
        <v>651.86214426103118</v>
      </c>
      <c r="BI37" s="62">
        <f ca="1">AVERAGE(OFFSET($BH$3,0,0,'Données projet'!$E$11+1,1))-AVERAGE(OFFSET($H$3,0,0,'Données projet'!$E$11+1,1))</f>
        <v>397.24545766894346</v>
      </c>
      <c r="BJ37" s="62">
        <f t="shared" si="38"/>
        <v>431.44557882369696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8.6</v>
      </c>
      <c r="BY37" s="13">
        <f>IF('Données projet'!$A$114&gt;35,BY36+BX37-CG36,IF(A37&lt;'Données projet'!$A$114,$BV$205^A37,IF(A37='Données projet'!$A$114,'Données projet'!$B$114,BY36+BX37-CG36)))</f>
        <v>195.4</v>
      </c>
      <c r="BZ37" s="14">
        <f>BY37*VLOOKUP('Données projet'!$B$12,Paramètres!$A$1:$I$89,3,0)*VLOOKUP('Données projet'!$B$12,Paramètres!$A$1:$I$89,5,0)</f>
        <v>128.02608000000001</v>
      </c>
      <c r="CA37" s="14">
        <f t="shared" si="39"/>
        <v>33.539839007242314</v>
      </c>
      <c r="CB37" s="22">
        <f t="shared" si="10"/>
        <v>281.39397560428034</v>
      </c>
      <c r="CC37" s="62">
        <f t="shared" si="11"/>
        <v>574.72730893761366</v>
      </c>
      <c r="CD37" s="62">
        <f ca="1">AVERAGE(OFFSET($CC$3,0,0,'Données projet'!$E$12+1,1))-AVERAGE(OFFSET($H$3,0,0,'Données projet'!$E$12+1,1))</f>
        <v>277.27246253233807</v>
      </c>
      <c r="CE37" s="62">
        <f t="shared" si="40"/>
        <v>269.61868559913404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90.97920000000002</v>
      </c>
      <c r="CV37" s="14">
        <f t="shared" si="41"/>
        <v>24.801235516871511</v>
      </c>
      <c r="CW37" s="22">
        <f t="shared" si="13"/>
        <v>201.65092519188457</v>
      </c>
      <c r="CX37" s="62">
        <f t="shared" si="14"/>
        <v>494.98425852521791</v>
      </c>
      <c r="CY37" s="62">
        <f ca="1">AVERAGE(OFFSET($CX$3,0,0,'Données projet'!$E$13+1,1))-AVERAGE(OFFSET($H$3,0,0,'Données projet'!$E$13+1,1))</f>
        <v>402.15128814037058</v>
      </c>
      <c r="CZ37" s="62">
        <f t="shared" si="42"/>
        <v>232.85411068442738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8.5897435897435965</v>
      </c>
      <c r="DO37" s="13">
        <f>IF('Données projet'!$A$166&gt;35,DO36+DN37-DW36,IF(A37&lt;'Données projet'!$A$166,$DL$205^A37,IF(A37='Données projet'!$A$166,'Données projet'!$B$166,DO36+DN37-DW36)))</f>
        <v>175.38461538461536</v>
      </c>
      <c r="DP37" s="18">
        <f>DO37*VLOOKUP('Données projet'!$B$14,Paramètres!$A$1:$I$89,3,0)*VLOOKUP('Données projet'!$B$14,Paramètres!$A$1:$I$89,5,0)</f>
        <v>166.89599999999999</v>
      </c>
      <c r="DQ37" s="14">
        <f t="shared" si="43"/>
        <v>42.394087017216606</v>
      </c>
      <c r="DR37" s="22">
        <f t="shared" si="16"/>
        <v>364.51356822165218</v>
      </c>
      <c r="DS37" s="62">
        <f t="shared" si="17"/>
        <v>657.84690155498549</v>
      </c>
      <c r="DT37" s="62">
        <f ca="1">AVERAGE(OFFSET($DS$3,0,0,'Données projet'!$E$14+1,1))-AVERAGE(OFFSET($H$3,0,0,'Données projet'!$E$14+1,1))</f>
        <v>485.18236169209541</v>
      </c>
      <c r="DU37" s="62">
        <f t="shared" si="44"/>
        <v>417.30339652956951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15.2</v>
      </c>
      <c r="EJ37" s="13">
        <f>IF('Données projet'!$A$192&gt;35,EJ36+EI37-ER36,IF(A37&lt;'Données projet'!$A$192,$EG$205^A37,IF(A37='Données projet'!$A$192,'Données projet'!$B$192,EJ36+EI37-ER36)))</f>
        <v>223.8</v>
      </c>
      <c r="EK37" s="18">
        <f>EJ37*VLOOKUP('Données projet'!$B$15,Paramètres!$A$1:$I$89,3,0)*VLOOKUP('Données projet'!$B$15,Paramètres!$A$1:$I$89,5,0)</f>
        <v>178.05528000000001</v>
      </c>
      <c r="EL37" s="14">
        <f t="shared" si="45"/>
        <v>44.889248639558041</v>
      </c>
      <c r="EM37" s="22">
        <f t="shared" si="19"/>
        <v>388.29505404723028</v>
      </c>
      <c r="EN37" s="62">
        <f t="shared" si="20"/>
        <v>681.62838738056359</v>
      </c>
      <c r="EO37" s="62">
        <f ca="1">AVERAGE(OFFSET($EN$3,0,0,'Données projet'!$E$15+1,1))-AVERAGE(OFFSET($H$3,0,0,'Données projet'!$E$15+1,1))</f>
        <v>427.78067187784063</v>
      </c>
      <c r="EP37" s="62">
        <f t="shared" si="46"/>
        <v>464.22892523825118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14.166666666666666</v>
      </c>
      <c r="FE37" s="13">
        <f>IF('Données projet'!$A$218&gt;35,FE36+FD37-FM36,IF(A37&lt;'Données projet'!$A$218,$FB$205^A37,IF(A37='Données projet'!$A$218,'Données projet'!$B$218,FE36+FD37-FM36)))</f>
        <v>145.66666666666666</v>
      </c>
      <c r="FF37" s="18">
        <f>FE37*VLOOKUP('Données projet'!$B$16,Paramètres!$A$1:$I$89,3,0)*VLOOKUP('Données projet'!$B$16,Paramètres!$A$1:$I$89,5,0)</f>
        <v>124.98200000000001</v>
      </c>
      <c r="FG37" s="14">
        <f t="shared" si="47"/>
        <v>32.834203796212122</v>
      </c>
      <c r="FH37" s="22">
        <f t="shared" si="22"/>
        <v>274.86322161173609</v>
      </c>
      <c r="FI37" s="62">
        <f t="shared" si="23"/>
        <v>568.19655494506947</v>
      </c>
      <c r="FJ37" s="62">
        <f ca="1">AVERAGE(OFFSET($FI$3,0,0,'Données projet'!$E$16+1,1))-AVERAGE(OFFSET($H$3,0,0,'Données projet'!$E$16+1,1))</f>
        <v>448.44001099301806</v>
      </c>
      <c r="FK37" s="62">
        <f t="shared" si="48"/>
        <v>230.82970731138215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9.4871794871794854</v>
      </c>
      <c r="FZ37" s="13">
        <f>IF('Données projet'!$A$244&gt;35,FZ36+FY37-GH36,IF(A37&lt;'Données projet'!$A$244,$FW$205^A37,IF(A37='Données projet'!$A$244,'Données projet'!$B$244,FZ36+FY37-GH36)))</f>
        <v>209.10256410256403</v>
      </c>
      <c r="GA37" s="18">
        <f>FZ37*VLOOKUP('Données projet'!$B$17,Paramètres!$A$1:$I$89,3,0)*VLOOKUP('Données projet'!$B$17,Paramètres!$A$1:$I$89,5,0)</f>
        <v>140.26599999999996</v>
      </c>
      <c r="GB37" s="14">
        <f t="shared" si="49"/>
        <v>36.357935626074344</v>
      </c>
      <c r="GC37" s="22">
        <f t="shared" si="25"/>
        <v>307.62002121541275</v>
      </c>
      <c r="GD37" s="62">
        <f t="shared" si="26"/>
        <v>600.95335454874612</v>
      </c>
      <c r="GE37" s="62">
        <f ca="1">AVERAGE(OFFSET($GD$3,0,0,'Données projet'!$E$17+1,1))-AVERAGE(OFFSET($H$3,0,0,'Données projet'!$E$17+1,1))</f>
        <v>408.91016501484626</v>
      </c>
      <c r="GF37" s="62">
        <f t="shared" si="50"/>
        <v>354.22396807666433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10.8</v>
      </c>
      <c r="GU37" s="13">
        <f>IF('Données projet'!$A$270&gt;35,GU36+GT37-HC36,IF(A37&lt;'Données projet'!$A$270,$GR$205^A37,IF(A37='Données projet'!$A$270,'Données projet'!$B$270,GU36+GT37-HC36)))</f>
        <v>164.20000000000007</v>
      </c>
      <c r="GV37" s="18">
        <f>GU37*VLOOKUP('Données projet'!$B$18,Paramètres!$A$1:$I$89,3,0)*VLOOKUP('Données projet'!$B$18,Paramètres!$A$1:$I$89,5,0)</f>
        <v>158.81424000000007</v>
      </c>
      <c r="GW37" s="14">
        <f t="shared" si="51"/>
        <v>40.574948252224658</v>
      </c>
      <c r="GX37" s="22">
        <f t="shared" si="28"/>
        <v>347.26950287262474</v>
      </c>
      <c r="GY37" s="62">
        <f t="shared" si="29"/>
        <v>640.60283620595806</v>
      </c>
      <c r="GZ37" s="62">
        <f ca="1">AVERAGE(OFFSET($GY$3,0,0,'Données projet'!$E$18+1,1))-AVERAGE(OFFSET($H$3,0,0,'Données projet'!$E$18+1,1))</f>
        <v>562.69380557620775</v>
      </c>
      <c r="HA37" s="62">
        <f t="shared" si="52"/>
        <v>294.45557293177131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2">
        <f t="shared" si="0"/>
        <v>639.59037499870374</v>
      </c>
      <c r="S38" s="62">
        <f ca="1">AVERAGE(OFFSET($R$3,0,0,'Données projet'!$E$9+1,1))-AVERAGE(OFFSET($H$3,0,0,'Données projet'!$E$9+1,1))</f>
        <v>529.25712986118265</v>
      </c>
      <c r="T38" s="62">
        <f t="shared" si="34"/>
        <v>278.21741231699929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11.5</v>
      </c>
      <c r="AI38" s="14">
        <f>IF('Données projet'!$A$62&gt;35,AI37+AH38-AQ37,IF(A38&lt;'Données projet'!$A$62,$AF$205^A38,IF(A38='Données projet'!$A$62,'Données projet'!$B$62,AI37+AH38-AQ37)))</f>
        <v>164.99999999999997</v>
      </c>
      <c r="AJ38" s="14">
        <f>AI38*VLOOKUP('Données projet'!$B$10,Paramètres!$A$1:$I$89,3,0)*VLOOKUP('Données projet'!$B$10,Paramètres!$A$1:$I$89,5,0)</f>
        <v>128.69999999999999</v>
      </c>
      <c r="AK38" s="14">
        <f t="shared" si="35"/>
        <v>33.695792019186115</v>
      </c>
      <c r="AL38" s="22">
        <f t="shared" si="4"/>
        <v>282.83933776674911</v>
      </c>
      <c r="AM38" s="62">
        <f t="shared" si="5"/>
        <v>576.17267110008243</v>
      </c>
      <c r="AN38" s="62">
        <f ca="1">AVERAGE(OFFSET($AM$3,0,0,'Données projet'!$E$10+1,1))-AVERAGE(OFFSET($H$3,0,0,'Données projet'!$E$10+1,1))</f>
        <v>292.57482726862594</v>
      </c>
      <c r="AO38" s="62">
        <f t="shared" si="36"/>
        <v>283.48738729114024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239</v>
      </c>
      <c r="BB38" s="13">
        <f>VLOOKUP(A38,'Données projet'!$A$87:$I$107,9,0)</f>
        <v>15.2</v>
      </c>
      <c r="BC38" s="13">
        <f t="array" ref="BC38">INDEX(BB:BB,MIN(IF(ISNUMBER(BB38:BB234),ROW(BB38:BB234),"")))</f>
        <v>15.2</v>
      </c>
      <c r="BD38" s="13">
        <f>IF('Données projet'!$A$88&gt;35,BD37+BC38-BL37,IF(A38&lt;'Données projet'!$A$88,$BA$205^A38,IF(A38='Données projet'!$A$88,'Données projet'!$B$88,BD37+BC38-BL37)))</f>
        <v>239</v>
      </c>
      <c r="BE38" s="14">
        <f>BD38*VLOOKUP('Données projet'!$B$11,Paramètres!$A$1:$I$89,3,0)*VLOOKUP('Données projet'!$B$11,Paramètres!$A$1:$I$89,5,0)</f>
        <v>175.23480000000001</v>
      </c>
      <c r="BF38" s="14">
        <f t="shared" si="37"/>
        <v>44.260367185241513</v>
      </c>
      <c r="BG38" s="22">
        <f t="shared" si="7"/>
        <v>382.28741618096228</v>
      </c>
      <c r="BH38" s="62">
        <f t="shared" si="8"/>
        <v>675.62074951429554</v>
      </c>
      <c r="BI38" s="62">
        <f ca="1">AVERAGE(OFFSET($BH$3,0,0,'Données projet'!$E$11+1,1))-AVERAGE(OFFSET($H$3,0,0,'Données projet'!$E$11+1,1))</f>
        <v>397.24545766894346</v>
      </c>
      <c r="BJ38" s="62">
        <f t="shared" si="38"/>
        <v>431.44557882369696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204</v>
      </c>
      <c r="BW38" s="13">
        <f>VLOOKUP(A38,'Données projet'!$A$113:$I$133,9,0)</f>
        <v>8.6</v>
      </c>
      <c r="BX38" s="13">
        <f t="array" ref="BX38">INDEX(BW:BW,MIN(IF(ISNUMBER(BW38:BW234),ROW(BW38:BW234),"")))</f>
        <v>8.6</v>
      </c>
      <c r="BY38" s="13">
        <f>IF('Données projet'!$A$114&gt;35,BY37+BX38-CG37,IF(A38&lt;'Données projet'!$A$114,$BV$205^A38,IF(A38='Données projet'!$A$114,'Données projet'!$B$114,BY37+BX38-CG37)))</f>
        <v>204</v>
      </c>
      <c r="BZ38" s="14">
        <f>BY38*VLOOKUP('Données projet'!$B$12,Paramètres!$A$1:$I$89,3,0)*VLOOKUP('Données projet'!$B$12,Paramètres!$A$1:$I$89,5,0)</f>
        <v>133.66079999999999</v>
      </c>
      <c r="CA38" s="14">
        <f t="shared" si="39"/>
        <v>34.840890682716747</v>
      </c>
      <c r="CB38" s="22">
        <f t="shared" si="10"/>
        <v>293.47377793906497</v>
      </c>
      <c r="CC38" s="62">
        <f t="shared" si="11"/>
        <v>586.80711127239829</v>
      </c>
      <c r="CD38" s="62">
        <f ca="1">AVERAGE(OFFSET($CC$3,0,0,'Données projet'!$E$12+1,1))-AVERAGE(OFFSET($H$3,0,0,'Données projet'!$E$12+1,1))</f>
        <v>277.27246253233807</v>
      </c>
      <c r="CE38" s="62">
        <f t="shared" si="40"/>
        <v>269.61868559913404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48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97.718400000000003</v>
      </c>
      <c r="CV38" s="14">
        <f t="shared" si="41"/>
        <v>26.417709819192194</v>
      </c>
      <c r="CW38" s="22">
        <f t="shared" si="13"/>
        <v>216.20372460175975</v>
      </c>
      <c r="CX38" s="62">
        <f t="shared" si="14"/>
        <v>509.53705793509306</v>
      </c>
      <c r="CY38" s="62">
        <f ca="1">AVERAGE(OFFSET($CX$3,0,0,'Données projet'!$E$13+1,1))-AVERAGE(OFFSET($H$3,0,0,'Données projet'!$E$13+1,1))</f>
        <v>402.15128814037058</v>
      </c>
      <c r="CZ38" s="62">
        <f t="shared" si="42"/>
        <v>232.85411068442738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183.97435897435898</v>
      </c>
      <c r="DM38" s="13">
        <f>VLOOKUP(A38,'Données projet'!$A$165:$I$185,9,0)</f>
        <v>8.5897435897435965</v>
      </c>
      <c r="DN38" s="13">
        <f t="array" ref="DN38">INDEX(DM:DM,MIN(IF(ISNUMBER(DM38:DM234),ROW(DM38:DM234),"")))</f>
        <v>8.5897435897435965</v>
      </c>
      <c r="DO38" s="13">
        <f>IF('Données projet'!$A$166&gt;35,DO37+DN38-DW37,IF(A38&lt;'Données projet'!$A$166,$DL$205^A38,IF(A38='Données projet'!$A$166,'Données projet'!$B$166,DO37+DN38-DW37)))</f>
        <v>183.97435897435895</v>
      </c>
      <c r="DP38" s="18">
        <f>DO38*VLOOKUP('Données projet'!$B$14,Paramètres!$A$1:$I$89,3,0)*VLOOKUP('Données projet'!$B$14,Paramètres!$A$1:$I$89,5,0)</f>
        <v>175.07</v>
      </c>
      <c r="DQ38" s="14">
        <f t="shared" si="43"/>
        <v>44.223585523313162</v>
      </c>
      <c r="DR38" s="22">
        <f t="shared" si="16"/>
        <v>381.93632811977039</v>
      </c>
      <c r="DS38" s="62">
        <f t="shared" si="17"/>
        <v>675.26966145310371</v>
      </c>
      <c r="DT38" s="62">
        <f ca="1">AVERAGE(OFFSET($DS$3,0,0,'Données projet'!$E$14+1,1))-AVERAGE(OFFSET($H$3,0,0,'Données projet'!$E$14+1,1))</f>
        <v>485.18236169209541</v>
      </c>
      <c r="DU38" s="62">
        <f t="shared" si="44"/>
        <v>417.30339652956951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239</v>
      </c>
      <c r="EH38" s="13">
        <f>VLOOKUP(A38,'Données projet'!$A$191:$I$211,9,0)</f>
        <v>15.2</v>
      </c>
      <c r="EI38" s="13">
        <f t="array" ref="EI38">INDEX(EH:EH,MIN(IF(ISNUMBER(EH38:EH234),ROW(EH38:EH234),"")))</f>
        <v>15.2</v>
      </c>
      <c r="EJ38" s="13">
        <f>IF('Données projet'!$A$192&gt;35,EJ37+EI38-ER37,IF(A38&lt;'Données projet'!$A$192,$EG$205^A38,IF(A38='Données projet'!$A$192,'Données projet'!$B$192,EJ37+EI38-ER37)))</f>
        <v>239</v>
      </c>
      <c r="EK38" s="18">
        <f>EJ38*VLOOKUP('Données projet'!$B$15,Paramètres!$A$1:$I$89,3,0)*VLOOKUP('Données projet'!$B$15,Paramètres!$A$1:$I$89,5,0)</f>
        <v>190.14840000000001</v>
      </c>
      <c r="EL38" s="14">
        <f t="shared" si="45"/>
        <v>47.572760493232991</v>
      </c>
      <c r="EM38" s="22">
        <f t="shared" si="19"/>
        <v>414.03102119238082</v>
      </c>
      <c r="EN38" s="62">
        <f t="shared" si="20"/>
        <v>707.36435452571413</v>
      </c>
      <c r="EO38" s="62">
        <f ca="1">AVERAGE(OFFSET($EN$3,0,0,'Données projet'!$E$15+1,1))-AVERAGE(OFFSET($H$3,0,0,'Données projet'!$E$15+1,1))</f>
        <v>427.78067187784063</v>
      </c>
      <c r="EP38" s="62">
        <f t="shared" si="46"/>
        <v>464.22892523825118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14.166666666666666</v>
      </c>
      <c r="FE38" s="13">
        <f>IF('Données projet'!$A$218&gt;35,FE37+FD38-FM37,IF(A38&lt;'Données projet'!$A$218,$FB$205^A38,IF(A38='Données projet'!$A$218,'Données projet'!$B$218,FE37+FD38-FM37)))</f>
        <v>159.83333333333331</v>
      </c>
      <c r="FF38" s="18">
        <f>FE38*VLOOKUP('Données projet'!$B$16,Paramètres!$A$1:$I$89,3,0)*VLOOKUP('Données projet'!$B$16,Paramètres!$A$1:$I$89,5,0)</f>
        <v>137.137</v>
      </c>
      <c r="FG38" s="14">
        <f t="shared" si="47"/>
        <v>35.64034577929781</v>
      </c>
      <c r="FH38" s="22">
        <f t="shared" si="22"/>
        <v>300.92054389894366</v>
      </c>
      <c r="FI38" s="62">
        <f t="shared" si="23"/>
        <v>594.25387723227698</v>
      </c>
      <c r="FJ38" s="62">
        <f ca="1">AVERAGE(OFFSET($FI$3,0,0,'Données projet'!$E$16+1,1))-AVERAGE(OFFSET($H$3,0,0,'Données projet'!$E$16+1,1))</f>
        <v>448.44001099301806</v>
      </c>
      <c r="FK38" s="62">
        <f t="shared" si="48"/>
        <v>230.82970731138215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218.58974358974359</v>
      </c>
      <c r="FX38" s="13">
        <f>VLOOKUP(A38,'Données projet'!$A$243:$I$263,9,0)</f>
        <v>9.4871794871794854</v>
      </c>
      <c r="FY38" s="13">
        <f t="array" ref="FY38">INDEX(FX:FX,MIN(IF(ISNUMBER(FX38:FX234),ROW(FX38:FX234),"")))</f>
        <v>9.4871794871794854</v>
      </c>
      <c r="FZ38" s="13">
        <f>IF('Données projet'!$A$244&gt;35,FZ37+FY38-GH37,IF(A38&lt;'Données projet'!$A$244,$FW$205^A38,IF(A38='Données projet'!$A$244,'Données projet'!$B$244,FZ37+FY38-GH37)))</f>
        <v>218.58974358974351</v>
      </c>
      <c r="GA38" s="18">
        <f>FZ38*VLOOKUP('Données projet'!$B$17,Paramètres!$A$1:$I$89,3,0)*VLOOKUP('Données projet'!$B$17,Paramètres!$A$1:$I$89,5,0)</f>
        <v>146.62999999999994</v>
      </c>
      <c r="GB38" s="14">
        <f t="shared" si="49"/>
        <v>37.811731167176816</v>
      </c>
      <c r="GC38" s="22">
        <f t="shared" si="25"/>
        <v>321.23601511616613</v>
      </c>
      <c r="GD38" s="62">
        <f t="shared" si="26"/>
        <v>614.56934844949944</v>
      </c>
      <c r="GE38" s="62">
        <f ca="1">AVERAGE(OFFSET($GD$3,0,0,'Données projet'!$E$17+1,1))-AVERAGE(OFFSET($H$3,0,0,'Données projet'!$E$17+1,1))</f>
        <v>408.91016501484626</v>
      </c>
      <c r="GF38" s="62">
        <f t="shared" si="50"/>
        <v>354.22396807666433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175</v>
      </c>
      <c r="GS38" s="13">
        <f>VLOOKUP(A38,'Données projet'!$A$269:$I$289,9,0)</f>
        <v>10.8</v>
      </c>
      <c r="GT38" s="13">
        <f t="array" ref="GT38">INDEX(GS:GS,MIN(IF(ISNUMBER(GS38:GS234),ROW(GS38:GS234),"")))</f>
        <v>10.8</v>
      </c>
      <c r="GU38" s="13">
        <f>IF('Données projet'!$A$270&gt;35,GU37+GT38-HC37,IF(A38&lt;'Données projet'!$A$270,$GR$205^A38,IF(A38='Données projet'!$A$270,'Données projet'!$B$270,GU37+GT38-HC37)))</f>
        <v>175.00000000000009</v>
      </c>
      <c r="GV38" s="18">
        <f>GU38*VLOOKUP('Données projet'!$B$18,Paramètres!$A$1:$I$89,3,0)*VLOOKUP('Données projet'!$B$18,Paramètres!$A$1:$I$89,5,0)</f>
        <v>169.2600000000001</v>
      </c>
      <c r="GW38" s="14">
        <f t="shared" si="51"/>
        <v>42.924246146122314</v>
      </c>
      <c r="GX38" s="22">
        <f t="shared" si="28"/>
        <v>369.55422870449644</v>
      </c>
      <c r="GY38" s="62">
        <f t="shared" si="29"/>
        <v>662.88756203782975</v>
      </c>
      <c r="GZ38" s="62">
        <f ca="1">AVERAGE(OFFSET($GY$3,0,0,'Données projet'!$E$18+1,1))-AVERAGE(OFFSET($H$3,0,0,'Données projet'!$E$18+1,1))</f>
        <v>562.69380557620775</v>
      </c>
      <c r="HA38" s="62">
        <f t="shared" si="52"/>
        <v>294.45557293177131</v>
      </c>
      <c r="HB38" s="16">
        <f>IF(ISNA(VLOOKUP(A38,'Données projet'!$A$269:$I$289,3,0)),0,VLOOKUP(A38,'Données projet'!$A$269:$I$289,3,0))</f>
        <v>2</v>
      </c>
      <c r="HC38" s="16">
        <f>IF(ISNA(VLOOKUP(A38,'Données projet'!$A$269:$I$289,4,0)),0,VLOOKUP(A38,'Données projet'!$A$269:$I$289,4,0))</f>
        <v>56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529.25712986118265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11.5</v>
      </c>
      <c r="AI39" s="14">
        <f>IF('Données projet'!$A$62&gt;35,AI38+AH39-AQ38,IF(A39&lt;'Données projet'!$A$62,$AF$205^A39,IF(A39='Données projet'!$A$62,'Données projet'!$B$62,AI38+AH39-AQ38)))</f>
        <v>176.49999999999997</v>
      </c>
      <c r="AJ39" s="14">
        <f>AI39*VLOOKUP('Données projet'!$B$10,Paramètres!$A$1:$I$89,3,0)*VLOOKUP('Données projet'!$B$10,Paramètres!$A$1:$I$89,5,0)</f>
        <v>137.66999999999999</v>
      </c>
      <c r="AK39" s="14">
        <f t="shared" si="35"/>
        <v>35.762714965854656</v>
      </c>
      <c r="AL39" s="22">
        <f t="shared" si="4"/>
        <v>302.06197856553018</v>
      </c>
      <c r="AM39" s="62">
        <f t="shared" si="5"/>
        <v>595.3953118988635</v>
      </c>
      <c r="AN39" s="62">
        <f ca="1">AVERAGE(OFFSET($AM$3,0,0,'Données projet'!$E$10+1,1))-AVERAGE(OFFSET($H$3,0,0,'Données projet'!$E$10+1,1))</f>
        <v>292.57482726862594</v>
      </c>
      <c r="AO39" s="62">
        <f t="shared" si="36"/>
        <v>283.48738729114024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13.2</v>
      </c>
      <c r="BD39" s="13">
        <f>IF('Données projet'!$A$88&gt;35,BD38+BC39-BL38,IF(A39&lt;'Données projet'!$A$88,$BA$205^A39,IF(A39='Données projet'!$A$88,'Données projet'!$B$88,BD38+BC39-BL38)))</f>
        <v>252.2</v>
      </c>
      <c r="BE39" s="14">
        <f>BD39*VLOOKUP('Données projet'!$B$11,Paramètres!$A$1:$I$89,3,0)*VLOOKUP('Données projet'!$B$11,Paramètres!$A$1:$I$89,5,0)</f>
        <v>184.91304</v>
      </c>
      <c r="BF39" s="14">
        <f t="shared" si="37"/>
        <v>46.413528054163329</v>
      </c>
      <c r="BG39" s="22">
        <f t="shared" si="7"/>
        <v>402.89377269433447</v>
      </c>
      <c r="BH39" s="62">
        <f t="shared" si="8"/>
        <v>696.22710602766779</v>
      </c>
      <c r="BI39" s="62">
        <f ca="1">AVERAGE(OFFSET($BH$3,0,0,'Données projet'!$E$11+1,1))-AVERAGE(OFFSET($H$3,0,0,'Données projet'!$E$11+1,1))</f>
        <v>397.24545766894346</v>
      </c>
      <c r="BJ39" s="62">
        <f t="shared" si="38"/>
        <v>431.44557882369696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7.8</v>
      </c>
      <c r="BY39" s="13">
        <f>IF('Données projet'!$A$114&gt;35,BY38+BX39-CG38,IF(A39&lt;'Données projet'!$A$114,$BV$205^A39,IF(A39='Données projet'!$A$114,'Données projet'!$B$114,BY38+BX39-CG38)))</f>
        <v>163.80000000000001</v>
      </c>
      <c r="BZ39" s="14">
        <f>BY39*VLOOKUP('Données projet'!$B$12,Paramètres!$A$1:$I$89,3,0)*VLOOKUP('Données projet'!$B$12,Paramètres!$A$1:$I$89,5,0)</f>
        <v>107.32176000000001</v>
      </c>
      <c r="CA39" s="14">
        <f t="shared" si="39"/>
        <v>28.699067963776873</v>
      </c>
      <c r="CB39" s="22">
        <f t="shared" si="10"/>
        <v>236.90294203691141</v>
      </c>
      <c r="CC39" s="62">
        <f t="shared" si="11"/>
        <v>530.2362753702447</v>
      </c>
      <c r="CD39" s="62">
        <f ca="1">AVERAGE(OFFSET($CC$3,0,0,'Données projet'!$E$12+1,1))-AVERAGE(OFFSET($H$3,0,0,'Données projet'!$E$12+1,1))</f>
        <v>277.27246253233807</v>
      </c>
      <c r="CE39" s="62">
        <f t="shared" si="40"/>
        <v>269.61868559913404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104.79456</v>
      </c>
      <c r="CV39" s="14">
        <f t="shared" si="41"/>
        <v>28.101103481959861</v>
      </c>
      <c r="CW39" s="22">
        <f t="shared" si="13"/>
        <v>231.45994723108012</v>
      </c>
      <c r="CX39" s="62">
        <f t="shared" si="14"/>
        <v>524.79328056441341</v>
      </c>
      <c r="CY39" s="62">
        <f ca="1">AVERAGE(OFFSET($CX$3,0,0,'Données projet'!$E$13+1,1))-AVERAGE(OFFSET($H$3,0,0,'Données projet'!$E$13+1,1))</f>
        <v>402.15128814037058</v>
      </c>
      <c r="CZ39" s="62">
        <f t="shared" si="42"/>
        <v>232.85411068442738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8.0769230769230766</v>
      </c>
      <c r="DO39" s="13">
        <f>IF('Données projet'!$A$166&gt;35,DO38+DN39-DW38,IF(A39&lt;'Données projet'!$A$166,$DL$205^A39,IF(A39='Données projet'!$A$166,'Données projet'!$B$166,DO38+DN39-DW38)))</f>
        <v>192.05128205128202</v>
      </c>
      <c r="DP39" s="18">
        <f>DO39*VLOOKUP('Données projet'!$B$14,Paramètres!$A$1:$I$89,3,0)*VLOOKUP('Données projet'!$B$14,Paramètres!$A$1:$I$89,5,0)</f>
        <v>182.75599999999997</v>
      </c>
      <c r="DQ39" s="14">
        <f t="shared" si="43"/>
        <v>45.934802088231386</v>
      </c>
      <c r="DR39" s="22">
        <f t="shared" si="16"/>
        <v>398.30314697033623</v>
      </c>
      <c r="DS39" s="62">
        <f t="shared" si="17"/>
        <v>691.63648030366949</v>
      </c>
      <c r="DT39" s="62">
        <f ca="1">AVERAGE(OFFSET($DS$3,0,0,'Données projet'!$E$14+1,1))-AVERAGE(OFFSET($H$3,0,0,'Données projet'!$E$14+1,1))</f>
        <v>485.18236169209541</v>
      </c>
      <c r="DU39" s="62">
        <f t="shared" si="44"/>
        <v>417.30339652956951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13.2</v>
      </c>
      <c r="EJ39" s="13">
        <f>IF('Données projet'!$A$192&gt;35,EJ38+EI39-ER38,IF(A39&lt;'Données projet'!$A$192,$EG$205^A39,IF(A39='Données projet'!$A$192,'Données projet'!$B$192,EJ38+EI39-ER38)))</f>
        <v>252.2</v>
      </c>
      <c r="EK39" s="18">
        <f>EJ39*VLOOKUP('Données projet'!$B$15,Paramètres!$A$1:$I$89,3,0)*VLOOKUP('Données projet'!$B$15,Paramètres!$A$1:$I$89,5,0)</f>
        <v>200.65031999999999</v>
      </c>
      <c r="EL39" s="14">
        <f t="shared" si="45"/>
        <v>49.88706136407562</v>
      </c>
      <c r="EM39" s="22">
        <f t="shared" si="19"/>
        <v>436.35260587576499</v>
      </c>
      <c r="EN39" s="62">
        <f t="shared" si="20"/>
        <v>729.68593920909825</v>
      </c>
      <c r="EO39" s="62">
        <f ca="1">AVERAGE(OFFSET($EN$3,0,0,'Données projet'!$E$15+1,1))-AVERAGE(OFFSET($H$3,0,0,'Données projet'!$E$15+1,1))</f>
        <v>427.78067187784063</v>
      </c>
      <c r="EP39" s="62">
        <f t="shared" si="46"/>
        <v>464.22892523825118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>
        <f>VLOOKUP(A39,'Données projet'!$A$217:$I$237,2,0)</f>
        <v>174</v>
      </c>
      <c r="FC39" s="13">
        <f>VLOOKUP(A39,'Données projet'!$A$217:$I$237,9,0)</f>
        <v>14.166666666666666</v>
      </c>
      <c r="FD39" s="13">
        <f t="array" ref="FD39">INDEX(FC:FC,MIN(IF(ISNUMBER(FC39:FC235),ROW(FC39:FC235),"")))</f>
        <v>14.166666666666666</v>
      </c>
      <c r="FE39" s="13">
        <f>IF('Données projet'!$A$218&gt;35,FE38+FD39-FM38,IF(A39&lt;'Données projet'!$A$218,$FB$205^A39,IF(A39='Données projet'!$A$218,'Données projet'!$B$218,FE38+FD39-FM38)))</f>
        <v>173.99999999999997</v>
      </c>
      <c r="FF39" s="18">
        <f>FE39*VLOOKUP('Données projet'!$B$16,Paramètres!$A$1:$I$89,3,0)*VLOOKUP('Données projet'!$B$16,Paramètres!$A$1:$I$89,5,0)</f>
        <v>149.29199999999997</v>
      </c>
      <c r="FG39" s="14">
        <f t="shared" si="47"/>
        <v>38.417645803815411</v>
      </c>
      <c r="FH39" s="22">
        <f t="shared" si="22"/>
        <v>326.9276331083118</v>
      </c>
      <c r="FI39" s="62">
        <f t="shared" si="23"/>
        <v>620.26096644164511</v>
      </c>
      <c r="FJ39" s="62">
        <f ca="1">AVERAGE(OFFSET($FI$3,0,0,'Données projet'!$E$16+1,1))-AVERAGE(OFFSET($H$3,0,0,'Données projet'!$E$16+1,1))</f>
        <v>448.44001099301806</v>
      </c>
      <c r="FK39" s="62">
        <f t="shared" si="48"/>
        <v>230.82970731138215</v>
      </c>
      <c r="FL39" s="16">
        <f>IF(ISNA(VLOOKUP(A39,'Données projet'!$A$217:$I$237,3,0)),0,VLOOKUP(A39,'Données projet'!$A$217:$I$237,3,0))</f>
        <v>3</v>
      </c>
      <c r="FM39" s="16">
        <f>IF(ISNA(VLOOKUP(A39,'Données projet'!$A$217:$I$237,4,0)),0,VLOOKUP(A39,'Données projet'!$A$217:$I$237,4,0))</f>
        <v>60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8.8461538461538449</v>
      </c>
      <c r="FZ39" s="13">
        <f>IF('Données projet'!$A$244&gt;35,FZ38+FY39-GH38,IF(A39&lt;'Données projet'!$A$244,$FW$205^A39,IF(A39='Données projet'!$A$244,'Données projet'!$B$244,FZ38+FY39-GH38)))</f>
        <v>227.43589743589735</v>
      </c>
      <c r="GA39" s="18">
        <f>FZ39*VLOOKUP('Données projet'!$B$17,Paramètres!$A$1:$I$89,3,0)*VLOOKUP('Données projet'!$B$17,Paramètres!$A$1:$I$89,5,0)</f>
        <v>152.56399999999994</v>
      </c>
      <c r="GB39" s="14">
        <f t="shared" si="49"/>
        <v>39.16068780876315</v>
      </c>
      <c r="GC39" s="22">
        <f t="shared" si="25"/>
        <v>333.9204979335957</v>
      </c>
      <c r="GD39" s="62">
        <f t="shared" si="26"/>
        <v>627.25383126692896</v>
      </c>
      <c r="GE39" s="62">
        <f ca="1">AVERAGE(OFFSET($GD$3,0,0,'Données projet'!$E$17+1,1))-AVERAGE(OFFSET($H$3,0,0,'Données projet'!$E$17+1,1))</f>
        <v>408.91016501484626</v>
      </c>
      <c r="GF39" s="62">
        <f t="shared" si="50"/>
        <v>354.22396807666433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11.2</v>
      </c>
      <c r="GU39" s="13">
        <f>IF('Données projet'!$A$270&gt;35,GU38+GT39-HC38,IF(A39&lt;'Données projet'!$A$270,$GR$205^A39,IF(A39='Données projet'!$A$270,'Données projet'!$B$270,GU38+GT39-HC38)))</f>
        <v>130.20000000000007</v>
      </c>
      <c r="GV39" s="18">
        <f>GU39*VLOOKUP('Données projet'!$B$18,Paramètres!$A$1:$I$89,3,0)*VLOOKUP('Données projet'!$B$18,Paramètres!$A$1:$I$89,5,0)</f>
        <v>125.92944000000007</v>
      </c>
      <c r="GW39" s="14">
        <f t="shared" si="51"/>
        <v>33.054038034052077</v>
      </c>
      <c r="GX39" s="22">
        <f t="shared" si="28"/>
        <v>276.89622424264081</v>
      </c>
      <c r="GY39" s="62">
        <f t="shared" si="29"/>
        <v>570.22955757597413</v>
      </c>
      <c r="GZ39" s="62">
        <f ca="1">AVERAGE(OFFSET($GY$3,0,0,'Données projet'!$E$18+1,1))-AVERAGE(OFFSET($H$3,0,0,'Données projet'!$E$18+1,1))</f>
        <v>562.69380557620775</v>
      </c>
      <c r="HA39" s="62">
        <f t="shared" si="52"/>
        <v>294.45557293177131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529.25712986118265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188</v>
      </c>
      <c r="AG40" s="13">
        <f>VLOOKUP(A40,'Données projet'!$A$61:$I$81,9,0)</f>
        <v>11.5</v>
      </c>
      <c r="AH40" s="13">
        <f t="array" ref="AH40">INDEX(AG:AG,MIN(IF(ISNUMBER(AG40:AG236),ROW(AG40:AG236),"")))</f>
        <v>11.5</v>
      </c>
      <c r="AI40" s="14">
        <f>IF('Données projet'!$A$62&gt;35,AI39+AH40-AQ39,IF(A40&lt;'Données projet'!$A$62,$AF$205^A40,IF(A40='Données projet'!$A$62,'Données projet'!$B$62,AI39+AH40-AQ39)))</f>
        <v>187.99999999999997</v>
      </c>
      <c r="AJ40" s="14">
        <f>AI40*VLOOKUP('Données projet'!$B$10,Paramètres!$A$1:$I$89,3,0)*VLOOKUP('Données projet'!$B$10,Paramètres!$A$1:$I$89,5,0)</f>
        <v>146.63999999999999</v>
      </c>
      <c r="AK40" s="14">
        <f t="shared" si="35"/>
        <v>37.814009712703026</v>
      </c>
      <c r="AL40" s="22">
        <f t="shared" si="4"/>
        <v>321.25740024962437</v>
      </c>
      <c r="AM40" s="62">
        <f t="shared" si="5"/>
        <v>614.59073358295768</v>
      </c>
      <c r="AN40" s="62">
        <f ca="1">AVERAGE(OFFSET($AM$3,0,0,'Données projet'!$E$10+1,1))-AVERAGE(OFFSET($H$3,0,0,'Données projet'!$E$10+1,1))</f>
        <v>292.57482726862594</v>
      </c>
      <c r="AO40" s="62">
        <f t="shared" si="36"/>
        <v>283.48738729114024</v>
      </c>
      <c r="AP40" s="16">
        <f>IF(ISNA(VLOOKUP(A40,'Données projet'!$A$61:$I$81,3,0)),0,VLOOKUP(A40,'Données projet'!$A$61:$I$81,3,0))</f>
        <v>3</v>
      </c>
      <c r="AQ40" s="16">
        <f>IF(ISNA(VLOOKUP(A40,'Données projet'!$A$61:$I$81,4,0)),0,VLOOKUP(A40,'Données projet'!$A$61:$I$81,4,0))</f>
        <v>36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13.2</v>
      </c>
      <c r="BD40" s="13">
        <f>IF('Données projet'!$A$88&gt;35,BD39+BC40-BL39,IF(A40&lt;'Données projet'!$A$88,$BA$205^A40,IF(A40='Données projet'!$A$88,'Données projet'!$B$88,BD39+BC40-BL39)))</f>
        <v>265.39999999999998</v>
      </c>
      <c r="BE40" s="14">
        <f>BD40*VLOOKUP('Données projet'!$B$11,Paramètres!$A$1:$I$89,3,0)*VLOOKUP('Données projet'!$B$11,Paramètres!$A$1:$I$89,5,0)</f>
        <v>194.59127999999998</v>
      </c>
      <c r="BF40" s="14">
        <f t="shared" si="37"/>
        <v>48.553604775680228</v>
      </c>
      <c r="BG40" s="22">
        <f t="shared" si="7"/>
        <v>423.47734098430971</v>
      </c>
      <c r="BH40" s="62">
        <f t="shared" si="8"/>
        <v>716.81067431764302</v>
      </c>
      <c r="BI40" s="62">
        <f ca="1">AVERAGE(OFFSET($BH$3,0,0,'Données projet'!$E$11+1,1))-AVERAGE(OFFSET($H$3,0,0,'Données projet'!$E$11+1,1))</f>
        <v>397.24545766894346</v>
      </c>
      <c r="BJ40" s="62">
        <f t="shared" si="38"/>
        <v>431.44557882369696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7.8</v>
      </c>
      <c r="BY40" s="13">
        <f>IF('Données projet'!$A$114&gt;35,BY39+BX40-CG39,IF(A40&lt;'Données projet'!$A$114,$BV$205^A40,IF(A40='Données projet'!$A$114,'Données projet'!$B$114,BY39+BX40-CG39)))</f>
        <v>171.60000000000002</v>
      </c>
      <c r="BZ40" s="14">
        <f>BY40*VLOOKUP('Données projet'!$B$12,Paramètres!$A$1:$I$89,3,0)*VLOOKUP('Données projet'!$B$12,Paramètres!$A$1:$I$89,5,0)</f>
        <v>112.43232</v>
      </c>
      <c r="CA40" s="14">
        <f t="shared" si="39"/>
        <v>29.903326635598326</v>
      </c>
      <c r="CB40" s="22">
        <f t="shared" si="10"/>
        <v>247.90125122366706</v>
      </c>
      <c r="CC40" s="62">
        <f t="shared" si="11"/>
        <v>541.2345845570004</v>
      </c>
      <c r="CD40" s="62">
        <f ca="1">AVERAGE(OFFSET($CC$3,0,0,'Données projet'!$E$12+1,1))-AVERAGE(OFFSET($H$3,0,0,'Données projet'!$E$12+1,1))</f>
        <v>277.27246253233807</v>
      </c>
      <c r="CE40" s="62">
        <f t="shared" si="40"/>
        <v>269.61868559913404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111.87072000000003</v>
      </c>
      <c r="CV40" s="14">
        <f t="shared" si="41"/>
        <v>29.771307279851975</v>
      </c>
      <c r="CW40" s="22">
        <f t="shared" si="13"/>
        <v>246.69319751240889</v>
      </c>
      <c r="CX40" s="62">
        <f t="shared" si="14"/>
        <v>540.02653084574217</v>
      </c>
      <c r="CY40" s="62">
        <f ca="1">AVERAGE(OFFSET($CX$3,0,0,'Données projet'!$E$13+1,1))-AVERAGE(OFFSET($H$3,0,0,'Données projet'!$E$13+1,1))</f>
        <v>402.15128814037058</v>
      </c>
      <c r="CZ40" s="62">
        <f t="shared" si="42"/>
        <v>232.85411068442738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8.0769230769230766</v>
      </c>
      <c r="DO40" s="13">
        <f>IF('Données projet'!$A$166&gt;35,DO39+DN40-DW39,IF(A40&lt;'Données projet'!$A$166,$DL$205^A40,IF(A40='Données projet'!$A$166,'Données projet'!$B$166,DO39+DN40-DW39)))</f>
        <v>200.12820512820508</v>
      </c>
      <c r="DP40" s="18">
        <f>DO40*VLOOKUP('Données projet'!$B$14,Paramètres!$A$1:$I$89,3,0)*VLOOKUP('Données projet'!$B$14,Paramètres!$A$1:$I$89,5,0)</f>
        <v>190.44199999999995</v>
      </c>
      <c r="DQ40" s="14">
        <f t="shared" si="43"/>
        <v>47.637659556602102</v>
      </c>
      <c r="DR40" s="22">
        <f t="shared" si="16"/>
        <v>414.65540706108186</v>
      </c>
      <c r="DS40" s="62">
        <f t="shared" si="17"/>
        <v>707.98874039441512</v>
      </c>
      <c r="DT40" s="62">
        <f ca="1">AVERAGE(OFFSET($DS$3,0,0,'Données projet'!$E$14+1,1))-AVERAGE(OFFSET($H$3,0,0,'Données projet'!$E$14+1,1))</f>
        <v>485.18236169209541</v>
      </c>
      <c r="DU40" s="62">
        <f t="shared" si="44"/>
        <v>417.30339652956951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13.2</v>
      </c>
      <c r="EJ40" s="13">
        <f>IF('Données projet'!$A$192&gt;35,EJ39+EI40-ER39,IF(A40&lt;'Données projet'!$A$192,$EG$205^A40,IF(A40='Données projet'!$A$192,'Données projet'!$B$192,EJ39+EI40-ER39)))</f>
        <v>265.39999999999998</v>
      </c>
      <c r="EK40" s="18">
        <f>EJ40*VLOOKUP('Données projet'!$B$15,Paramètres!$A$1:$I$89,3,0)*VLOOKUP('Données projet'!$B$15,Paramètres!$A$1:$I$89,5,0)</f>
        <v>211.15223999999998</v>
      </c>
      <c r="EL40" s="14">
        <f t="shared" si="45"/>
        <v>52.187298885462759</v>
      </c>
      <c r="EM40" s="22">
        <f t="shared" si="19"/>
        <v>458.64969689218088</v>
      </c>
      <c r="EN40" s="62">
        <f t="shared" si="20"/>
        <v>751.9830302255142</v>
      </c>
      <c r="EO40" s="62">
        <f ca="1">AVERAGE(OFFSET($EN$3,0,0,'Données projet'!$E$15+1,1))-AVERAGE(OFFSET($H$3,0,0,'Données projet'!$E$15+1,1))</f>
        <v>427.78067187784063</v>
      </c>
      <c r="EP40" s="62">
        <f t="shared" si="46"/>
        <v>464.22892523825118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15.166666666666666</v>
      </c>
      <c r="FE40" s="13">
        <f>IF('Données projet'!$A$218&gt;35,FE39+FD40-FM39,IF(A40&lt;'Données projet'!$A$218,$FB$205^A40,IF(A40='Données projet'!$A$218,'Données projet'!$B$218,FE39+FD40-FM39)))</f>
        <v>129.16666666666663</v>
      </c>
      <c r="FF40" s="18">
        <f>FE40*VLOOKUP('Données projet'!$B$16,Paramètres!$A$1:$I$89,3,0)*VLOOKUP('Données projet'!$B$16,Paramètres!$A$1:$I$89,5,0)</f>
        <v>110.82499999999999</v>
      </c>
      <c r="FG40" s="14">
        <f t="shared" si="47"/>
        <v>29.525276397875576</v>
      </c>
      <c r="FH40" s="22">
        <f t="shared" si="22"/>
        <v>244.44339805963327</v>
      </c>
      <c r="FI40" s="62">
        <f t="shared" si="23"/>
        <v>537.77673139296655</v>
      </c>
      <c r="FJ40" s="62">
        <f ca="1">AVERAGE(OFFSET($FI$3,0,0,'Données projet'!$E$16+1,1))-AVERAGE(OFFSET($H$3,0,0,'Données projet'!$E$16+1,1))</f>
        <v>448.44001099301806</v>
      </c>
      <c r="FK40" s="62">
        <f t="shared" si="48"/>
        <v>230.82970731138215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8.8461538461538449</v>
      </c>
      <c r="FZ40" s="13">
        <f>IF('Données projet'!$A$244&gt;35,FZ39+FY40-GH39,IF(A40&lt;'Données projet'!$A$244,$FW$205^A40,IF(A40='Données projet'!$A$244,'Données projet'!$B$244,FZ39+FY40-GH39)))</f>
        <v>236.28205128205119</v>
      </c>
      <c r="GA40" s="18">
        <f>FZ40*VLOOKUP('Données projet'!$B$17,Paramètres!$A$1:$I$89,3,0)*VLOOKUP('Données projet'!$B$17,Paramètres!$A$1:$I$89,5,0)</f>
        <v>158.49799999999993</v>
      </c>
      <c r="GB40" s="14">
        <f t="shared" si="49"/>
        <v>40.503549370816764</v>
      </c>
      <c r="GC40" s="22">
        <f t="shared" si="25"/>
        <v>346.59436515417241</v>
      </c>
      <c r="GD40" s="62">
        <f t="shared" si="26"/>
        <v>639.92769848750572</v>
      </c>
      <c r="GE40" s="62">
        <f ca="1">AVERAGE(OFFSET($GD$3,0,0,'Données projet'!$E$17+1,1))-AVERAGE(OFFSET($H$3,0,0,'Données projet'!$E$17+1,1))</f>
        <v>408.91016501484626</v>
      </c>
      <c r="GF40" s="62">
        <f t="shared" si="50"/>
        <v>354.22396807666433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11.2</v>
      </c>
      <c r="GU40" s="13">
        <f>IF('Données projet'!$A$270&gt;35,GU39+GT40-HC39,IF(A40&lt;'Données projet'!$A$270,$GR$205^A40,IF(A40='Données projet'!$A$270,'Données projet'!$B$270,GU39+GT40-HC39)))</f>
        <v>141.40000000000006</v>
      </c>
      <c r="GV40" s="18">
        <f>GU40*VLOOKUP('Données projet'!$B$18,Paramètres!$A$1:$I$89,3,0)*VLOOKUP('Données projet'!$B$18,Paramètres!$A$1:$I$89,5,0)</f>
        <v>136.76208000000005</v>
      </c>
      <c r="GW40" s="14">
        <f t="shared" si="51"/>
        <v>35.554236342883392</v>
      </c>
      <c r="GX40" s="22">
        <f t="shared" si="28"/>
        <v>300.11758429718867</v>
      </c>
      <c r="GY40" s="62">
        <f t="shared" si="29"/>
        <v>593.45091763052199</v>
      </c>
      <c r="GZ40" s="62">
        <f ca="1">AVERAGE(OFFSET($GY$3,0,0,'Données projet'!$E$18+1,1))-AVERAGE(OFFSET($H$3,0,0,'Données projet'!$E$18+1,1))</f>
        <v>562.69380557620775</v>
      </c>
      <c r="HA40" s="62">
        <f t="shared" si="52"/>
        <v>294.45557293177131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2">
        <f t="shared" si="0"/>
        <v>596.25717061705507</v>
      </c>
      <c r="S41" s="62">
        <f ca="1">AVERAGE(OFFSET($R$3,0,0,'Données projet'!$E$9+1,1))-AVERAGE(OFFSET($H$3,0,0,'Données projet'!$E$9+1,1))</f>
        <v>529.25712986118265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11.142857142857142</v>
      </c>
      <c r="AI41" s="14">
        <f>IF('Données projet'!$A$62&gt;35,AI40+AH41-AQ40,IF(A41&lt;'Données projet'!$A$62,$AF$205^A41,IF(A41='Données projet'!$A$62,'Données projet'!$B$62,AI40+AH41-AQ40)))</f>
        <v>163.14285714285711</v>
      </c>
      <c r="AJ41" s="14">
        <f>AI41*VLOOKUP('Données projet'!$B$10,Paramètres!$A$1:$I$89,3,0)*VLOOKUP('Données projet'!$B$10,Paramètres!$A$1:$I$89,5,0)</f>
        <v>127.25142857142855</v>
      </c>
      <c r="AK41" s="14">
        <f t="shared" si="35"/>
        <v>33.360457439554281</v>
      </c>
      <c r="AL41" s="22">
        <f t="shared" si="4"/>
        <v>279.73236813579507</v>
      </c>
      <c r="AM41" s="62">
        <f t="shared" si="5"/>
        <v>573.06570146912838</v>
      </c>
      <c r="AN41" s="62">
        <f ca="1">AVERAGE(OFFSET($AM$3,0,0,'Données projet'!$E$10+1,1))-AVERAGE(OFFSET($H$3,0,0,'Données projet'!$E$10+1,1))</f>
        <v>292.57482726862594</v>
      </c>
      <c r="AO41" s="62">
        <f t="shared" si="36"/>
        <v>283.48738729114024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13.2</v>
      </c>
      <c r="BD41" s="13">
        <f>IF('Données projet'!$A$88&gt;35,BD40+BC41-BL40,IF(A41&lt;'Données projet'!$A$88,$BA$205^A41,IF(A41='Données projet'!$A$88,'Données projet'!$B$88,BD40+BC41-BL40)))</f>
        <v>278.59999999999997</v>
      </c>
      <c r="BE41" s="14">
        <f>BD41*VLOOKUP('Données projet'!$B$11,Paramètres!$A$1:$I$89,3,0)*VLOOKUP('Données projet'!$B$11,Paramètres!$A$1:$I$89,5,0)</f>
        <v>204.26951999999997</v>
      </c>
      <c r="BF41" s="14">
        <f t="shared" si="37"/>
        <v>50.681322367447613</v>
      </c>
      <c r="BG41" s="22">
        <f t="shared" si="7"/>
        <v>444.03938378997123</v>
      </c>
      <c r="BH41" s="62">
        <f t="shared" si="8"/>
        <v>737.37271712330448</v>
      </c>
      <c r="BI41" s="62">
        <f ca="1">AVERAGE(OFFSET($BH$3,0,0,'Données projet'!$E$11+1,1))-AVERAGE(OFFSET($H$3,0,0,'Données projet'!$E$11+1,1))</f>
        <v>397.24545766894346</v>
      </c>
      <c r="BJ41" s="62">
        <f t="shared" si="38"/>
        <v>431.44557882369696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7.8</v>
      </c>
      <c r="BY41" s="13">
        <f>IF('Données projet'!$A$114&gt;35,BY40+BX41-CG40,IF(A41&lt;'Données projet'!$A$114,$BV$205^A41,IF(A41='Données projet'!$A$114,'Données projet'!$B$114,BY40+BX41-CG40)))</f>
        <v>179.40000000000003</v>
      </c>
      <c r="BZ41" s="14">
        <f>BY41*VLOOKUP('Données projet'!$B$12,Paramètres!$A$1:$I$89,3,0)*VLOOKUP('Données projet'!$B$12,Paramètres!$A$1:$I$89,5,0)</f>
        <v>117.54288000000003</v>
      </c>
      <c r="CA41" s="14">
        <f t="shared" si="39"/>
        <v>31.101228198889224</v>
      </c>
      <c r="CB41" s="22">
        <f t="shared" si="10"/>
        <v>258.88848844639881</v>
      </c>
      <c r="CC41" s="62">
        <f t="shared" si="11"/>
        <v>552.22182177973218</v>
      </c>
      <c r="CD41" s="62">
        <f ca="1">AVERAGE(OFFSET($CC$3,0,0,'Données projet'!$E$12+1,1))-AVERAGE(OFFSET($H$3,0,0,'Données projet'!$E$12+1,1))</f>
        <v>277.27246253233807</v>
      </c>
      <c r="CE41" s="62">
        <f t="shared" si="40"/>
        <v>269.61868559913404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118.94688000000004</v>
      </c>
      <c r="CV41" s="14">
        <f t="shared" si="41"/>
        <v>31.429250481525276</v>
      </c>
      <c r="CW41" s="22">
        <f t="shared" si="13"/>
        <v>261.90509392198993</v>
      </c>
      <c r="CX41" s="62">
        <f t="shared" si="14"/>
        <v>555.23842725532324</v>
      </c>
      <c r="CY41" s="62">
        <f ca="1">AVERAGE(OFFSET($CX$3,0,0,'Données projet'!$E$13+1,1))-AVERAGE(OFFSET($H$3,0,0,'Données projet'!$E$13+1,1))</f>
        <v>402.15128814037058</v>
      </c>
      <c r="CZ41" s="62">
        <f t="shared" si="42"/>
        <v>232.85411068442738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8.0769230769230766</v>
      </c>
      <c r="DO41" s="13">
        <f>IF('Données projet'!$A$166&gt;35,DO40+DN41-DW40,IF(A41&lt;'Données projet'!$A$166,$DL$205^A41,IF(A41='Données projet'!$A$166,'Données projet'!$B$166,DO40+DN41-DW40)))</f>
        <v>208.20512820512815</v>
      </c>
      <c r="DP41" s="18">
        <f>DO41*VLOOKUP('Données projet'!$B$14,Paramètres!$A$1:$I$89,3,0)*VLOOKUP('Données projet'!$B$14,Paramètres!$A$1:$I$89,5,0)</f>
        <v>198.12799999999996</v>
      </c>
      <c r="DQ41" s="14">
        <f t="shared" si="43"/>
        <v>49.332533884822226</v>
      </c>
      <c r="DR41" s="22">
        <f t="shared" si="16"/>
        <v>430.99376318273193</v>
      </c>
      <c r="DS41" s="62">
        <f t="shared" si="17"/>
        <v>724.32709651606524</v>
      </c>
      <c r="DT41" s="62">
        <f ca="1">AVERAGE(OFFSET($DS$3,0,0,'Données projet'!$E$14+1,1))-AVERAGE(OFFSET($H$3,0,0,'Données projet'!$E$14+1,1))</f>
        <v>485.18236169209541</v>
      </c>
      <c r="DU41" s="62">
        <f t="shared" si="44"/>
        <v>417.30339652956951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13.2</v>
      </c>
      <c r="EJ41" s="13">
        <f>IF('Données projet'!$A$192&gt;35,EJ40+EI41-ER40,IF(A41&lt;'Données projet'!$A$192,$EG$205^A41,IF(A41='Données projet'!$A$192,'Données projet'!$B$192,EJ40+EI41-ER40)))</f>
        <v>278.59999999999997</v>
      </c>
      <c r="EK41" s="18">
        <f>EJ41*VLOOKUP('Données projet'!$B$15,Paramètres!$A$1:$I$89,3,0)*VLOOKUP('Données projet'!$B$15,Paramètres!$A$1:$I$89,5,0)</f>
        <v>221.65415999999999</v>
      </c>
      <c r="EL41" s="14">
        <f t="shared" si="45"/>
        <v>54.474252334510162</v>
      </c>
      <c r="EM41" s="22">
        <f t="shared" si="19"/>
        <v>480.92365148260507</v>
      </c>
      <c r="EN41" s="62">
        <f t="shared" si="20"/>
        <v>774.25698481593838</v>
      </c>
      <c r="EO41" s="62">
        <f ca="1">AVERAGE(OFFSET($EN$3,0,0,'Données projet'!$E$15+1,1))-AVERAGE(OFFSET($H$3,0,0,'Données projet'!$E$15+1,1))</f>
        <v>427.78067187784063</v>
      </c>
      <c r="EP41" s="62">
        <f t="shared" si="46"/>
        <v>464.22892523825118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15.166666666666666</v>
      </c>
      <c r="FE41" s="13">
        <f>IF('Données projet'!$A$218&gt;35,FE40+FD41-FM40,IF(A41&lt;'Données projet'!$A$218,$FB$205^A41,IF(A41='Données projet'!$A$218,'Données projet'!$B$218,FE40+FD41-FM40)))</f>
        <v>144.33333333333329</v>
      </c>
      <c r="FF41" s="18">
        <f>FE41*VLOOKUP('Données projet'!$B$16,Paramètres!$A$1:$I$89,3,0)*VLOOKUP('Données projet'!$B$16,Paramètres!$A$1:$I$89,5,0)</f>
        <v>123.83799999999997</v>
      </c>
      <c r="FG41" s="14">
        <f t="shared" si="47"/>
        <v>32.568503009939569</v>
      </c>
      <c r="FH41" s="22">
        <f t="shared" si="22"/>
        <v>272.40799274231136</v>
      </c>
      <c r="FI41" s="62">
        <f t="shared" si="23"/>
        <v>565.74132607564468</v>
      </c>
      <c r="FJ41" s="62">
        <f ca="1">AVERAGE(OFFSET($FI$3,0,0,'Données projet'!$E$16+1,1))-AVERAGE(OFFSET($H$3,0,0,'Données projet'!$E$16+1,1))</f>
        <v>448.44001099301806</v>
      </c>
      <c r="FK41" s="62">
        <f t="shared" si="48"/>
        <v>230.82970731138215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8.8461538461538449</v>
      </c>
      <c r="FZ41" s="13">
        <f>IF('Données projet'!$A$244&gt;35,FZ40+FY41-GH40,IF(A41&lt;'Données projet'!$A$244,$FW$205^A41,IF(A41='Données projet'!$A$244,'Données projet'!$B$244,FZ40+FY41-GH40)))</f>
        <v>245.12820512820502</v>
      </c>
      <c r="GA41" s="18">
        <f>FZ41*VLOOKUP('Données projet'!$B$17,Paramètres!$A$1:$I$89,3,0)*VLOOKUP('Données projet'!$B$17,Paramètres!$A$1:$I$89,5,0)</f>
        <v>164.43199999999993</v>
      </c>
      <c r="GB41" s="14">
        <f t="shared" si="49"/>
        <v>41.840570175108574</v>
      </c>
      <c r="GC41" s="22">
        <f t="shared" si="25"/>
        <v>359.25805972164727</v>
      </c>
      <c r="GD41" s="62">
        <f t="shared" si="26"/>
        <v>652.59139305498059</v>
      </c>
      <c r="GE41" s="62">
        <f ca="1">AVERAGE(OFFSET($GD$3,0,0,'Données projet'!$E$17+1,1))-AVERAGE(OFFSET($H$3,0,0,'Données projet'!$E$17+1,1))</f>
        <v>408.91016501484626</v>
      </c>
      <c r="GF41" s="62">
        <f t="shared" si="50"/>
        <v>354.22396807666433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11.2</v>
      </c>
      <c r="GU41" s="13">
        <f>IF('Données projet'!$A$270&gt;35,GU40+GT41-HC40,IF(A41&lt;'Données projet'!$A$270,$GR$205^A41,IF(A41='Données projet'!$A$270,'Données projet'!$B$270,GU40+GT41-HC40)))</f>
        <v>152.60000000000005</v>
      </c>
      <c r="GV41" s="18">
        <f>GU41*VLOOKUP('Données projet'!$B$18,Paramètres!$A$1:$I$89,3,0)*VLOOKUP('Données projet'!$B$18,Paramètres!$A$1:$I$89,5,0)</f>
        <v>147.59472000000005</v>
      </c>
      <c r="GW41" s="14">
        <f t="shared" si="51"/>
        <v>38.031463918082679</v>
      </c>
      <c r="GX41" s="22">
        <f t="shared" si="28"/>
        <v>323.29893699066071</v>
      </c>
      <c r="GY41" s="62">
        <f t="shared" si="29"/>
        <v>616.63227032399402</v>
      </c>
      <c r="GZ41" s="62">
        <f ca="1">AVERAGE(OFFSET($GY$3,0,0,'Données projet'!$E$18+1,1))-AVERAGE(OFFSET($H$3,0,0,'Données projet'!$E$18+1,1))</f>
        <v>562.69380557620775</v>
      </c>
      <c r="HA41" s="62">
        <f t="shared" si="52"/>
        <v>294.45557293177131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529.25712986118265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11.142857142857142</v>
      </c>
      <c r="AI42" s="14">
        <f>IF('Données projet'!$A$62&gt;35,AI41+AH42-AQ41,IF(A42&lt;'Données projet'!$A$62,$AF$205^A42,IF(A42='Données projet'!$A$62,'Données projet'!$B$62,AI41+AH42-AQ41)))</f>
        <v>174.28571428571425</v>
      </c>
      <c r="AJ42" s="14">
        <f>AI42*VLOOKUP('Données projet'!$B$10,Paramètres!$A$1:$I$89,3,0)*VLOOKUP('Données projet'!$B$10,Paramètres!$A$1:$I$89,5,0)</f>
        <v>135.94285714285712</v>
      </c>
      <c r="AK42" s="14">
        <f t="shared" si="35"/>
        <v>35.365986273808367</v>
      </c>
      <c r="AL42" s="22">
        <f t="shared" si="4"/>
        <v>298.36290228402572</v>
      </c>
      <c r="AM42" s="62">
        <f t="shared" si="5"/>
        <v>591.69623561735898</v>
      </c>
      <c r="AN42" s="62">
        <f ca="1">AVERAGE(OFFSET($AM$3,0,0,'Données projet'!$E$10+1,1))-AVERAGE(OFFSET($H$3,0,0,'Données projet'!$E$10+1,1))</f>
        <v>292.57482726862594</v>
      </c>
      <c r="AO42" s="62">
        <f t="shared" si="36"/>
        <v>283.48738729114024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13.2</v>
      </c>
      <c r="BD42" s="13">
        <f>IF('Données projet'!$A$88&gt;35,BD41+BC42-BL41,IF(A42&lt;'Données projet'!$A$88,$BA$205^A42,IF(A42='Données projet'!$A$88,'Données projet'!$B$88,BD41+BC42-BL41)))</f>
        <v>291.79999999999995</v>
      </c>
      <c r="BE42" s="14">
        <f>BD42*VLOOKUP('Données projet'!$B$11,Paramètres!$A$1:$I$89,3,0)*VLOOKUP('Données projet'!$B$11,Paramètres!$A$1:$I$89,5,0)</f>
        <v>213.94775999999993</v>
      </c>
      <c r="BF42" s="14">
        <f t="shared" si="37"/>
        <v>52.797333262596389</v>
      </c>
      <c r="BG42" s="22">
        <f t="shared" si="7"/>
        <v>464.58103743235523</v>
      </c>
      <c r="BH42" s="62">
        <f t="shared" si="8"/>
        <v>757.91437076568855</v>
      </c>
      <c r="BI42" s="62">
        <f ca="1">AVERAGE(OFFSET($BH$3,0,0,'Données projet'!$E$11+1,1))-AVERAGE(OFFSET($H$3,0,0,'Données projet'!$E$11+1,1))</f>
        <v>397.24545766894346</v>
      </c>
      <c r="BJ42" s="62">
        <f t="shared" si="38"/>
        <v>431.44557882369696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7.8</v>
      </c>
      <c r="BY42" s="13">
        <f>IF('Données projet'!$A$114&gt;35,BY41+BX42-CG41,IF(A42&lt;'Données projet'!$A$114,$BV$205^A42,IF(A42='Données projet'!$A$114,'Données projet'!$B$114,BY41+BX42-CG41)))</f>
        <v>187.20000000000005</v>
      </c>
      <c r="BZ42" s="14">
        <f>BY42*VLOOKUP('Données projet'!$B$12,Paramètres!$A$1:$I$89,3,0)*VLOOKUP('Données projet'!$B$12,Paramètres!$A$1:$I$89,5,0)</f>
        <v>122.65344000000002</v>
      </c>
      <c r="CA42" s="14">
        <f t="shared" si="39"/>
        <v>32.293080640759037</v>
      </c>
      <c r="CB42" s="22">
        <f t="shared" si="10"/>
        <v>269.8651901159887</v>
      </c>
      <c r="CC42" s="62">
        <f t="shared" si="11"/>
        <v>563.19852344932201</v>
      </c>
      <c r="CD42" s="62">
        <f ca="1">AVERAGE(OFFSET($CC$3,0,0,'Données projet'!$E$12+1,1))-AVERAGE(OFFSET($H$3,0,0,'Données projet'!$E$12+1,1))</f>
        <v>277.27246253233807</v>
      </c>
      <c r="CE42" s="62">
        <f t="shared" si="40"/>
        <v>269.61868559913404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126.02304000000004</v>
      </c>
      <c r="CV42" s="14">
        <f t="shared" si="41"/>
        <v>33.075745544773369</v>
      </c>
      <c r="CW42" s="22">
        <f t="shared" si="13"/>
        <v>277.0970514904804</v>
      </c>
      <c r="CX42" s="62">
        <f t="shared" si="14"/>
        <v>570.43038482381371</v>
      </c>
      <c r="CY42" s="62">
        <f ca="1">AVERAGE(OFFSET($CX$3,0,0,'Données projet'!$E$13+1,1))-AVERAGE(OFFSET($H$3,0,0,'Données projet'!$E$13+1,1))</f>
        <v>402.15128814037058</v>
      </c>
      <c r="CZ42" s="62">
        <f t="shared" si="42"/>
        <v>232.85411068442738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8.0769230769230766</v>
      </c>
      <c r="DO42" s="13">
        <f>IF('Données projet'!$A$166&gt;35,DO41+DN42-DW41,IF(A42&lt;'Données projet'!$A$166,$DL$205^A42,IF(A42='Données projet'!$A$166,'Données projet'!$B$166,DO41+DN42-DW41)))</f>
        <v>216.28205128205121</v>
      </c>
      <c r="DP42" s="18">
        <f>DO42*VLOOKUP('Données projet'!$B$14,Paramètres!$A$1:$I$89,3,0)*VLOOKUP('Données projet'!$B$14,Paramètres!$A$1:$I$89,5,0)</f>
        <v>205.81399999999996</v>
      </c>
      <c r="DQ42" s="14">
        <f t="shared" si="43"/>
        <v>51.019770208562008</v>
      </c>
      <c r="DR42" s="22">
        <f t="shared" si="16"/>
        <v>447.31881644657875</v>
      </c>
      <c r="DS42" s="62">
        <f t="shared" si="17"/>
        <v>740.65214977991207</v>
      </c>
      <c r="DT42" s="62">
        <f ca="1">AVERAGE(OFFSET($DS$3,0,0,'Données projet'!$E$14+1,1))-AVERAGE(OFFSET($H$3,0,0,'Données projet'!$E$14+1,1))</f>
        <v>485.18236169209541</v>
      </c>
      <c r="DU42" s="62">
        <f t="shared" si="44"/>
        <v>417.30339652956951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13.2</v>
      </c>
      <c r="EJ42" s="13">
        <f>IF('Données projet'!$A$192&gt;35,EJ41+EI42-ER41,IF(A42&lt;'Données projet'!$A$192,$EG$205^A42,IF(A42='Données projet'!$A$192,'Données projet'!$B$192,EJ41+EI42-ER41)))</f>
        <v>291.79999999999995</v>
      </c>
      <c r="EK42" s="18">
        <f>EJ42*VLOOKUP('Données projet'!$B$15,Paramètres!$A$1:$I$89,3,0)*VLOOKUP('Données projet'!$B$15,Paramètres!$A$1:$I$89,5,0)</f>
        <v>232.15607999999997</v>
      </c>
      <c r="EL42" s="14">
        <f t="shared" si="45"/>
        <v>56.748622971669057</v>
      </c>
      <c r="EM42" s="22">
        <f t="shared" si="19"/>
        <v>503.17569100899021</v>
      </c>
      <c r="EN42" s="62">
        <f t="shared" si="20"/>
        <v>796.50902434232353</v>
      </c>
      <c r="EO42" s="62">
        <f ca="1">AVERAGE(OFFSET($EN$3,0,0,'Données projet'!$E$15+1,1))-AVERAGE(OFFSET($H$3,0,0,'Données projet'!$E$15+1,1))</f>
        <v>427.78067187784063</v>
      </c>
      <c r="EP42" s="62">
        <f t="shared" si="46"/>
        <v>464.22892523825118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15.166666666666666</v>
      </c>
      <c r="FE42" s="13">
        <f>IF('Données projet'!$A$218&gt;35,FE41+FD42-FM41,IF(A42&lt;'Données projet'!$A$218,$FB$205^A42,IF(A42='Données projet'!$A$218,'Données projet'!$B$218,FE41+FD42-FM41)))</f>
        <v>159.49999999999994</v>
      </c>
      <c r="FF42" s="18">
        <f>FE42*VLOOKUP('Données projet'!$B$16,Paramètres!$A$1:$I$89,3,0)*VLOOKUP('Données projet'!$B$16,Paramètres!$A$1:$I$89,5,0)</f>
        <v>136.85099999999997</v>
      </c>
      <c r="FG42" s="14">
        <f t="shared" si="47"/>
        <v>35.574661452157265</v>
      </c>
      <c r="FH42" s="22">
        <f t="shared" si="22"/>
        <v>300.30802702917384</v>
      </c>
      <c r="FI42" s="62">
        <f t="shared" si="23"/>
        <v>593.64136036250716</v>
      </c>
      <c r="FJ42" s="62">
        <f ca="1">AVERAGE(OFFSET($FI$3,0,0,'Données projet'!$E$16+1,1))-AVERAGE(OFFSET($H$3,0,0,'Données projet'!$E$16+1,1))</f>
        <v>448.44001099301806</v>
      </c>
      <c r="FK42" s="62">
        <f t="shared" si="48"/>
        <v>230.82970731138215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8.8461538461538449</v>
      </c>
      <c r="FZ42" s="13">
        <f>IF('Données projet'!$A$244&gt;35,FZ41+FY42-GH41,IF(A42&lt;'Données projet'!$A$244,$FW$205^A42,IF(A42='Données projet'!$A$244,'Données projet'!$B$244,FZ41+FY42-GH41)))</f>
        <v>253.97435897435886</v>
      </c>
      <c r="GA42" s="18">
        <f>FZ42*VLOOKUP('Données projet'!$B$17,Paramètres!$A$1:$I$89,3,0)*VLOOKUP('Données projet'!$B$17,Paramètres!$A$1:$I$89,5,0)</f>
        <v>170.36599999999993</v>
      </c>
      <c r="GB42" s="14">
        <f t="shared" si="49"/>
        <v>43.171985147138862</v>
      </c>
      <c r="GC42" s="22">
        <f t="shared" si="25"/>
        <v>371.91199079793336</v>
      </c>
      <c r="GD42" s="62">
        <f t="shared" si="26"/>
        <v>665.24532413126667</v>
      </c>
      <c r="GE42" s="62">
        <f ca="1">AVERAGE(OFFSET($GD$3,0,0,'Données projet'!$E$17+1,1))-AVERAGE(OFFSET($H$3,0,0,'Données projet'!$E$17+1,1))</f>
        <v>408.91016501484626</v>
      </c>
      <c r="GF42" s="62">
        <f t="shared" si="50"/>
        <v>354.22396807666433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11.2</v>
      </c>
      <c r="GU42" s="13">
        <f>IF('Données projet'!$A$270&gt;35,GU41+GT42-HC41,IF(A42&lt;'Données projet'!$A$270,$GR$205^A42,IF(A42='Données projet'!$A$270,'Données projet'!$B$270,GU41+GT42-HC41)))</f>
        <v>163.80000000000004</v>
      </c>
      <c r="GV42" s="18">
        <f>GU42*VLOOKUP('Données projet'!$B$18,Paramètres!$A$1:$I$89,3,0)*VLOOKUP('Données projet'!$B$18,Paramètres!$A$1:$I$89,5,0)</f>
        <v>158.42736000000005</v>
      </c>
      <c r="GW42" s="14">
        <f t="shared" si="51"/>
        <v>40.487598405868248</v>
      </c>
      <c r="GX42" s="22">
        <f t="shared" si="28"/>
        <v>346.44355255688725</v>
      </c>
      <c r="GY42" s="62">
        <f t="shared" si="29"/>
        <v>639.77688589022057</v>
      </c>
      <c r="GZ42" s="62">
        <f ca="1">AVERAGE(OFFSET($GY$3,0,0,'Données projet'!$E$18+1,1))-AVERAGE(OFFSET($H$3,0,0,'Données projet'!$E$18+1,1))</f>
        <v>562.69380557620775</v>
      </c>
      <c r="HA42" s="62">
        <f t="shared" si="52"/>
        <v>294.45557293177131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2">
        <f t="shared" si="0"/>
        <v>639.59037499870374</v>
      </c>
      <c r="S43" s="62">
        <f ca="1">AVERAGE(OFFSET($R$3,0,0,'Données projet'!$E$9+1,1))-AVERAGE(OFFSET($H$3,0,0,'Données projet'!$E$9+1,1))</f>
        <v>529.25712986118265</v>
      </c>
      <c r="T43" s="62">
        <f t="shared" si="34"/>
        <v>278.21741231699929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11.142857142857142</v>
      </c>
      <c r="AI43" s="14">
        <f>IF('Données projet'!$A$62&gt;35,AI42+AH43-AQ42,IF(A43&lt;'Données projet'!$A$62,$AF$205^A43,IF(A43='Données projet'!$A$62,'Données projet'!$B$62,AI42+AH43-AQ42)))</f>
        <v>185.42857142857139</v>
      </c>
      <c r="AJ43" s="14">
        <f>AI43*VLOOKUP('Données projet'!$B$10,Paramètres!$A$1:$I$89,3,0)*VLOOKUP('Données projet'!$B$10,Paramètres!$A$1:$I$89,5,0)</f>
        <v>144.63428571428568</v>
      </c>
      <c r="AK43" s="14">
        <f t="shared" si="35"/>
        <v>37.356634728420524</v>
      </c>
      <c r="AL43" s="22">
        <f t="shared" si="4"/>
        <v>316.96751977104663</v>
      </c>
      <c r="AM43" s="62">
        <f t="shared" si="5"/>
        <v>610.30085310437994</v>
      </c>
      <c r="AN43" s="62">
        <f ca="1">AVERAGE(OFFSET($AM$3,0,0,'Données projet'!$E$10+1,1))-AVERAGE(OFFSET($H$3,0,0,'Données projet'!$E$10+1,1))</f>
        <v>292.57482726862594</v>
      </c>
      <c r="AO43" s="62">
        <f t="shared" si="36"/>
        <v>283.48738729114024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305</v>
      </c>
      <c r="BB43" s="13">
        <f>VLOOKUP(A43,'Données projet'!$A$87:$I$107,9,0)</f>
        <v>13.2</v>
      </c>
      <c r="BC43" s="13">
        <f t="array" ref="BC43">INDEX(BB:BB,MIN(IF(ISNUMBER(BB43:BB239),ROW(BB43:BB239),"")))</f>
        <v>13.2</v>
      </c>
      <c r="BD43" s="13">
        <f>IF('Données projet'!$A$88&gt;35,BD42+BC43-BL42,IF(A43&lt;'Données projet'!$A$88,$BA$205^A43,IF(A43='Données projet'!$A$88,'Données projet'!$B$88,BD42+BC43-BL42)))</f>
        <v>304.99999999999994</v>
      </c>
      <c r="BE43" s="14">
        <f>BD43*VLOOKUP('Données projet'!$B$11,Paramètres!$A$1:$I$89,3,0)*VLOOKUP('Données projet'!$B$11,Paramètres!$A$1:$I$89,5,0)</f>
        <v>223.62599999999995</v>
      </c>
      <c r="BF43" s="14">
        <f t="shared" si="37"/>
        <v>54.902227529974944</v>
      </c>
      <c r="BG43" s="22">
        <f t="shared" si="7"/>
        <v>485.1033296147063</v>
      </c>
      <c r="BH43" s="62">
        <f t="shared" si="8"/>
        <v>778.43666294803961</v>
      </c>
      <c r="BI43" s="62">
        <f ca="1">AVERAGE(OFFSET($BH$3,0,0,'Données projet'!$E$11+1,1))-AVERAGE(OFFSET($H$3,0,0,'Données projet'!$E$11+1,1))</f>
        <v>397.24545766894346</v>
      </c>
      <c r="BJ43" s="62">
        <f t="shared" si="38"/>
        <v>431.44557882369696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82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195</v>
      </c>
      <c r="BW43" s="13">
        <f>VLOOKUP(A43,'Données projet'!$A$113:$I$133,9,0)</f>
        <v>7.8</v>
      </c>
      <c r="BX43" s="13">
        <f t="array" ref="BX43">INDEX(BW:BW,MIN(IF(ISNUMBER(BW43:BW239),ROW(BW43:BW239),"")))</f>
        <v>7.8</v>
      </c>
      <c r="BY43" s="13">
        <f>IF('Données projet'!$A$114&gt;35,BY42+BX43-CG42,IF(A43&lt;'Données projet'!$A$114,$BV$205^A43,IF(A43='Données projet'!$A$114,'Données projet'!$B$114,BY42+BX43-CG42)))</f>
        <v>195.00000000000006</v>
      </c>
      <c r="BZ43" s="14">
        <f>BY43*VLOOKUP('Données projet'!$B$12,Paramètres!$A$1:$I$89,3,0)*VLOOKUP('Données projet'!$B$12,Paramètres!$A$1:$I$89,5,0)</f>
        <v>127.76400000000004</v>
      </c>
      <c r="CA43" s="14">
        <f t="shared" si="39"/>
        <v>33.479164830670079</v>
      </c>
      <c r="CB43" s="22">
        <f t="shared" si="10"/>
        <v>280.83184541341706</v>
      </c>
      <c r="CC43" s="62">
        <f t="shared" si="11"/>
        <v>574.16517874675037</v>
      </c>
      <c r="CD43" s="62">
        <f ca="1">AVERAGE(OFFSET($CC$3,0,0,'Données projet'!$E$12+1,1))-AVERAGE(OFFSET($H$3,0,0,'Données projet'!$E$12+1,1))</f>
        <v>277.27246253233807</v>
      </c>
      <c r="CE43" s="62">
        <f t="shared" si="40"/>
        <v>269.61868559913404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133.09920000000002</v>
      </c>
      <c r="CV43" s="14">
        <f t="shared" si="41"/>
        <v>34.71150853565117</v>
      </c>
      <c r="CW43" s="22">
        <f t="shared" si="13"/>
        <v>292.27031736625912</v>
      </c>
      <c r="CX43" s="62">
        <f t="shared" si="14"/>
        <v>585.60365069959244</v>
      </c>
      <c r="CY43" s="62">
        <f ca="1">AVERAGE(OFFSET($CX$3,0,0,'Données projet'!$E$13+1,1))-AVERAGE(OFFSET($H$3,0,0,'Données projet'!$E$13+1,1))</f>
        <v>402.15128814037058</v>
      </c>
      <c r="CZ43" s="62">
        <f t="shared" si="42"/>
        <v>232.85411068442738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224.35897435897436</v>
      </c>
      <c r="DM43" s="13">
        <f>VLOOKUP(A43,'Données projet'!$A$165:$I$185,9,0)</f>
        <v>8.0769230769230766</v>
      </c>
      <c r="DN43" s="13">
        <f t="array" ref="DN43">INDEX(DM:DM,MIN(IF(ISNUMBER(DM43:DM239),ROW(DM43:DM239),"")))</f>
        <v>8.0769230769230766</v>
      </c>
      <c r="DO43" s="13">
        <f>IF('Données projet'!$A$166&gt;35,DO42+DN43-DW42,IF(A43&lt;'Données projet'!$A$166,$DL$205^A43,IF(A43='Données projet'!$A$166,'Données projet'!$B$166,DO42+DN43-DW42)))</f>
        <v>224.35897435897428</v>
      </c>
      <c r="DP43" s="18">
        <f>DO43*VLOOKUP('Données projet'!$B$14,Paramètres!$A$1:$I$89,3,0)*VLOOKUP('Données projet'!$B$14,Paramètres!$A$1:$I$89,5,0)</f>
        <v>213.49999999999991</v>
      </c>
      <c r="DQ43" s="14">
        <f t="shared" si="43"/>
        <v>52.699686425325872</v>
      </c>
      <c r="DR43" s="22">
        <f t="shared" si="16"/>
        <v>463.63112052410906</v>
      </c>
      <c r="DS43" s="62">
        <f t="shared" si="17"/>
        <v>756.96445385744232</v>
      </c>
      <c r="DT43" s="62">
        <f ca="1">AVERAGE(OFFSET($DS$3,0,0,'Données projet'!$E$14+1,1))-AVERAGE(OFFSET($H$3,0,0,'Données projet'!$E$14+1,1))</f>
        <v>485.18236169209541</v>
      </c>
      <c r="DU43" s="62">
        <f t="shared" si="44"/>
        <v>417.30339652956951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44.871794871794869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305</v>
      </c>
      <c r="EH43" s="13">
        <f>VLOOKUP(A43,'Données projet'!$A$191:$I$211,9,0)</f>
        <v>13.2</v>
      </c>
      <c r="EI43" s="13">
        <f t="array" ref="EI43">INDEX(EH:EH,MIN(IF(ISNUMBER(EH43:EH239),ROW(EH43:EH239),"")))</f>
        <v>13.2</v>
      </c>
      <c r="EJ43" s="13">
        <f>IF('Données projet'!$A$192&gt;35,EJ42+EI43-ER42,IF(A43&lt;'Données projet'!$A$192,$EG$205^A43,IF(A43='Données projet'!$A$192,'Données projet'!$B$192,EJ42+EI43-ER42)))</f>
        <v>304.99999999999994</v>
      </c>
      <c r="EK43" s="18">
        <f>EJ43*VLOOKUP('Données projet'!$B$15,Paramètres!$A$1:$I$89,3,0)*VLOOKUP('Données projet'!$B$15,Paramètres!$A$1:$I$89,5,0)</f>
        <v>242.65799999999999</v>
      </c>
      <c r="EL43" s="14">
        <f t="shared" si="45"/>
        <v>59.011045025839607</v>
      </c>
      <c r="EM43" s="22">
        <f t="shared" si="19"/>
        <v>525.40692008667054</v>
      </c>
      <c r="EN43" s="62">
        <f t="shared" si="20"/>
        <v>818.74025342000391</v>
      </c>
      <c r="EO43" s="62">
        <f ca="1">AVERAGE(OFFSET($EN$3,0,0,'Données projet'!$E$15+1,1))-AVERAGE(OFFSET($H$3,0,0,'Données projet'!$E$15+1,1))</f>
        <v>427.78067187784063</v>
      </c>
      <c r="EP43" s="62">
        <f t="shared" si="46"/>
        <v>464.22892523825118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82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15.166666666666666</v>
      </c>
      <c r="FE43" s="13">
        <f>IF('Données projet'!$A$218&gt;35,FE42+FD43-FM42,IF(A43&lt;'Données projet'!$A$218,$FB$205^A43,IF(A43='Données projet'!$A$218,'Données projet'!$B$218,FE42+FD43-FM42)))</f>
        <v>174.6666666666666</v>
      </c>
      <c r="FF43" s="18">
        <f>FE43*VLOOKUP('Données projet'!$B$16,Paramètres!$A$1:$I$89,3,0)*VLOOKUP('Données projet'!$B$16,Paramètres!$A$1:$I$89,5,0)</f>
        <v>149.86399999999995</v>
      </c>
      <c r="FG43" s="14">
        <f t="shared" si="47"/>
        <v>38.547677501412096</v>
      </c>
      <c r="FH43" s="22">
        <f t="shared" si="22"/>
        <v>328.1503383149593</v>
      </c>
      <c r="FI43" s="62">
        <f t="shared" si="23"/>
        <v>621.48367164829256</v>
      </c>
      <c r="FJ43" s="62">
        <f ca="1">AVERAGE(OFFSET($FI$3,0,0,'Données projet'!$E$16+1,1))-AVERAGE(OFFSET($H$3,0,0,'Données projet'!$E$16+1,1))</f>
        <v>448.44001099301806</v>
      </c>
      <c r="FK43" s="62">
        <f t="shared" si="48"/>
        <v>230.82970731138215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262.82051282051282</v>
      </c>
      <c r="FX43" s="13">
        <f>VLOOKUP(A43,'Données projet'!$A$243:$I$263,9,0)</f>
        <v>8.8461538461538449</v>
      </c>
      <c r="FY43" s="13">
        <f t="array" ref="FY43">INDEX(FX:FX,MIN(IF(ISNUMBER(FX43:FX239),ROW(FX43:FX239),"")))</f>
        <v>8.8461538461538449</v>
      </c>
      <c r="FZ43" s="13">
        <f>IF('Données projet'!$A$244&gt;35,FZ42+FY43-GH42,IF(A43&lt;'Données projet'!$A$244,$FW$205^A43,IF(A43='Données projet'!$A$244,'Données projet'!$B$244,FZ42+FY43-GH42)))</f>
        <v>262.8205128205127</v>
      </c>
      <c r="GA43" s="18">
        <f>FZ43*VLOOKUP('Données projet'!$B$17,Paramètres!$A$1:$I$89,3,0)*VLOOKUP('Données projet'!$B$17,Paramètres!$A$1:$I$89,5,0)</f>
        <v>176.29999999999993</v>
      </c>
      <c r="GB43" s="14">
        <f t="shared" si="49"/>
        <v>44.498011919024627</v>
      </c>
      <c r="GC43" s="22">
        <f t="shared" si="25"/>
        <v>384.55653742563442</v>
      </c>
      <c r="GD43" s="62">
        <f t="shared" si="26"/>
        <v>677.88987075896773</v>
      </c>
      <c r="GE43" s="62">
        <f ca="1">AVERAGE(OFFSET($GD$3,0,0,'Données projet'!$E$17+1,1))-AVERAGE(OFFSET($H$3,0,0,'Données projet'!$E$17+1,1))</f>
        <v>408.91016501484626</v>
      </c>
      <c r="GF43" s="62">
        <f t="shared" si="50"/>
        <v>354.22396807666433</v>
      </c>
      <c r="GG43" s="16">
        <f>IF(ISNA(VLOOKUP(A43,'Données projet'!$A$243:$I$263,3,0)),0,VLOOKUP(A43,'Données projet'!$A$243:$I$263,3,0))</f>
        <v>3</v>
      </c>
      <c r="GH43" s="16">
        <f>IF(ISNA(VLOOKUP(A43,'Données projet'!$A$243:$I$263,4,0)),0,VLOOKUP(A43,'Données projet'!$A$243:$I$263,4,0))</f>
        <v>42.948717948717949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175</v>
      </c>
      <c r="GS43" s="13">
        <f>VLOOKUP(A43,'Données projet'!$A$269:$I$289,9,0)</f>
        <v>11.2</v>
      </c>
      <c r="GT43" s="13">
        <f t="array" ref="GT43">INDEX(GS:GS,MIN(IF(ISNUMBER(GS43:GS239),ROW(GS43:GS239),"")))</f>
        <v>11.2</v>
      </c>
      <c r="GU43" s="13">
        <f>IF('Données projet'!$A$270&gt;35,GU42+GT43-HC42,IF(A43&lt;'Données projet'!$A$270,$GR$205^A43,IF(A43='Données projet'!$A$270,'Données projet'!$B$270,GU42+GT43-HC42)))</f>
        <v>175.00000000000003</v>
      </c>
      <c r="GV43" s="18">
        <f>GU43*VLOOKUP('Données projet'!$B$18,Paramètres!$A$1:$I$89,3,0)*VLOOKUP('Données projet'!$B$18,Paramètres!$A$1:$I$89,5,0)</f>
        <v>169.26000000000002</v>
      </c>
      <c r="GW43" s="14">
        <f t="shared" si="51"/>
        <v>42.924246146122272</v>
      </c>
      <c r="GX43" s="22">
        <f t="shared" si="28"/>
        <v>369.55422870449632</v>
      </c>
      <c r="GY43" s="62">
        <f t="shared" si="29"/>
        <v>662.88756203782964</v>
      </c>
      <c r="GZ43" s="62">
        <f ca="1">AVERAGE(OFFSET($GY$3,0,0,'Données projet'!$E$18+1,1))-AVERAGE(OFFSET($H$3,0,0,'Données projet'!$E$18+1,1))</f>
        <v>562.69380557620775</v>
      </c>
      <c r="HA43" s="62">
        <f t="shared" si="52"/>
        <v>294.45557293177131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2">
        <f t="shared" si="0"/>
        <v>661.59709205070442</v>
      </c>
      <c r="S44" s="62">
        <f ca="1">AVERAGE(OFFSET($R$3,0,0,'Données projet'!$E$9+1,1))-AVERAGE(OFFSET($H$3,0,0,'Données projet'!$E$9+1,1))</f>
        <v>529.25712986118265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11.142857142857142</v>
      </c>
      <c r="AI44" s="14">
        <f>IF('Données projet'!$A$62&gt;35,AI43+AH44-AQ43,IF(A44&lt;'Données projet'!$A$62,$AF$205^A44,IF(A44='Données projet'!$A$62,'Données projet'!$B$62,AI43+AH44-AQ43)))</f>
        <v>196.57142857142853</v>
      </c>
      <c r="AJ44" s="14">
        <f>AI44*VLOOKUP('Données projet'!$B$10,Paramètres!$A$1:$I$89,3,0)*VLOOKUP('Données projet'!$B$10,Paramètres!$A$1:$I$89,5,0)</f>
        <v>153.32571428571427</v>
      </c>
      <c r="AK44" s="14">
        <f t="shared" si="35"/>
        <v>39.33339883761419</v>
      </c>
      <c r="AL44" s="22">
        <f t="shared" si="4"/>
        <v>335.54795535646372</v>
      </c>
      <c r="AM44" s="62">
        <f t="shared" si="5"/>
        <v>628.88128868979697</v>
      </c>
      <c r="AN44" s="62">
        <f ca="1">AVERAGE(OFFSET($AM$3,0,0,'Données projet'!$E$10+1,1))-AVERAGE(OFFSET($H$3,0,0,'Données projet'!$E$10+1,1))</f>
        <v>292.57482726862594</v>
      </c>
      <c r="AO44" s="62">
        <f t="shared" si="36"/>
        <v>283.48738729114024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234.39999999999992</v>
      </c>
      <c r="BE44" s="14">
        <f>BD44*VLOOKUP('Données projet'!$B$11,Paramètres!$A$1:$I$89,3,0)*VLOOKUP('Données projet'!$B$11,Paramètres!$A$1:$I$89,5,0)</f>
        <v>171.86207999999993</v>
      </c>
      <c r="BF44" s="14">
        <f t="shared" si="37"/>
        <v>43.506802778694762</v>
      </c>
      <c r="BG44" s="22">
        <f t="shared" si="7"/>
        <v>375.10080417289322</v>
      </c>
      <c r="BH44" s="62">
        <f t="shared" si="8"/>
        <v>668.43413750622653</v>
      </c>
      <c r="BI44" s="62">
        <f ca="1">AVERAGE(OFFSET($BH$3,0,0,'Données projet'!$E$11+1,1))-AVERAGE(OFFSET($H$3,0,0,'Données projet'!$E$11+1,1))</f>
        <v>397.24545766894346</v>
      </c>
      <c r="BJ44" s="62">
        <f t="shared" si="38"/>
        <v>431.44557882369696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7.4</v>
      </c>
      <c r="BY44" s="13">
        <f>IF('Données projet'!$A$114&gt;35,BY43+BX44-CG43,IF(A44&lt;'Données projet'!$A$114,$BV$205^A44,IF(A44='Données projet'!$A$114,'Données projet'!$B$114,BY43+BX44-CG43)))</f>
        <v>202.40000000000006</v>
      </c>
      <c r="BZ44" s="14">
        <f>BY44*VLOOKUP('Données projet'!$B$12,Paramètres!$A$1:$I$89,3,0)*VLOOKUP('Données projet'!$B$12,Paramètres!$A$1:$I$89,5,0)</f>
        <v>132.61248000000003</v>
      </c>
      <c r="CA44" s="14">
        <f t="shared" si="39"/>
        <v>34.599325938965464</v>
      </c>
      <c r="CB44" s="22">
        <f t="shared" si="10"/>
        <v>291.22722867703152</v>
      </c>
      <c r="CC44" s="62">
        <f t="shared" si="11"/>
        <v>584.56056201036483</v>
      </c>
      <c r="CD44" s="62">
        <f ca="1">AVERAGE(OFFSET($CC$3,0,0,'Données projet'!$E$12+1,1))-AVERAGE(OFFSET($H$3,0,0,'Données projet'!$E$12+1,1))</f>
        <v>277.27246253233807</v>
      </c>
      <c r="CE44" s="62">
        <f t="shared" si="40"/>
        <v>269.61868559913404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104.79456000000003</v>
      </c>
      <c r="CV44" s="14">
        <f t="shared" si="41"/>
        <v>28.101103481959861</v>
      </c>
      <c r="CW44" s="22">
        <f t="shared" si="13"/>
        <v>231.45994723108015</v>
      </c>
      <c r="CX44" s="62">
        <f t="shared" si="14"/>
        <v>524.79328056441341</v>
      </c>
      <c r="CY44" s="62">
        <f ca="1">AVERAGE(OFFSET($CX$3,0,0,'Données projet'!$E$13+1,1))-AVERAGE(OFFSET($H$3,0,0,'Données projet'!$E$13+1,1))</f>
        <v>402.15128814037058</v>
      </c>
      <c r="CZ44" s="62">
        <f t="shared" si="42"/>
        <v>232.85411068442738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7.4358974358974308</v>
      </c>
      <c r="DO44" s="13">
        <f>IF('Données projet'!$A$166&gt;35,DO43+DN44-DW43,IF(A44&lt;'Données projet'!$A$166,$DL$205^A44,IF(A44='Données projet'!$A$166,'Données projet'!$B$166,DO43+DN44-DW43)))</f>
        <v>186.92307692307685</v>
      </c>
      <c r="DP44" s="18">
        <f>DO44*VLOOKUP('Données projet'!$B$14,Paramètres!$A$1:$I$89,3,0)*VLOOKUP('Données projet'!$B$14,Paramètres!$A$1:$I$89,5,0)</f>
        <v>177.87599999999992</v>
      </c>
      <c r="DQ44" s="14">
        <f t="shared" si="43"/>
        <v>44.849309335881763</v>
      </c>
      <c r="DR44" s="22">
        <f t="shared" si="16"/>
        <v>387.91324709332724</v>
      </c>
      <c r="DS44" s="62">
        <f t="shared" si="17"/>
        <v>681.24658042666056</v>
      </c>
      <c r="DT44" s="62">
        <f ca="1">AVERAGE(OFFSET($DS$3,0,0,'Données projet'!$E$14+1,1))-AVERAGE(OFFSET($H$3,0,0,'Données projet'!$E$14+1,1))</f>
        <v>485.18236169209541</v>
      </c>
      <c r="DU44" s="62">
        <f t="shared" si="44"/>
        <v>417.30339652956951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11.4</v>
      </c>
      <c r="EJ44" s="13">
        <f>IF('Données projet'!$A$192&gt;35,EJ43+EI44-ER43,IF(A44&lt;'Données projet'!$A$192,$EG$205^A44,IF(A44='Données projet'!$A$192,'Données projet'!$B$192,EJ43+EI44-ER43)))</f>
        <v>234.39999999999992</v>
      </c>
      <c r="EK44" s="18">
        <f>EJ44*VLOOKUP('Données projet'!$B$15,Paramètres!$A$1:$I$89,3,0)*VLOOKUP('Données projet'!$B$15,Paramètres!$A$1:$I$89,5,0)</f>
        <v>186.48863999999995</v>
      </c>
      <c r="EL44" s="14">
        <f t="shared" si="45"/>
        <v>46.762800221578807</v>
      </c>
      <c r="EM44" s="22">
        <f t="shared" si="19"/>
        <v>406.24625838591629</v>
      </c>
      <c r="EN44" s="62">
        <f t="shared" si="20"/>
        <v>699.57959171924961</v>
      </c>
      <c r="EO44" s="62">
        <f ca="1">AVERAGE(OFFSET($EN$3,0,0,'Données projet'!$E$15+1,1))-AVERAGE(OFFSET($H$3,0,0,'Données projet'!$E$15+1,1))</f>
        <v>427.78067187784063</v>
      </c>
      <c r="EP44" s="62">
        <f t="shared" si="46"/>
        <v>464.22892523825118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15.166666666666666</v>
      </c>
      <c r="FE44" s="13">
        <f>IF('Données projet'!$A$218&gt;35,FE43+FD44-FM43,IF(A44&lt;'Données projet'!$A$218,$FB$205^A44,IF(A44='Données projet'!$A$218,'Données projet'!$B$218,FE43+FD44-FM43)))</f>
        <v>189.83333333333326</v>
      </c>
      <c r="FF44" s="18">
        <f>FE44*VLOOKUP('Données projet'!$B$16,Paramètres!$A$1:$I$89,3,0)*VLOOKUP('Données projet'!$B$16,Paramètres!$A$1:$I$89,5,0)</f>
        <v>162.87699999999995</v>
      </c>
      <c r="FG44" s="14">
        <f t="shared" si="47"/>
        <v>41.490756193100523</v>
      </c>
      <c r="FH44" s="22">
        <f t="shared" si="22"/>
        <v>355.94050870298332</v>
      </c>
      <c r="FI44" s="62">
        <f t="shared" si="23"/>
        <v>649.27384203631664</v>
      </c>
      <c r="FJ44" s="62">
        <f ca="1">AVERAGE(OFFSET($FI$3,0,0,'Données projet'!$E$16+1,1))-AVERAGE(OFFSET($H$3,0,0,'Données projet'!$E$16+1,1))</f>
        <v>448.44001099301806</v>
      </c>
      <c r="FK44" s="62">
        <f t="shared" si="48"/>
        <v>230.82970731138215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8.2051282051282097</v>
      </c>
      <c r="FZ44" s="13">
        <f>IF('Données projet'!$A$244&gt;35,FZ43+FY44-GH43,IF(A44&lt;'Données projet'!$A$244,$FW$205^A44,IF(A44='Données projet'!$A$244,'Données projet'!$B$244,FZ43+FY44-GH43)))</f>
        <v>228.07692307692298</v>
      </c>
      <c r="GA44" s="18">
        <f>FZ44*VLOOKUP('Données projet'!$B$17,Paramètres!$A$1:$I$89,3,0)*VLOOKUP('Données projet'!$B$17,Paramètres!$A$1:$I$89,5,0)</f>
        <v>152.99399999999994</v>
      </c>
      <c r="GB44" s="14">
        <f t="shared" si="49"/>
        <v>39.258198275654422</v>
      </c>
      <c r="GC44" s="22">
        <f t="shared" si="25"/>
        <v>334.83924533009798</v>
      </c>
      <c r="GD44" s="62">
        <f t="shared" si="26"/>
        <v>628.1725786634313</v>
      </c>
      <c r="GE44" s="62">
        <f ca="1">AVERAGE(OFFSET($GD$3,0,0,'Données projet'!$E$17+1,1))-AVERAGE(OFFSET($H$3,0,0,'Données projet'!$E$17+1,1))</f>
        <v>408.91016501484626</v>
      </c>
      <c r="GF44" s="62">
        <f t="shared" si="50"/>
        <v>354.22396807666433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11.4</v>
      </c>
      <c r="GU44" s="13">
        <f>IF('Données projet'!$A$270&gt;35,GU43+GT44-HC43,IF(A44&lt;'Données projet'!$A$270,$GR$205^A44,IF(A44='Données projet'!$A$270,'Données projet'!$B$270,GU43+GT44-HC43)))</f>
        <v>186.40000000000003</v>
      </c>
      <c r="GV44" s="18">
        <f>GU44*VLOOKUP('Données projet'!$B$18,Paramètres!$A$1:$I$89,3,0)*VLOOKUP('Données projet'!$B$18,Paramètres!$A$1:$I$89,5,0)</f>
        <v>180.28608000000006</v>
      </c>
      <c r="GW44" s="14">
        <f t="shared" si="51"/>
        <v>45.38582781198636</v>
      </c>
      <c r="GX44" s="22">
        <f t="shared" si="28"/>
        <v>393.04523943920964</v>
      </c>
      <c r="GY44" s="62">
        <f t="shared" si="29"/>
        <v>686.37857277254295</v>
      </c>
      <c r="GZ44" s="62">
        <f ca="1">AVERAGE(OFFSET($GY$3,0,0,'Données projet'!$E$18+1,1))-AVERAGE(OFFSET($H$3,0,0,'Données projet'!$E$18+1,1))</f>
        <v>562.69380557620775</v>
      </c>
      <c r="HA44" s="62">
        <f t="shared" si="52"/>
        <v>294.45557293177131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2">
        <f t="shared" si="0"/>
        <v>683.57511849201842</v>
      </c>
      <c r="S45" s="62">
        <f ca="1">AVERAGE(OFFSET($R$3,0,0,'Données projet'!$E$9+1,1))-AVERAGE(OFFSET($H$3,0,0,'Données projet'!$E$9+1,1))</f>
        <v>529.25712986118265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11.142857142857142</v>
      </c>
      <c r="AI45" s="14">
        <f>IF('Données projet'!$A$62&gt;35,AI44+AH45-AQ44,IF(A45&lt;'Données projet'!$A$62,$AF$205^A45,IF(A45='Données projet'!$A$62,'Données projet'!$B$62,AI44+AH45-AQ44)))</f>
        <v>207.71428571428567</v>
      </c>
      <c r="AJ45" s="14">
        <f>AI45*VLOOKUP('Données projet'!$B$10,Paramètres!$A$1:$I$89,3,0)*VLOOKUP('Données projet'!$B$10,Paramètres!$A$1:$I$89,5,0)</f>
        <v>162.01714285714283</v>
      </c>
      <c r="AK45" s="14">
        <f t="shared" si="35"/>
        <v>41.297155335096676</v>
      </c>
      <c r="AL45" s="22">
        <f t="shared" si="4"/>
        <v>354.10573601815048</v>
      </c>
      <c r="AM45" s="62">
        <f t="shared" si="5"/>
        <v>647.43906935148379</v>
      </c>
      <c r="AN45" s="62">
        <f ca="1">AVERAGE(OFFSET($AM$3,0,0,'Données projet'!$E$10+1,1))-AVERAGE(OFFSET($H$3,0,0,'Données projet'!$E$10+1,1))</f>
        <v>292.57482726862594</v>
      </c>
      <c r="AO45" s="62">
        <f t="shared" si="36"/>
        <v>283.48738729114024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245.79999999999993</v>
      </c>
      <c r="BE45" s="14">
        <f>BD45*VLOOKUP('Données projet'!$B$11,Paramètres!$A$1:$I$89,3,0)*VLOOKUP('Données projet'!$B$11,Paramètres!$A$1:$I$89,5,0)</f>
        <v>180.22055999999992</v>
      </c>
      <c r="BF45" s="14">
        <f t="shared" si="37"/>
        <v>45.371253205145926</v>
      </c>
      <c r="BG45" s="22">
        <f t="shared" si="7"/>
        <v>392.90574133229569</v>
      </c>
      <c r="BH45" s="62">
        <f t="shared" si="8"/>
        <v>686.239074665629</v>
      </c>
      <c r="BI45" s="62">
        <f ca="1">AVERAGE(OFFSET($BH$3,0,0,'Données projet'!$E$11+1,1))-AVERAGE(OFFSET($H$3,0,0,'Données projet'!$E$11+1,1))</f>
        <v>397.24545766894346</v>
      </c>
      <c r="BJ45" s="62">
        <f t="shared" si="38"/>
        <v>431.44557882369696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7.4</v>
      </c>
      <c r="BY45" s="13">
        <f>IF('Données projet'!$A$114&gt;35,BY44+BX45-CG44,IF(A45&lt;'Données projet'!$A$114,$BV$205^A45,IF(A45='Données projet'!$A$114,'Données projet'!$B$114,BY44+BX45-CG44)))</f>
        <v>209.80000000000007</v>
      </c>
      <c r="BZ45" s="14">
        <f>BY45*VLOOKUP('Données projet'!$B$12,Paramètres!$A$1:$I$89,3,0)*VLOOKUP('Données projet'!$B$12,Paramètres!$A$1:$I$89,5,0)</f>
        <v>137.46096000000006</v>
      </c>
      <c r="CA45" s="14">
        <f t="shared" si="39"/>
        <v>35.714728952321281</v>
      </c>
      <c r="CB45" s="22">
        <f t="shared" si="10"/>
        <v>301.61432492529298</v>
      </c>
      <c r="CC45" s="62">
        <f t="shared" si="11"/>
        <v>594.94765825862623</v>
      </c>
      <c r="CD45" s="62">
        <f ca="1">AVERAGE(OFFSET($CC$3,0,0,'Données projet'!$E$12+1,1))-AVERAGE(OFFSET($H$3,0,0,'Données projet'!$E$12+1,1))</f>
        <v>277.27246253233807</v>
      </c>
      <c r="CE45" s="62">
        <f t="shared" si="40"/>
        <v>269.61868559913404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111.87072000000005</v>
      </c>
      <c r="CV45" s="14">
        <f t="shared" si="41"/>
        <v>29.771307279851975</v>
      </c>
      <c r="CW45" s="22">
        <f t="shared" si="13"/>
        <v>246.69319751240889</v>
      </c>
      <c r="CX45" s="62">
        <f t="shared" si="14"/>
        <v>540.02653084574217</v>
      </c>
      <c r="CY45" s="62">
        <f ca="1">AVERAGE(OFFSET($CX$3,0,0,'Données projet'!$E$13+1,1))-AVERAGE(OFFSET($H$3,0,0,'Données projet'!$E$13+1,1))</f>
        <v>402.15128814037058</v>
      </c>
      <c r="CZ45" s="62">
        <f t="shared" si="42"/>
        <v>232.85411068442738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7.4358974358974308</v>
      </c>
      <c r="DO45" s="13">
        <f>IF('Données projet'!$A$166&gt;35,DO44+DN45-DW44,IF(A45&lt;'Données projet'!$A$166,$DL$205^A45,IF(A45='Données projet'!$A$166,'Données projet'!$B$166,DO44+DN45-DW44)))</f>
        <v>194.35897435897428</v>
      </c>
      <c r="DP45" s="18">
        <f>DO45*VLOOKUP('Données projet'!$B$14,Paramètres!$A$1:$I$89,3,0)*VLOOKUP('Données projet'!$B$14,Paramètres!$A$1:$I$89,5,0)</f>
        <v>184.95199999999994</v>
      </c>
      <c r="DQ45" s="14">
        <f t="shared" si="43"/>
        <v>46.422168703364093</v>
      </c>
      <c r="DR45" s="22">
        <f t="shared" si="16"/>
        <v>402.976677158359</v>
      </c>
      <c r="DS45" s="62">
        <f t="shared" si="17"/>
        <v>696.31001049169231</v>
      </c>
      <c r="DT45" s="62">
        <f ca="1">AVERAGE(OFFSET($DS$3,0,0,'Données projet'!$E$14+1,1))-AVERAGE(OFFSET($H$3,0,0,'Données projet'!$E$14+1,1))</f>
        <v>485.18236169209541</v>
      </c>
      <c r="DU45" s="62">
        <f t="shared" si="44"/>
        <v>417.30339652956951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11.4</v>
      </c>
      <c r="EJ45" s="13">
        <f>IF('Données projet'!$A$192&gt;35,EJ44+EI45-ER44,IF(A45&lt;'Données projet'!$A$192,$EG$205^A45,IF(A45='Données projet'!$A$192,'Données projet'!$B$192,EJ44+EI45-ER44)))</f>
        <v>245.79999999999993</v>
      </c>
      <c r="EK45" s="18">
        <f>EJ45*VLOOKUP('Données projet'!$B$15,Paramètres!$A$1:$I$89,3,0)*VLOOKUP('Données projet'!$B$15,Paramètres!$A$1:$I$89,5,0)</f>
        <v>195.55847999999995</v>
      </c>
      <c r="EL45" s="14">
        <f t="shared" si="45"/>
        <v>48.766783903364477</v>
      </c>
      <c r="EM45" s="22">
        <f t="shared" si="19"/>
        <v>425.53316796502639</v>
      </c>
      <c r="EN45" s="62">
        <f t="shared" si="20"/>
        <v>718.86650129835971</v>
      </c>
      <c r="EO45" s="62">
        <f ca="1">AVERAGE(OFFSET($EN$3,0,0,'Données projet'!$E$15+1,1))-AVERAGE(OFFSET($H$3,0,0,'Données projet'!$E$15+1,1))</f>
        <v>427.78067187784063</v>
      </c>
      <c r="EP45" s="62">
        <f t="shared" si="46"/>
        <v>464.22892523825118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>
        <f>VLOOKUP(A45,'Données projet'!$A$217:$I$237,2,0)</f>
        <v>205</v>
      </c>
      <c r="FC45" s="13">
        <f>VLOOKUP(A45,'Données projet'!$A$217:$I$237,9,0)</f>
        <v>15.166666666666666</v>
      </c>
      <c r="FD45" s="13">
        <f t="array" ref="FD45">INDEX(FC:FC,MIN(IF(ISNUMBER(FC45:FC241),ROW(FC45:FC241),"")))</f>
        <v>15.166666666666666</v>
      </c>
      <c r="FE45" s="13">
        <f>IF('Données projet'!$A$218&gt;35,FE44+FD45-FM44,IF(A45&lt;'Données projet'!$A$218,$FB$205^A45,IF(A45='Données projet'!$A$218,'Données projet'!$B$218,FE44+FD45-FM44)))</f>
        <v>204.99999999999991</v>
      </c>
      <c r="FF45" s="18">
        <f>FE45*VLOOKUP('Données projet'!$B$16,Paramètres!$A$1:$I$89,3,0)*VLOOKUP('Données projet'!$B$16,Paramètres!$A$1:$I$89,5,0)</f>
        <v>175.88999999999993</v>
      </c>
      <c r="FG45" s="14">
        <f t="shared" si="47"/>
        <v>44.406561291935212</v>
      </c>
      <c r="FH45" s="22">
        <f t="shared" si="22"/>
        <v>383.6831775834537</v>
      </c>
      <c r="FI45" s="62">
        <f t="shared" si="23"/>
        <v>677.01651091678696</v>
      </c>
      <c r="FJ45" s="62">
        <f ca="1">AVERAGE(OFFSET($FI$3,0,0,'Données projet'!$E$16+1,1))-AVERAGE(OFFSET($H$3,0,0,'Données projet'!$E$16+1,1))</f>
        <v>448.44001099301806</v>
      </c>
      <c r="FK45" s="62">
        <f t="shared" si="48"/>
        <v>230.82970731138215</v>
      </c>
      <c r="FL45" s="16">
        <f>IF(ISNA(VLOOKUP(A45,'Données projet'!$A$217:$I$237,3,0)),0,VLOOKUP(A45,'Données projet'!$A$217:$I$237,3,0))</f>
        <v>4</v>
      </c>
      <c r="FM45" s="16">
        <f>IF(ISNA(VLOOKUP(A45,'Données projet'!$A$217:$I$237,4,0)),0,VLOOKUP(A45,'Données projet'!$A$217:$I$237,4,0))</f>
        <v>59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8.2051282051282097</v>
      </c>
      <c r="FZ45" s="13">
        <f>IF('Données projet'!$A$244&gt;35,FZ44+FY45-GH44,IF(A45&lt;'Données projet'!$A$244,$FW$205^A45,IF(A45='Données projet'!$A$244,'Données projet'!$B$244,FZ44+FY45-GH44)))</f>
        <v>236.28205128205119</v>
      </c>
      <c r="GA45" s="18">
        <f>FZ45*VLOOKUP('Données projet'!$B$17,Paramètres!$A$1:$I$89,3,0)*VLOOKUP('Données projet'!$B$17,Paramètres!$A$1:$I$89,5,0)</f>
        <v>158.49799999999993</v>
      </c>
      <c r="GB45" s="14">
        <f t="shared" si="49"/>
        <v>40.503549370816764</v>
      </c>
      <c r="GC45" s="22">
        <f t="shared" si="25"/>
        <v>346.59436515417241</v>
      </c>
      <c r="GD45" s="62">
        <f t="shared" si="26"/>
        <v>639.92769848750572</v>
      </c>
      <c r="GE45" s="62">
        <f ca="1">AVERAGE(OFFSET($GD$3,0,0,'Données projet'!$E$17+1,1))-AVERAGE(OFFSET($H$3,0,0,'Données projet'!$E$17+1,1))</f>
        <v>408.91016501484626</v>
      </c>
      <c r="GF45" s="62">
        <f t="shared" si="50"/>
        <v>354.22396807666433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11.4</v>
      </c>
      <c r="GU45" s="13">
        <f>IF('Données projet'!$A$270&gt;35,GU44+GT45-HC44,IF(A45&lt;'Données projet'!$A$270,$GR$205^A45,IF(A45='Données projet'!$A$270,'Données projet'!$B$270,GU44+GT45-HC44)))</f>
        <v>197.80000000000004</v>
      </c>
      <c r="GV45" s="18">
        <f>GU45*VLOOKUP('Données projet'!$B$18,Paramètres!$A$1:$I$89,3,0)*VLOOKUP('Données projet'!$B$18,Paramètres!$A$1:$I$89,5,0)</f>
        <v>191.31216000000003</v>
      </c>
      <c r="GW45" s="14">
        <f t="shared" si="51"/>
        <v>47.829936494057677</v>
      </c>
      <c r="GX45" s="22">
        <f t="shared" si="28"/>
        <v>416.50581806048382</v>
      </c>
      <c r="GY45" s="62">
        <f t="shared" si="29"/>
        <v>709.83915139381713</v>
      </c>
      <c r="GZ45" s="62">
        <f ca="1">AVERAGE(OFFSET($GY$3,0,0,'Données projet'!$E$18+1,1))-AVERAGE(OFFSET($H$3,0,0,'Données projet'!$E$18+1,1))</f>
        <v>562.69380557620775</v>
      </c>
      <c r="HA45" s="62">
        <f t="shared" si="52"/>
        <v>294.45557293177131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2">
        <f t="shared" si="0"/>
        <v>705.52629626882026</v>
      </c>
      <c r="S46" s="62">
        <f ca="1">AVERAGE(OFFSET($R$3,0,0,'Données projet'!$E$9+1,1))-AVERAGE(OFFSET($H$3,0,0,'Données projet'!$E$9+1,1))</f>
        <v>529.25712986118265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11.142857142857142</v>
      </c>
      <c r="AI46" s="14">
        <f>IF('Données projet'!$A$62&gt;35,AI45+AH46-AQ45,IF(A46&lt;'Données projet'!$A$62,$AF$205^A46,IF(A46='Données projet'!$A$62,'Données projet'!$B$62,AI45+AH46-AQ45)))</f>
        <v>218.8571428571428</v>
      </c>
      <c r="AJ46" s="14">
        <f>AI46*VLOOKUP('Données projet'!$B$10,Paramètres!$A$1:$I$89,3,0)*VLOOKUP('Données projet'!$B$10,Paramètres!$A$1:$I$89,5,0)</f>
        <v>170.70857142857139</v>
      </c>
      <c r="AK46" s="14">
        <f t="shared" si="35"/>
        <v>43.248681576985412</v>
      </c>
      <c r="AL46" s="22">
        <f t="shared" si="4"/>
        <v>372.64221565134471</v>
      </c>
      <c r="AM46" s="62">
        <f t="shared" si="5"/>
        <v>665.97554898467797</v>
      </c>
      <c r="AN46" s="62">
        <f ca="1">AVERAGE(OFFSET($AM$3,0,0,'Données projet'!$E$10+1,1))-AVERAGE(OFFSET($H$3,0,0,'Données projet'!$E$10+1,1))</f>
        <v>292.57482726862594</v>
      </c>
      <c r="AO46" s="62">
        <f t="shared" si="36"/>
        <v>283.48738729114024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257.19999999999993</v>
      </c>
      <c r="BE46" s="14">
        <f>BD46*VLOOKUP('Données projet'!$B$11,Paramètres!$A$1:$I$89,3,0)*VLOOKUP('Données projet'!$B$11,Paramètres!$A$1:$I$89,5,0)</f>
        <v>188.57903999999994</v>
      </c>
      <c r="BF46" s="14">
        <f t="shared" si="37"/>
        <v>47.22566164876563</v>
      </c>
      <c r="BG46" s="22">
        <f t="shared" si="7"/>
        <v>410.69318870493333</v>
      </c>
      <c r="BH46" s="62">
        <f t="shared" si="8"/>
        <v>704.02652203826665</v>
      </c>
      <c r="BI46" s="62">
        <f ca="1">AVERAGE(OFFSET($BH$3,0,0,'Données projet'!$E$11+1,1))-AVERAGE(OFFSET($H$3,0,0,'Données projet'!$E$11+1,1))</f>
        <v>397.24545766894346</v>
      </c>
      <c r="BJ46" s="62">
        <f t="shared" si="38"/>
        <v>431.44557882369696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7.4</v>
      </c>
      <c r="BY46" s="13">
        <f>IF('Données projet'!$A$114&gt;35,BY45+BX46-CG45,IF(A46&lt;'Données projet'!$A$114,$BV$205^A46,IF(A46='Données projet'!$A$114,'Données projet'!$B$114,BY45+BX46-CG45)))</f>
        <v>217.20000000000007</v>
      </c>
      <c r="BZ46" s="14">
        <f>BY46*VLOOKUP('Données projet'!$B$12,Paramètres!$A$1:$I$89,3,0)*VLOOKUP('Données projet'!$B$12,Paramètres!$A$1:$I$89,5,0)</f>
        <v>142.30944000000005</v>
      </c>
      <c r="CA46" s="14">
        <f t="shared" si="39"/>
        <v>36.825560926488883</v>
      </c>
      <c r="CB46" s="22">
        <f t="shared" si="10"/>
        <v>311.99345994696824</v>
      </c>
      <c r="CC46" s="62">
        <f t="shared" si="11"/>
        <v>605.32679328030156</v>
      </c>
      <c r="CD46" s="62">
        <f ca="1">AVERAGE(OFFSET($CC$3,0,0,'Données projet'!$E$12+1,1))-AVERAGE(OFFSET($H$3,0,0,'Données projet'!$E$12+1,1))</f>
        <v>277.27246253233807</v>
      </c>
      <c r="CE46" s="62">
        <f t="shared" si="40"/>
        <v>269.61868559913404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118.94688000000005</v>
      </c>
      <c r="CV46" s="14">
        <f t="shared" si="41"/>
        <v>31.429250481525276</v>
      </c>
      <c r="CW46" s="22">
        <f t="shared" si="13"/>
        <v>261.90509392198993</v>
      </c>
      <c r="CX46" s="62">
        <f t="shared" si="14"/>
        <v>555.23842725532324</v>
      </c>
      <c r="CY46" s="62">
        <f ca="1">AVERAGE(OFFSET($CX$3,0,0,'Données projet'!$E$13+1,1))-AVERAGE(OFFSET($H$3,0,0,'Données projet'!$E$13+1,1))</f>
        <v>402.15128814037058</v>
      </c>
      <c r="CZ46" s="62">
        <f t="shared" si="42"/>
        <v>232.85411068442738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7.4358974358974308</v>
      </c>
      <c r="DO46" s="13">
        <f>IF('Données projet'!$A$166&gt;35,DO45+DN46-DW45,IF(A46&lt;'Données projet'!$A$166,$DL$205^A46,IF(A46='Données projet'!$A$166,'Données projet'!$B$166,DO45+DN46-DW45)))</f>
        <v>201.79487179487171</v>
      </c>
      <c r="DP46" s="18">
        <f>DO46*VLOOKUP('Données projet'!$B$14,Paramètres!$A$1:$I$89,3,0)*VLOOKUP('Données projet'!$B$14,Paramètres!$A$1:$I$89,5,0)</f>
        <v>192.02799999999991</v>
      </c>
      <c r="DQ46" s="14">
        <f t="shared" si="43"/>
        <v>47.98803743110534</v>
      </c>
      <c r="DR46" s="22">
        <f t="shared" si="16"/>
        <v>418.02793185917494</v>
      </c>
      <c r="DS46" s="62">
        <f t="shared" si="17"/>
        <v>711.3612651925082</v>
      </c>
      <c r="DT46" s="62">
        <f ca="1">AVERAGE(OFFSET($DS$3,0,0,'Données projet'!$E$14+1,1))-AVERAGE(OFFSET($H$3,0,0,'Données projet'!$E$14+1,1))</f>
        <v>485.18236169209541</v>
      </c>
      <c r="DU46" s="62">
        <f t="shared" si="44"/>
        <v>417.30339652956951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11.4</v>
      </c>
      <c r="EJ46" s="13">
        <f>IF('Données projet'!$A$192&gt;35,EJ45+EI46-ER45,IF(A46&lt;'Données projet'!$A$192,$EG$205^A46,IF(A46='Données projet'!$A$192,'Données projet'!$B$192,EJ45+EI46-ER45)))</f>
        <v>257.19999999999993</v>
      </c>
      <c r="EK46" s="18">
        <f>EJ46*VLOOKUP('Données projet'!$B$15,Paramètres!$A$1:$I$89,3,0)*VLOOKUP('Données projet'!$B$15,Paramètres!$A$1:$I$89,5,0)</f>
        <v>204.62831999999995</v>
      </c>
      <c r="EL46" s="14">
        <f t="shared" si="45"/>
        <v>50.759974072251445</v>
      </c>
      <c r="EM46" s="22">
        <f t="shared" si="19"/>
        <v>444.80127884250447</v>
      </c>
      <c r="EN46" s="62">
        <f t="shared" si="20"/>
        <v>738.13461217583779</v>
      </c>
      <c r="EO46" s="62">
        <f ca="1">AVERAGE(OFFSET($EN$3,0,0,'Données projet'!$E$15+1,1))-AVERAGE(OFFSET($H$3,0,0,'Données projet'!$E$15+1,1))</f>
        <v>427.78067187784063</v>
      </c>
      <c r="EP46" s="62">
        <f t="shared" si="46"/>
        <v>464.22892523825118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15.666666666666666</v>
      </c>
      <c r="FE46" s="13">
        <f>IF('Données projet'!$A$218&gt;35,FE45+FD46-FM45,IF(A46&lt;'Données projet'!$A$218,$FB$205^A46,IF(A46='Données projet'!$A$218,'Données projet'!$B$218,FE45+FD46-FM45)))</f>
        <v>161.66666666666657</v>
      </c>
      <c r="FF46" s="18">
        <f>FE46*VLOOKUP('Données projet'!$B$16,Paramètres!$A$1:$I$89,3,0)*VLOOKUP('Données projet'!$B$16,Paramètres!$A$1:$I$89,5,0)</f>
        <v>138.70999999999995</v>
      </c>
      <c r="FG46" s="14">
        <f t="shared" si="47"/>
        <v>36.00132558429457</v>
      </c>
      <c r="FH46" s="22">
        <f t="shared" si="22"/>
        <v>304.2888920593129</v>
      </c>
      <c r="FI46" s="62">
        <f t="shared" si="23"/>
        <v>597.62222539264621</v>
      </c>
      <c r="FJ46" s="62">
        <f ca="1">AVERAGE(OFFSET($FI$3,0,0,'Données projet'!$E$16+1,1))-AVERAGE(OFFSET($H$3,0,0,'Données projet'!$E$16+1,1))</f>
        <v>448.44001099301806</v>
      </c>
      <c r="FK46" s="62">
        <f t="shared" si="48"/>
        <v>230.82970731138215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8.2051282051282097</v>
      </c>
      <c r="FZ46" s="13">
        <f>IF('Données projet'!$A$244&gt;35,FZ45+FY46-GH45,IF(A46&lt;'Données projet'!$A$244,$FW$205^A46,IF(A46='Données projet'!$A$244,'Données projet'!$B$244,FZ45+FY46-GH45)))</f>
        <v>244.48717948717939</v>
      </c>
      <c r="GA46" s="18">
        <f>FZ46*VLOOKUP('Données projet'!$B$17,Paramètres!$A$1:$I$89,3,0)*VLOOKUP('Données projet'!$B$17,Paramètres!$A$1:$I$89,5,0)</f>
        <v>164.00199999999995</v>
      </c>
      <c r="GB46" s="14">
        <f t="shared" si="49"/>
        <v>41.743875718910466</v>
      </c>
      <c r="GC46" s="22">
        <f t="shared" si="25"/>
        <v>358.34073354376892</v>
      </c>
      <c r="GD46" s="62">
        <f t="shared" si="26"/>
        <v>651.67406687710218</v>
      </c>
      <c r="GE46" s="62">
        <f ca="1">AVERAGE(OFFSET($GD$3,0,0,'Données projet'!$E$17+1,1))-AVERAGE(OFFSET($H$3,0,0,'Données projet'!$E$17+1,1))</f>
        <v>408.91016501484626</v>
      </c>
      <c r="GF46" s="62">
        <f t="shared" si="50"/>
        <v>354.22396807666433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11.4</v>
      </c>
      <c r="GU46" s="13">
        <f>IF('Données projet'!$A$270&gt;35,GU45+GT46-HC45,IF(A46&lt;'Données projet'!$A$270,$GR$205^A46,IF(A46='Données projet'!$A$270,'Données projet'!$B$270,GU45+GT46-HC45)))</f>
        <v>209.20000000000005</v>
      </c>
      <c r="GV46" s="18">
        <f>GU46*VLOOKUP('Données projet'!$B$18,Paramètres!$A$1:$I$89,3,0)*VLOOKUP('Données projet'!$B$18,Paramètres!$A$1:$I$89,5,0)</f>
        <v>202.33824000000007</v>
      </c>
      <c r="GW46" s="14">
        <f t="shared" si="51"/>
        <v>50.257693963357795</v>
      </c>
      <c r="GX46" s="22">
        <f t="shared" si="28"/>
        <v>439.93791831951495</v>
      </c>
      <c r="GY46" s="62">
        <f t="shared" si="29"/>
        <v>733.27125165284826</v>
      </c>
      <c r="GZ46" s="62">
        <f ca="1">AVERAGE(OFFSET($GY$3,0,0,'Données projet'!$E$18+1,1))-AVERAGE(OFFSET($H$3,0,0,'Données projet'!$E$18+1,1))</f>
        <v>562.69380557620775</v>
      </c>
      <c r="HA46" s="62">
        <f t="shared" si="52"/>
        <v>294.45557293177131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2">
        <f t="shared" si="0"/>
        <v>727.45225524198804</v>
      </c>
      <c r="S47" s="62">
        <f ca="1">AVERAGE(OFFSET($R$3,0,0,'Données projet'!$E$9+1,1))-AVERAGE(OFFSET($H$3,0,0,'Données projet'!$E$9+1,1))</f>
        <v>529.25712986118265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230</v>
      </c>
      <c r="AG47" s="13">
        <f>VLOOKUP(A47,'Données projet'!$A$61:$I$81,9,0)</f>
        <v>11.142857142857142</v>
      </c>
      <c r="AH47" s="13">
        <f t="array" ref="AH47">INDEX(AG:AG,MIN(IF(ISNUMBER(AG47:AG243),ROW(AG47:AG243),"")))</f>
        <v>11.142857142857142</v>
      </c>
      <c r="AI47" s="14">
        <f>IF('Données projet'!$A$62&gt;35,AI46+AH47-AQ46,IF(A47&lt;'Données projet'!$A$62,$AF$205^A47,IF(A47='Données projet'!$A$62,'Données projet'!$B$62,AI46+AH47-AQ46)))</f>
        <v>229.99999999999994</v>
      </c>
      <c r="AJ47" s="14">
        <f>AI47*VLOOKUP('Données projet'!$B$10,Paramètres!$A$1:$I$89,3,0)*VLOOKUP('Données projet'!$B$10,Paramètres!$A$1:$I$89,5,0)</f>
        <v>179.39999999999995</v>
      </c>
      <c r="AK47" s="14">
        <f t="shared" si="35"/>
        <v>45.188671291872232</v>
      </c>
      <c r="AL47" s="22">
        <f t="shared" si="4"/>
        <v>391.15860250001066</v>
      </c>
      <c r="AM47" s="62">
        <f t="shared" si="5"/>
        <v>684.49193583334397</v>
      </c>
      <c r="AN47" s="62">
        <f ca="1">AVERAGE(OFFSET($AM$3,0,0,'Données projet'!$E$10+1,1))-AVERAGE(OFFSET($H$3,0,0,'Données projet'!$E$10+1,1))</f>
        <v>292.57482726862594</v>
      </c>
      <c r="AO47" s="62">
        <f t="shared" si="36"/>
        <v>283.48738729114024</v>
      </c>
      <c r="AP47" s="16">
        <f>IF(ISNA(VLOOKUP(A47,'Données projet'!$A$61:$I$81,3,0)),0,VLOOKUP(A47,'Données projet'!$A$61:$I$81,3,0))</f>
        <v>4</v>
      </c>
      <c r="AQ47" s="16">
        <f>IF(ISNA(VLOOKUP(A47,'Données projet'!$A$61:$I$81,4,0)),0,VLOOKUP(A47,'Données projet'!$A$61:$I$81,4,0))</f>
        <v>43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268.59999999999991</v>
      </c>
      <c r="BE47" s="14">
        <f>BD47*VLOOKUP('Données projet'!$B$11,Paramètres!$A$1:$I$89,3,0)*VLOOKUP('Données projet'!$B$11,Paramètres!$A$1:$I$89,5,0)</f>
        <v>196.93751999999992</v>
      </c>
      <c r="BF47" s="14">
        <f t="shared" si="37"/>
        <v>49.070524066369494</v>
      </c>
      <c r="BG47" s="22">
        <f t="shared" si="7"/>
        <v>428.46401008226007</v>
      </c>
      <c r="BH47" s="62">
        <f t="shared" si="8"/>
        <v>721.79734341559333</v>
      </c>
      <c r="BI47" s="62">
        <f ca="1">AVERAGE(OFFSET($BH$3,0,0,'Données projet'!$E$11+1,1))-AVERAGE(OFFSET($H$3,0,0,'Données projet'!$E$11+1,1))</f>
        <v>397.24545766894346</v>
      </c>
      <c r="BJ47" s="62">
        <f t="shared" si="38"/>
        <v>431.44557882369696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7.4</v>
      </c>
      <c r="BY47" s="13">
        <f>IF('Données projet'!$A$114&gt;35,BY46+BX47-CG46,IF(A47&lt;'Données projet'!$A$114,$BV$205^A47,IF(A47='Données projet'!$A$114,'Données projet'!$B$114,BY46+BX47-CG46)))</f>
        <v>224.60000000000008</v>
      </c>
      <c r="BZ47" s="14">
        <f>BY47*VLOOKUP('Données projet'!$B$12,Paramètres!$A$1:$I$89,3,0)*VLOOKUP('Données projet'!$B$12,Paramètres!$A$1:$I$89,5,0)</f>
        <v>147.15792000000008</v>
      </c>
      <c r="CA47" s="14">
        <f t="shared" si="39"/>
        <v>37.931995448211751</v>
      </c>
      <c r="CB47" s="22">
        <f t="shared" si="10"/>
        <v>322.36493607230227</v>
      </c>
      <c r="CC47" s="62">
        <f t="shared" si="11"/>
        <v>615.69826940563553</v>
      </c>
      <c r="CD47" s="62">
        <f ca="1">AVERAGE(OFFSET($CC$3,0,0,'Données projet'!$E$12+1,1))-AVERAGE(OFFSET($H$3,0,0,'Données projet'!$E$12+1,1))</f>
        <v>277.27246253233807</v>
      </c>
      <c r="CE47" s="62">
        <f t="shared" si="40"/>
        <v>269.61868559913404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126.02304000000005</v>
      </c>
      <c r="CV47" s="14">
        <f t="shared" si="41"/>
        <v>33.075745544773369</v>
      </c>
      <c r="CW47" s="22">
        <f t="shared" si="13"/>
        <v>277.0970514904804</v>
      </c>
      <c r="CX47" s="62">
        <f t="shared" si="14"/>
        <v>570.43038482381371</v>
      </c>
      <c r="CY47" s="62">
        <f ca="1">AVERAGE(OFFSET($CX$3,0,0,'Données projet'!$E$13+1,1))-AVERAGE(OFFSET($H$3,0,0,'Données projet'!$E$13+1,1))</f>
        <v>402.15128814037058</v>
      </c>
      <c r="CZ47" s="62">
        <f t="shared" si="42"/>
        <v>232.85411068442738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7.4358974358974308</v>
      </c>
      <c r="DO47" s="13">
        <f>IF('Données projet'!$A$166&gt;35,DO46+DN47-DW46,IF(A47&lt;'Données projet'!$A$166,$DL$205^A47,IF(A47='Données projet'!$A$166,'Données projet'!$B$166,DO46+DN47-DW46)))</f>
        <v>209.23076923076914</v>
      </c>
      <c r="DP47" s="18">
        <f>DO47*VLOOKUP('Données projet'!$B$14,Paramètres!$A$1:$I$89,3,0)*VLOOKUP('Données projet'!$B$14,Paramètres!$A$1:$I$89,5,0)</f>
        <v>199.10399999999993</v>
      </c>
      <c r="DQ47" s="14">
        <f t="shared" si="43"/>
        <v>49.547202616320611</v>
      </c>
      <c r="DR47" s="22">
        <f t="shared" si="16"/>
        <v>433.0675112234249</v>
      </c>
      <c r="DS47" s="62">
        <f t="shared" si="17"/>
        <v>726.40084455675822</v>
      </c>
      <c r="DT47" s="62">
        <f ca="1">AVERAGE(OFFSET($DS$3,0,0,'Données projet'!$E$14+1,1))-AVERAGE(OFFSET($H$3,0,0,'Données projet'!$E$14+1,1))</f>
        <v>485.18236169209541</v>
      </c>
      <c r="DU47" s="62">
        <f t="shared" si="44"/>
        <v>417.30339652956951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11.4</v>
      </c>
      <c r="EJ47" s="13">
        <f>IF('Données projet'!$A$192&gt;35,EJ46+EI47-ER46,IF(A47&lt;'Données projet'!$A$192,$EG$205^A47,IF(A47='Données projet'!$A$192,'Données projet'!$B$192,EJ46+EI47-ER46)))</f>
        <v>268.59999999999991</v>
      </c>
      <c r="EK47" s="18">
        <f>EJ47*VLOOKUP('Données projet'!$B$15,Paramètres!$A$1:$I$89,3,0)*VLOOKUP('Données projet'!$B$15,Paramètres!$A$1:$I$89,5,0)</f>
        <v>213.69815999999994</v>
      </c>
      <c r="EL47" s="14">
        <f t="shared" si="45"/>
        <v>52.742903801874164</v>
      </c>
      <c r="EM47" s="22">
        <f t="shared" si="19"/>
        <v>464.05151945493071</v>
      </c>
      <c r="EN47" s="62">
        <f t="shared" si="20"/>
        <v>757.38485278826397</v>
      </c>
      <c r="EO47" s="62">
        <f ca="1">AVERAGE(OFFSET($EN$3,0,0,'Données projet'!$E$15+1,1))-AVERAGE(OFFSET($H$3,0,0,'Données projet'!$E$15+1,1))</f>
        <v>427.78067187784063</v>
      </c>
      <c r="EP47" s="62">
        <f t="shared" si="46"/>
        <v>464.22892523825118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15.666666666666666</v>
      </c>
      <c r="FE47" s="13">
        <f>IF('Données projet'!$A$218&gt;35,FE46+FD47-FM46,IF(A47&lt;'Données projet'!$A$218,$FB$205^A47,IF(A47='Données projet'!$A$218,'Données projet'!$B$218,FE46+FD47-FM46)))</f>
        <v>177.33333333333323</v>
      </c>
      <c r="FF47" s="18">
        <f>FE47*VLOOKUP('Données projet'!$B$16,Paramètres!$A$1:$I$89,3,0)*VLOOKUP('Données projet'!$B$16,Paramètres!$A$1:$I$89,5,0)</f>
        <v>152.15199999999993</v>
      </c>
      <c r="FG47" s="14">
        <f t="shared" si="47"/>
        <v>39.067229161930634</v>
      </c>
      <c r="FH47" s="22">
        <f t="shared" si="22"/>
        <v>333.04015745702907</v>
      </c>
      <c r="FI47" s="62">
        <f t="shared" si="23"/>
        <v>626.37349079036244</v>
      </c>
      <c r="FJ47" s="62">
        <f ca="1">AVERAGE(OFFSET($FI$3,0,0,'Données projet'!$E$16+1,1))-AVERAGE(OFFSET($H$3,0,0,'Données projet'!$E$16+1,1))</f>
        <v>448.44001099301806</v>
      </c>
      <c r="FK47" s="62">
        <f t="shared" si="48"/>
        <v>230.82970731138215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8.2051282051282097</v>
      </c>
      <c r="FZ47" s="13">
        <f>IF('Données projet'!$A$244&gt;35,FZ46+FY47-GH46,IF(A47&lt;'Données projet'!$A$244,$FW$205^A47,IF(A47='Données projet'!$A$244,'Données projet'!$B$244,FZ46+FY47-GH46)))</f>
        <v>252.69230769230759</v>
      </c>
      <c r="GA47" s="18">
        <f>FZ47*VLOOKUP('Données projet'!$B$17,Paramètres!$A$1:$I$89,3,0)*VLOOKUP('Données projet'!$B$17,Paramètres!$A$1:$I$89,5,0)</f>
        <v>169.50599999999991</v>
      </c>
      <c r="GB47" s="14">
        <f t="shared" si="49"/>
        <v>42.979365286652502</v>
      </c>
      <c r="GC47" s="22">
        <f t="shared" si="25"/>
        <v>370.07867787425289</v>
      </c>
      <c r="GD47" s="62">
        <f t="shared" si="26"/>
        <v>663.41201120758615</v>
      </c>
      <c r="GE47" s="62">
        <f ca="1">AVERAGE(OFFSET($GD$3,0,0,'Données projet'!$E$17+1,1))-AVERAGE(OFFSET($H$3,0,0,'Données projet'!$E$17+1,1))</f>
        <v>408.91016501484626</v>
      </c>
      <c r="GF47" s="62">
        <f t="shared" si="50"/>
        <v>354.22396807666433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11.4</v>
      </c>
      <c r="GU47" s="13">
        <f>IF('Données projet'!$A$270&gt;35,GU46+GT47-HC46,IF(A47&lt;'Données projet'!$A$270,$GR$205^A47,IF(A47='Données projet'!$A$270,'Données projet'!$B$270,GU46+GT47-HC46)))</f>
        <v>220.60000000000005</v>
      </c>
      <c r="GV47" s="18">
        <f>GU47*VLOOKUP('Données projet'!$B$18,Paramètres!$A$1:$I$89,3,0)*VLOOKUP('Données projet'!$B$18,Paramètres!$A$1:$I$89,5,0)</f>
        <v>213.36432000000005</v>
      </c>
      <c r="GW47" s="14">
        <f t="shared" si="51"/>
        <v>52.670092827991724</v>
      </c>
      <c r="GX47" s="22">
        <f t="shared" si="28"/>
        <v>463.34326900875232</v>
      </c>
      <c r="GY47" s="62">
        <f t="shared" si="29"/>
        <v>756.67660234208563</v>
      </c>
      <c r="GZ47" s="62">
        <f ca="1">AVERAGE(OFFSET($GY$3,0,0,'Données projet'!$E$18+1,1))-AVERAGE(OFFSET($H$3,0,0,'Données projet'!$E$18+1,1))</f>
        <v>562.69380557620775</v>
      </c>
      <c r="HA47" s="62">
        <f t="shared" si="52"/>
        <v>294.45557293177131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2">
        <f t="shared" si="0"/>
        <v>749.35444730432789</v>
      </c>
      <c r="S48" s="62">
        <f ca="1">AVERAGE(OFFSET($R$3,0,0,'Données projet'!$E$9+1,1))-AVERAGE(OFFSET($H$3,0,0,'Données projet'!$E$9+1,1))</f>
        <v>529.25712986118265</v>
      </c>
      <c r="T48" s="62">
        <f t="shared" si="34"/>
        <v>278.21741231699929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10.375</v>
      </c>
      <c r="AI48" s="14">
        <f>IF('Données projet'!$A$62&gt;35,AI47+AH48-AQ47,IF(A48&lt;'Données projet'!$A$62,$AF$205^A48,IF(A48='Données projet'!$A$62,'Données projet'!$B$62,AI47+AH48-AQ47)))</f>
        <v>197.37499999999994</v>
      </c>
      <c r="AJ48" s="14">
        <f>AI48*VLOOKUP('Données projet'!$B$10,Paramètres!$A$1:$I$89,3,0)*VLOOKUP('Données projet'!$B$10,Paramètres!$A$1:$I$89,5,0)</f>
        <v>153.95249999999996</v>
      </c>
      <c r="AK48" s="14">
        <f t="shared" si="35"/>
        <v>39.475441267837397</v>
      </c>
      <c r="AL48" s="22">
        <f t="shared" si="4"/>
        <v>336.88699770815003</v>
      </c>
      <c r="AM48" s="62">
        <f t="shared" si="5"/>
        <v>630.2203310414834</v>
      </c>
      <c r="AN48" s="62">
        <f ca="1">AVERAGE(OFFSET($AM$3,0,0,'Données projet'!$E$10+1,1))-AVERAGE(OFFSET($H$3,0,0,'Données projet'!$E$10+1,1))</f>
        <v>292.57482726862594</v>
      </c>
      <c r="AO48" s="62">
        <f t="shared" si="36"/>
        <v>283.48738729114024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280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279.99999999999989</v>
      </c>
      <c r="BE48" s="14">
        <f>BD48*VLOOKUP('Données projet'!$B$11,Paramètres!$A$1:$I$89,3,0)*VLOOKUP('Données projet'!$B$11,Paramètres!$A$1:$I$89,5,0)</f>
        <v>205.29599999999991</v>
      </c>
      <c r="BF48" s="14">
        <f t="shared" si="37"/>
        <v>50.906291934375353</v>
      </c>
      <c r="BG48" s="22">
        <f t="shared" si="7"/>
        <v>446.21899178570357</v>
      </c>
      <c r="BH48" s="62">
        <f t="shared" si="8"/>
        <v>739.55232511903682</v>
      </c>
      <c r="BI48" s="62">
        <f ca="1">AVERAGE(OFFSET($BH$3,0,0,'Données projet'!$E$11+1,1))-AVERAGE(OFFSET($H$3,0,0,'Données projet'!$E$11+1,1))</f>
        <v>397.24545766894346</v>
      </c>
      <c r="BJ48" s="62">
        <f t="shared" si="38"/>
        <v>431.44557882369696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232</v>
      </c>
      <c r="BW48" s="13">
        <f>VLOOKUP(A48,'Données projet'!$A$113:$I$133,9,0)</f>
        <v>7.4</v>
      </c>
      <c r="BX48" s="13">
        <f t="array" ref="BX48">INDEX(BW:BW,MIN(IF(ISNUMBER(BW48:BW244),ROW(BW48:BW244),"")))</f>
        <v>7.4</v>
      </c>
      <c r="BY48" s="13">
        <f>IF('Données projet'!$A$114&gt;35,BY47+BX48-CG47,IF(A48&lt;'Données projet'!$A$114,$BV$205^A48,IF(A48='Données projet'!$A$114,'Données projet'!$B$114,BY47+BX48-CG47)))</f>
        <v>232.00000000000009</v>
      </c>
      <c r="BZ48" s="14">
        <f>BY48*VLOOKUP('Données projet'!$B$12,Paramètres!$A$1:$I$89,3,0)*VLOOKUP('Données projet'!$B$12,Paramètres!$A$1:$I$89,5,0)</f>
        <v>152.00640000000004</v>
      </c>
      <c r="CA48" s="14">
        <f t="shared" si="39"/>
        <v>39.034194016561486</v>
      </c>
      <c r="CB48" s="22">
        <f t="shared" si="10"/>
        <v>332.72903457884462</v>
      </c>
      <c r="CC48" s="62">
        <f t="shared" si="11"/>
        <v>626.06236791217793</v>
      </c>
      <c r="CD48" s="62">
        <f ca="1">AVERAGE(OFFSET($CC$3,0,0,'Données projet'!$E$12+1,1))-AVERAGE(OFFSET($H$3,0,0,'Données projet'!$E$12+1,1))</f>
        <v>277.27246253233807</v>
      </c>
      <c r="CE48" s="62">
        <f t="shared" si="40"/>
        <v>269.61868559913404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50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133.09920000000005</v>
      </c>
      <c r="CV48" s="14">
        <f t="shared" si="41"/>
        <v>34.71150853565117</v>
      </c>
      <c r="CW48" s="22">
        <f t="shared" si="13"/>
        <v>292.27031736625918</v>
      </c>
      <c r="CX48" s="62">
        <f t="shared" si="14"/>
        <v>585.60365069959244</v>
      </c>
      <c r="CY48" s="62">
        <f ca="1">AVERAGE(OFFSET($CX$3,0,0,'Données projet'!$E$13+1,1))-AVERAGE(OFFSET($H$3,0,0,'Données projet'!$E$13+1,1))</f>
        <v>402.15128814037058</v>
      </c>
      <c r="CZ48" s="62">
        <f t="shared" si="42"/>
        <v>232.85411068442738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216.66666666666666</v>
      </c>
      <c r="DM48" s="13">
        <f>VLOOKUP(A48,'Données projet'!$A$165:$I$185,9,0)</f>
        <v>7.4358974358974308</v>
      </c>
      <c r="DN48" s="13">
        <f t="array" ref="DN48">INDEX(DM:DM,MIN(IF(ISNUMBER(DM48:DM244),ROW(DM48:DM244),"")))</f>
        <v>7.4358974358974308</v>
      </c>
      <c r="DO48" s="13">
        <f>IF('Données projet'!$A$166&gt;35,DO47+DN48-DW47,IF(A48&lt;'Données projet'!$A$166,$DL$205^A48,IF(A48='Données projet'!$A$166,'Données projet'!$B$166,DO47+DN48-DW47)))</f>
        <v>216.66666666666657</v>
      </c>
      <c r="DP48" s="18">
        <f>DO48*VLOOKUP('Données projet'!$B$14,Paramètres!$A$1:$I$89,3,0)*VLOOKUP('Données projet'!$B$14,Paramètres!$A$1:$I$89,5,0)</f>
        <v>206.17999999999989</v>
      </c>
      <c r="DQ48" s="14">
        <f t="shared" si="43"/>
        <v>51.09992979292003</v>
      </c>
      <c r="DR48" s="22">
        <f t="shared" si="16"/>
        <v>448.09587772266883</v>
      </c>
      <c r="DS48" s="62">
        <f t="shared" si="17"/>
        <v>741.42921105600215</v>
      </c>
      <c r="DT48" s="62">
        <f ca="1">AVERAGE(OFFSET($DS$3,0,0,'Données projet'!$E$14+1,1))-AVERAGE(OFFSET($H$3,0,0,'Données projet'!$E$14+1,1))</f>
        <v>485.18236169209541</v>
      </c>
      <c r="DU48" s="62">
        <f t="shared" si="44"/>
        <v>417.30339652956951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280</v>
      </c>
      <c r="EH48" s="13">
        <f>VLOOKUP(A48,'Données projet'!$A$191:$I$211,9,0)</f>
        <v>11.4</v>
      </c>
      <c r="EI48" s="13">
        <f t="array" ref="EI48">INDEX(EH:EH,MIN(IF(ISNUMBER(EH48:EH244),ROW(EH48:EH244),"")))</f>
        <v>11.4</v>
      </c>
      <c r="EJ48" s="13">
        <f>IF('Données projet'!$A$192&gt;35,EJ47+EI48-ER47,IF(A48&lt;'Données projet'!$A$192,$EG$205^A48,IF(A48='Données projet'!$A$192,'Données projet'!$B$192,EJ47+EI48-ER47)))</f>
        <v>279.99999999999989</v>
      </c>
      <c r="EK48" s="18">
        <f>EJ48*VLOOKUP('Données projet'!$B$15,Paramètres!$A$1:$I$89,3,0)*VLOOKUP('Données projet'!$B$15,Paramètres!$A$1:$I$89,5,0)</f>
        <v>222.76799999999994</v>
      </c>
      <c r="EL48" s="14">
        <f t="shared" si="45"/>
        <v>54.716058356609508</v>
      </c>
      <c r="EM48" s="22">
        <f t="shared" si="19"/>
        <v>483.28473497109485</v>
      </c>
      <c r="EN48" s="62">
        <f t="shared" si="20"/>
        <v>776.61806830442811</v>
      </c>
      <c r="EO48" s="62">
        <f ca="1">AVERAGE(OFFSET($EN$3,0,0,'Données projet'!$E$15+1,1))-AVERAGE(OFFSET($H$3,0,0,'Données projet'!$E$15+1,1))</f>
        <v>427.78067187784063</v>
      </c>
      <c r="EP48" s="62">
        <f t="shared" si="46"/>
        <v>464.22892523825118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15.666666666666666</v>
      </c>
      <c r="FE48" s="13">
        <f>IF('Données projet'!$A$218&gt;35,FE47+FD48-FM47,IF(A48&lt;'Données projet'!$A$218,$FB$205^A48,IF(A48='Données projet'!$A$218,'Données projet'!$B$218,FE47+FD48-FM47)))</f>
        <v>192.99999999999989</v>
      </c>
      <c r="FF48" s="18">
        <f>FE48*VLOOKUP('Données projet'!$B$16,Paramètres!$A$1:$I$89,3,0)*VLOOKUP('Données projet'!$B$16,Paramètres!$A$1:$I$89,5,0)</f>
        <v>165.59399999999994</v>
      </c>
      <c r="FG48" s="14">
        <f t="shared" si="47"/>
        <v>42.101723105196754</v>
      </c>
      <c r="FH48" s="22">
        <f t="shared" si="22"/>
        <v>361.73671774155088</v>
      </c>
      <c r="FI48" s="62">
        <f t="shared" si="23"/>
        <v>655.07005107488419</v>
      </c>
      <c r="FJ48" s="62">
        <f ca="1">AVERAGE(OFFSET($FI$3,0,0,'Données projet'!$E$16+1,1))-AVERAGE(OFFSET($H$3,0,0,'Données projet'!$E$16+1,1))</f>
        <v>448.44001099301806</v>
      </c>
      <c r="FK48" s="62">
        <f t="shared" si="48"/>
        <v>230.82970731138215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260.89743589743591</v>
      </c>
      <c r="FX48" s="13">
        <f>VLOOKUP(A48,'Données projet'!$A$243:$I$263,9,0)</f>
        <v>8.2051282051282097</v>
      </c>
      <c r="FY48" s="13">
        <f t="array" ref="FY48">INDEX(FX:FX,MIN(IF(ISNUMBER(FX48:FX244),ROW(FX48:FX244),"")))</f>
        <v>8.2051282051282097</v>
      </c>
      <c r="FZ48" s="13">
        <f>IF('Données projet'!$A$244&gt;35,FZ47+FY48-GH47,IF(A48&lt;'Données projet'!$A$244,$FW$205^A48,IF(A48='Données projet'!$A$244,'Données projet'!$B$244,FZ47+FY48-GH47)))</f>
        <v>260.8974358974358</v>
      </c>
      <c r="GA48" s="18">
        <f>FZ48*VLOOKUP('Données projet'!$B$17,Paramètres!$A$1:$I$89,3,0)*VLOOKUP('Données projet'!$B$17,Paramètres!$A$1:$I$89,5,0)</f>
        <v>175.00999999999993</v>
      </c>
      <c r="GB48" s="14">
        <f t="shared" si="49"/>
        <v>44.210193140944149</v>
      </c>
      <c r="GC48" s="22">
        <f t="shared" si="25"/>
        <v>381.80850305381091</v>
      </c>
      <c r="GD48" s="62">
        <f t="shared" si="26"/>
        <v>675.14183638714417</v>
      </c>
      <c r="GE48" s="62">
        <f ca="1">AVERAGE(OFFSET($GD$3,0,0,'Données projet'!$E$17+1,1))-AVERAGE(OFFSET($H$3,0,0,'Données projet'!$E$17+1,1))</f>
        <v>408.91016501484626</v>
      </c>
      <c r="GF48" s="62">
        <f t="shared" si="50"/>
        <v>354.22396807666433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232</v>
      </c>
      <c r="GS48" s="13">
        <f>VLOOKUP(A48,'Données projet'!$A$269:$I$289,9,0)</f>
        <v>11.4</v>
      </c>
      <c r="GT48" s="13">
        <f t="array" ref="GT48">INDEX(GS:GS,MIN(IF(ISNUMBER(GS48:GS244),ROW(GS48:GS244),"")))</f>
        <v>11.4</v>
      </c>
      <c r="GU48" s="13">
        <f>IF('Données projet'!$A$270&gt;35,GU47+GT48-HC47,IF(A48&lt;'Données projet'!$A$270,$GR$205^A48,IF(A48='Données projet'!$A$270,'Données projet'!$B$270,GU47+GT48-HC47)))</f>
        <v>232.00000000000006</v>
      </c>
      <c r="GV48" s="18">
        <f>GU48*VLOOKUP('Données projet'!$B$18,Paramètres!$A$1:$I$89,3,0)*VLOOKUP('Données projet'!$B$18,Paramètres!$A$1:$I$89,5,0)</f>
        <v>224.39040000000006</v>
      </c>
      <c r="GW48" s="14">
        <f t="shared" si="51"/>
        <v>55.068017311015858</v>
      </c>
      <c r="GX48" s="22">
        <f t="shared" si="28"/>
        <v>486.72341015001939</v>
      </c>
      <c r="GY48" s="62">
        <f t="shared" si="29"/>
        <v>780.05674348335265</v>
      </c>
      <c r="GZ48" s="62">
        <f ca="1">AVERAGE(OFFSET($GY$3,0,0,'Données projet'!$E$18+1,1))-AVERAGE(OFFSET($H$3,0,0,'Données projet'!$E$18+1,1))</f>
        <v>562.69380557620775</v>
      </c>
      <c r="HA48" s="62">
        <f t="shared" si="52"/>
        <v>294.45557293177131</v>
      </c>
      <c r="HB48" s="16">
        <f>IF(ISNA(VLOOKUP(A48,'Données projet'!$A$269:$I$289,3,0)),0,VLOOKUP(A48,'Données projet'!$A$269:$I$289,3,0))</f>
        <v>3</v>
      </c>
      <c r="HC48" s="16">
        <f>IF(ISNA(VLOOKUP(A48,'Données projet'!$A$269:$I$289,4,0)),0,VLOOKUP(A48,'Données projet'!$A$269:$I$289,4,0))</f>
        <v>56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2">
        <f t="shared" si="0"/>
        <v>662.75452844747895</v>
      </c>
      <c r="S49" s="62">
        <f ca="1">AVERAGE(OFFSET($R$3,0,0,'Données projet'!$E$9+1,1))-AVERAGE(OFFSET($H$3,0,0,'Données projet'!$E$9+1,1))</f>
        <v>529.25712986118265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10.375</v>
      </c>
      <c r="AI49" s="14">
        <f>IF('Données projet'!$A$62&gt;35,AI48+AH49-AQ48,IF(A49&lt;'Données projet'!$A$62,$AF$205^A49,IF(A49='Données projet'!$A$62,'Données projet'!$B$62,AI48+AH49-AQ48)))</f>
        <v>207.74999999999994</v>
      </c>
      <c r="AJ49" s="14">
        <f>AI49*VLOOKUP('Données projet'!$B$10,Paramètres!$A$1:$I$89,3,0)*VLOOKUP('Données projet'!$B$10,Paramètres!$A$1:$I$89,5,0)</f>
        <v>162.04499999999996</v>
      </c>
      <c r="AK49" s="14">
        <f t="shared" si="35"/>
        <v>41.303429372463391</v>
      </c>
      <c r="AL49" s="22">
        <f t="shared" si="4"/>
        <v>354.16518115704031</v>
      </c>
      <c r="AM49" s="62">
        <f t="shared" si="5"/>
        <v>647.49851449037362</v>
      </c>
      <c r="AN49" s="62">
        <f ca="1">AVERAGE(OFFSET($AM$3,0,0,'Données projet'!$E$10+1,1))-AVERAGE(OFFSET($H$3,0,0,'Données projet'!$E$10+1,1))</f>
        <v>292.57482726862594</v>
      </c>
      <c r="AO49" s="62">
        <f t="shared" si="36"/>
        <v>283.48738729114024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9.8000000000000007</v>
      </c>
      <c r="BD49" s="13">
        <f>IF('Données projet'!$A$88&gt;35,BD48+BC49-BL48,IF(A49&lt;'Données projet'!$A$88,$BA$205^A49,IF(A49='Données projet'!$A$88,'Données projet'!$B$88,BD48+BC49-BL48)))</f>
        <v>289.7999999999999</v>
      </c>
      <c r="BE49" s="14">
        <f>BD49*VLOOKUP('Données projet'!$B$11,Paramètres!$A$1:$I$89,3,0)*VLOOKUP('Données projet'!$B$11,Paramètres!$A$1:$I$89,5,0)</f>
        <v>212.48135999999991</v>
      </c>
      <c r="BF49" s="14">
        <f t="shared" si="37"/>
        <v>52.477454024498286</v>
      </c>
      <c r="BG49" s="22">
        <f t="shared" si="7"/>
        <v>461.46993442600098</v>
      </c>
      <c r="BH49" s="62">
        <f t="shared" si="8"/>
        <v>754.80326775933429</v>
      </c>
      <c r="BI49" s="62">
        <f ca="1">AVERAGE(OFFSET($BH$3,0,0,'Données projet'!$E$11+1,1))-AVERAGE(OFFSET($H$3,0,0,'Données projet'!$E$11+1,1))</f>
        <v>397.24545766894346</v>
      </c>
      <c r="BJ49" s="62">
        <f t="shared" si="38"/>
        <v>431.44557882369696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6.6</v>
      </c>
      <c r="BY49" s="13">
        <f>IF('Données projet'!$A$114&gt;35,BY48+BX49-CG48,IF(A49&lt;'Données projet'!$A$114,$BV$205^A49,IF(A49='Données projet'!$A$114,'Données projet'!$B$114,BY48+BX49-CG48)))</f>
        <v>188.60000000000008</v>
      </c>
      <c r="BZ49" s="14">
        <f>BY49*VLOOKUP('Données projet'!$B$12,Paramètres!$A$1:$I$89,3,0)*VLOOKUP('Données projet'!$B$12,Paramètres!$A$1:$I$89,5,0)</f>
        <v>123.57072000000005</v>
      </c>
      <c r="CA49" s="14">
        <f t="shared" si="39"/>
        <v>32.506384557027701</v>
      </c>
      <c r="CB49" s="22">
        <f t="shared" si="10"/>
        <v>271.83429043682332</v>
      </c>
      <c r="CC49" s="62">
        <f t="shared" si="11"/>
        <v>565.16762377015664</v>
      </c>
      <c r="CD49" s="62">
        <f ca="1">AVERAGE(OFFSET($CC$3,0,0,'Données projet'!$E$12+1,1))-AVERAGE(OFFSET($H$3,0,0,'Données projet'!$E$12+1,1))</f>
        <v>277.27246253233807</v>
      </c>
      <c r="CE49" s="62">
        <f t="shared" si="40"/>
        <v>269.61868559913404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140.00688000000005</v>
      </c>
      <c r="CV49" s="14">
        <f t="shared" si="41"/>
        <v>36.29858160188811</v>
      </c>
      <c r="CW49" s="22">
        <f t="shared" si="13"/>
        <v>307.06534562328858</v>
      </c>
      <c r="CX49" s="62">
        <f t="shared" si="14"/>
        <v>600.39867895662189</v>
      </c>
      <c r="CY49" s="62">
        <f ca="1">AVERAGE(OFFSET($CX$3,0,0,'Données projet'!$E$13+1,1))-AVERAGE(OFFSET($H$3,0,0,'Données projet'!$E$13+1,1))</f>
        <v>402.15128814037058</v>
      </c>
      <c r="CZ49" s="62">
        <f t="shared" si="42"/>
        <v>232.85411068442738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7.0512820512820493</v>
      </c>
      <c r="DO49" s="13">
        <f>IF('Données projet'!$A$166&gt;35,DO48+DN49-DW48,IF(A49&lt;'Données projet'!$A$166,$DL$205^A49,IF(A49='Données projet'!$A$166,'Données projet'!$B$166,DO48+DN49-DW48)))</f>
        <v>223.71794871794862</v>
      </c>
      <c r="DP49" s="18">
        <f>DO49*VLOOKUP('Données projet'!$B$14,Paramètres!$A$1:$I$89,3,0)*VLOOKUP('Données projet'!$B$14,Paramètres!$A$1:$I$89,5,0)</f>
        <v>212.8899999999999</v>
      </c>
      <c r="DQ49" s="14">
        <f t="shared" si="43"/>
        <v>52.566620155786865</v>
      </c>
      <c r="DR49" s="22">
        <f t="shared" si="16"/>
        <v>462.33694677132854</v>
      </c>
      <c r="DS49" s="62">
        <f t="shared" si="17"/>
        <v>755.67028010466186</v>
      </c>
      <c r="DT49" s="62">
        <f ca="1">AVERAGE(OFFSET($DS$3,0,0,'Données projet'!$E$14+1,1))-AVERAGE(OFFSET($H$3,0,0,'Données projet'!$E$14+1,1))</f>
        <v>485.18236169209541</v>
      </c>
      <c r="DU49" s="62">
        <f t="shared" si="44"/>
        <v>417.30339652956951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9.8000000000000007</v>
      </c>
      <c r="EJ49" s="13">
        <f>IF('Données projet'!$A$192&gt;35,EJ48+EI49-ER48,IF(A49&lt;'Données projet'!$A$192,$EG$205^A49,IF(A49='Données projet'!$A$192,'Données projet'!$B$192,EJ48+EI49-ER48)))</f>
        <v>289.7999999999999</v>
      </c>
      <c r="EK49" s="18">
        <f>EJ49*VLOOKUP('Données projet'!$B$15,Paramètres!$A$1:$I$89,3,0)*VLOOKUP('Données projet'!$B$15,Paramètres!$A$1:$I$89,5,0)</f>
        <v>230.56487999999993</v>
      </c>
      <c r="EL49" s="14">
        <f t="shared" si="45"/>
        <v>56.404804351341944</v>
      </c>
      <c r="EM49" s="22">
        <f t="shared" si="19"/>
        <v>499.80553357858707</v>
      </c>
      <c r="EN49" s="62">
        <f t="shared" si="20"/>
        <v>793.13886691192033</v>
      </c>
      <c r="EO49" s="62">
        <f ca="1">AVERAGE(OFFSET($EN$3,0,0,'Données projet'!$E$15+1,1))-AVERAGE(OFFSET($H$3,0,0,'Données projet'!$E$15+1,1))</f>
        <v>427.78067187784063</v>
      </c>
      <c r="EP49" s="62">
        <f t="shared" si="46"/>
        <v>464.22892523825118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15.666666666666666</v>
      </c>
      <c r="FE49" s="13">
        <f>IF('Données projet'!$A$218&gt;35,FE48+FD49-FM48,IF(A49&lt;'Données projet'!$A$218,$FB$205^A49,IF(A49='Données projet'!$A$218,'Données projet'!$B$218,FE48+FD49-FM48)))</f>
        <v>208.66666666666654</v>
      </c>
      <c r="FF49" s="18">
        <f>FE49*VLOOKUP('Données projet'!$B$16,Paramètres!$A$1:$I$89,3,0)*VLOOKUP('Données projet'!$B$16,Paramètres!$A$1:$I$89,5,0)</f>
        <v>179.03599999999992</v>
      </c>
      <c r="FG49" s="14">
        <f t="shared" si="47"/>
        <v>45.1076469440343</v>
      </c>
      <c r="FH49" s="22">
        <f t="shared" si="22"/>
        <v>390.38351842752627</v>
      </c>
      <c r="FI49" s="62">
        <f t="shared" si="23"/>
        <v>683.71685176085953</v>
      </c>
      <c r="FJ49" s="62">
        <f ca="1">AVERAGE(OFFSET($FI$3,0,0,'Données projet'!$E$16+1,1))-AVERAGE(OFFSET($H$3,0,0,'Données projet'!$E$16+1,1))</f>
        <v>448.44001099301806</v>
      </c>
      <c r="FK49" s="62">
        <f t="shared" si="48"/>
        <v>230.82970731138215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7.5641025641025639</v>
      </c>
      <c r="FZ49" s="13">
        <f>IF('Données projet'!$A$244&gt;35,FZ48+FY49-GH48,IF(A49&lt;'Données projet'!$A$244,$FW$205^A49,IF(A49='Données projet'!$A$244,'Données projet'!$B$244,FZ48+FY49-GH48)))</f>
        <v>268.46153846153834</v>
      </c>
      <c r="GA49" s="18">
        <f>FZ49*VLOOKUP('Données projet'!$B$17,Paramètres!$A$1:$I$89,3,0)*VLOOKUP('Données projet'!$B$17,Paramètres!$A$1:$I$89,5,0)</f>
        <v>180.08399999999992</v>
      </c>
      <c r="GB49" s="14">
        <f t="shared" si="49"/>
        <v>45.34087411146556</v>
      </c>
      <c r="GC49" s="22">
        <f t="shared" si="25"/>
        <v>392.61498907746903</v>
      </c>
      <c r="GD49" s="62">
        <f t="shared" si="26"/>
        <v>685.94832241080235</v>
      </c>
      <c r="GE49" s="62">
        <f ca="1">AVERAGE(OFFSET($GD$3,0,0,'Données projet'!$E$17+1,1))-AVERAGE(OFFSET($H$3,0,0,'Données projet'!$E$17+1,1))</f>
        <v>408.91016501484626</v>
      </c>
      <c r="GF49" s="62">
        <f t="shared" si="50"/>
        <v>354.22396807666433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11</v>
      </c>
      <c r="GU49" s="13">
        <f>IF('Données projet'!$A$270&gt;35,GU48+GT49-HC48,IF(A49&lt;'Données projet'!$A$270,$GR$205^A49,IF(A49='Données projet'!$A$270,'Données projet'!$B$270,GU48+GT49-HC48)))</f>
        <v>187.00000000000006</v>
      </c>
      <c r="GV49" s="18">
        <f>GU49*VLOOKUP('Données projet'!$B$18,Paramètres!$A$1:$I$89,3,0)*VLOOKUP('Données projet'!$B$18,Paramètres!$A$1:$I$89,5,0)</f>
        <v>180.86640000000006</v>
      </c>
      <c r="GW49" s="14">
        <f t="shared" si="51"/>
        <v>45.514890302102152</v>
      </c>
      <c r="GX49" s="22">
        <f t="shared" si="28"/>
        <v>394.28074727616132</v>
      </c>
      <c r="GY49" s="62">
        <f t="shared" si="29"/>
        <v>687.61408060949464</v>
      </c>
      <c r="GZ49" s="62">
        <f ca="1">AVERAGE(OFFSET($GY$3,0,0,'Données projet'!$E$18+1,1))-AVERAGE(OFFSET($H$3,0,0,'Données projet'!$E$18+1,1))</f>
        <v>562.69380557620775</v>
      </c>
      <c r="HA49" s="62">
        <f t="shared" si="52"/>
        <v>294.45557293177131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2">
        <f t="shared" si="0"/>
        <v>683.96045320765336</v>
      </c>
      <c r="S50" s="62">
        <f ca="1">AVERAGE(OFFSET($R$3,0,0,'Données projet'!$E$9+1,1))-AVERAGE(OFFSET($H$3,0,0,'Données projet'!$E$9+1,1))</f>
        <v>529.25712986118265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10.375</v>
      </c>
      <c r="AI50" s="14">
        <f>IF('Données projet'!$A$62&gt;35,AI49+AH50-AQ49,IF(A50&lt;'Données projet'!$A$62,$AF$205^A50,IF(A50='Données projet'!$A$62,'Données projet'!$B$62,AI49+AH50-AQ49)))</f>
        <v>218.12499999999994</v>
      </c>
      <c r="AJ50" s="14">
        <f>AI50*VLOOKUP('Données projet'!$B$10,Paramètres!$A$1:$I$89,3,0)*VLOOKUP('Données projet'!$B$10,Paramètres!$A$1:$I$89,5,0)</f>
        <v>170.13749999999996</v>
      </c>
      <c r="AK50" s="14">
        <f t="shared" si="35"/>
        <v>43.120817562072411</v>
      </c>
      <c r="AL50" s="22">
        <f t="shared" si="4"/>
        <v>371.42490308727605</v>
      </c>
      <c r="AM50" s="62">
        <f t="shared" si="5"/>
        <v>664.75823642060936</v>
      </c>
      <c r="AN50" s="62">
        <f ca="1">AVERAGE(OFFSET($AM$3,0,0,'Données projet'!$E$10+1,1))-AVERAGE(OFFSET($H$3,0,0,'Données projet'!$E$10+1,1))</f>
        <v>292.57482726862594</v>
      </c>
      <c r="AO50" s="62">
        <f t="shared" si="36"/>
        <v>283.48738729114024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9.8000000000000007</v>
      </c>
      <c r="BD50" s="13">
        <f>IF('Données projet'!$A$88&gt;35,BD49+BC50-BL49,IF(A50&lt;'Données projet'!$A$88,$BA$205^A50,IF(A50='Données projet'!$A$88,'Données projet'!$B$88,BD49+BC50-BL49)))</f>
        <v>299.59999999999991</v>
      </c>
      <c r="BE50" s="14">
        <f>BD50*VLOOKUP('Données projet'!$B$11,Paramètres!$A$1:$I$89,3,0)*VLOOKUP('Données projet'!$B$11,Paramètres!$A$1:$I$89,5,0)</f>
        <v>219.66671999999994</v>
      </c>
      <c r="BF50" s="14">
        <f t="shared" si="37"/>
        <v>54.042442569081146</v>
      </c>
      <c r="BG50" s="22">
        <f t="shared" si="7"/>
        <v>476.71012480781616</v>
      </c>
      <c r="BH50" s="62">
        <f t="shared" si="8"/>
        <v>770.04345814114947</v>
      </c>
      <c r="BI50" s="62">
        <f ca="1">AVERAGE(OFFSET($BH$3,0,0,'Données projet'!$E$11+1,1))-AVERAGE(OFFSET($H$3,0,0,'Données projet'!$E$11+1,1))</f>
        <v>397.24545766894346</v>
      </c>
      <c r="BJ50" s="62">
        <f t="shared" si="38"/>
        <v>431.44557882369696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6.6</v>
      </c>
      <c r="BY50" s="13">
        <f>IF('Données projet'!$A$114&gt;35,BY49+BX50-CG49,IF(A50&lt;'Données projet'!$A$114,$BV$205^A50,IF(A50='Données projet'!$A$114,'Données projet'!$B$114,BY49+BX50-CG49)))</f>
        <v>195.20000000000007</v>
      </c>
      <c r="BZ50" s="14">
        <f>BY50*VLOOKUP('Données projet'!$B$12,Paramètres!$A$1:$I$89,3,0)*VLOOKUP('Données projet'!$B$12,Paramètres!$A$1:$I$89,5,0)</f>
        <v>127.89504000000004</v>
      </c>
      <c r="CA50" s="14">
        <f t="shared" si="39"/>
        <v>33.509503727991913</v>
      </c>
      <c r="CB50" s="22">
        <f t="shared" si="10"/>
        <v>281.11291365958601</v>
      </c>
      <c r="CC50" s="62">
        <f t="shared" si="11"/>
        <v>574.44624699291933</v>
      </c>
      <c r="CD50" s="62">
        <f ca="1">AVERAGE(OFFSET($CC$3,0,0,'Données projet'!$E$12+1,1))-AVERAGE(OFFSET($H$3,0,0,'Données projet'!$E$12+1,1))</f>
        <v>277.27246253233807</v>
      </c>
      <c r="CE50" s="62">
        <f t="shared" si="40"/>
        <v>269.61868559913404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146.91456000000005</v>
      </c>
      <c r="CV50" s="14">
        <f t="shared" si="41"/>
        <v>37.87656239799518</v>
      </c>
      <c r="CW50" s="22">
        <f t="shared" si="13"/>
        <v>321.84453817650837</v>
      </c>
      <c r="CX50" s="62">
        <f t="shared" si="14"/>
        <v>615.17787150984168</v>
      </c>
      <c r="CY50" s="62">
        <f ca="1">AVERAGE(OFFSET($CX$3,0,0,'Données projet'!$E$13+1,1))-AVERAGE(OFFSET($H$3,0,0,'Données projet'!$E$13+1,1))</f>
        <v>402.15128814037058</v>
      </c>
      <c r="CZ50" s="62">
        <f t="shared" si="42"/>
        <v>232.85411068442738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7.0512820512820493</v>
      </c>
      <c r="DO50" s="13">
        <f>IF('Données projet'!$A$166&gt;35,DO49+DN50-DW49,IF(A50&lt;'Données projet'!$A$166,$DL$205^A50,IF(A50='Données projet'!$A$166,'Données projet'!$B$166,DO49+DN50-DW49)))</f>
        <v>230.76923076923066</v>
      </c>
      <c r="DP50" s="18">
        <f>DO50*VLOOKUP('Données projet'!$B$14,Paramètres!$A$1:$I$89,3,0)*VLOOKUP('Données projet'!$B$14,Paramètres!$A$1:$I$89,5,0)</f>
        <v>219.59999999999988</v>
      </c>
      <c r="DQ50" s="14">
        <f t="shared" si="43"/>
        <v>54.027938491064226</v>
      </c>
      <c r="DR50" s="22">
        <f t="shared" si="16"/>
        <v>476.5686595386033</v>
      </c>
      <c r="DS50" s="62">
        <f t="shared" si="17"/>
        <v>769.90199287193661</v>
      </c>
      <c r="DT50" s="62">
        <f ca="1">AVERAGE(OFFSET($DS$3,0,0,'Données projet'!$E$14+1,1))-AVERAGE(OFFSET($H$3,0,0,'Données projet'!$E$14+1,1))</f>
        <v>485.18236169209541</v>
      </c>
      <c r="DU50" s="62">
        <f t="shared" si="44"/>
        <v>417.30339652956951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9.8000000000000007</v>
      </c>
      <c r="EJ50" s="13">
        <f>IF('Données projet'!$A$192&gt;35,EJ49+EI50-ER49,IF(A50&lt;'Données projet'!$A$192,$EG$205^A50,IF(A50='Données projet'!$A$192,'Données projet'!$B$192,EJ49+EI50-ER49)))</f>
        <v>299.59999999999991</v>
      </c>
      <c r="EK50" s="18">
        <f>EJ50*VLOOKUP('Données projet'!$B$15,Paramètres!$A$1:$I$89,3,0)*VLOOKUP('Données projet'!$B$15,Paramètres!$A$1:$I$89,5,0)</f>
        <v>238.36175999999995</v>
      </c>
      <c r="EL50" s="14">
        <f t="shared" si="45"/>
        <v>58.086914779719081</v>
      </c>
      <c r="EM50" s="22">
        <f t="shared" si="19"/>
        <v>516.31477524134391</v>
      </c>
      <c r="EN50" s="62">
        <f t="shared" si="20"/>
        <v>809.64810857467728</v>
      </c>
      <c r="EO50" s="62">
        <f ca="1">AVERAGE(OFFSET($EN$3,0,0,'Données projet'!$E$15+1,1))-AVERAGE(OFFSET($H$3,0,0,'Données projet'!$E$15+1,1))</f>
        <v>427.78067187784063</v>
      </c>
      <c r="EP50" s="62">
        <f t="shared" si="46"/>
        <v>464.22892523825118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15.666666666666666</v>
      </c>
      <c r="FE50" s="13">
        <f>IF('Données projet'!$A$218&gt;35,FE49+FD50-FM49,IF(A50&lt;'Données projet'!$A$218,$FB$205^A50,IF(A50='Données projet'!$A$218,'Données projet'!$B$218,FE49+FD50-FM49)))</f>
        <v>224.3333333333332</v>
      </c>
      <c r="FF50" s="18">
        <f>FE50*VLOOKUP('Données projet'!$B$16,Paramètres!$A$1:$I$89,3,0)*VLOOKUP('Données projet'!$B$16,Paramètres!$A$1:$I$89,5,0)</f>
        <v>192.47799999999989</v>
      </c>
      <c r="FG50" s="14">
        <f t="shared" si="47"/>
        <v>48.087389626209038</v>
      </c>
      <c r="FH50" s="22">
        <f t="shared" si="22"/>
        <v>418.98472026564724</v>
      </c>
      <c r="FI50" s="62">
        <f t="shared" si="23"/>
        <v>712.31805359898055</v>
      </c>
      <c r="FJ50" s="62">
        <f ca="1">AVERAGE(OFFSET($FI$3,0,0,'Données projet'!$E$16+1,1))-AVERAGE(OFFSET($H$3,0,0,'Données projet'!$E$16+1,1))</f>
        <v>448.44001099301806</v>
      </c>
      <c r="FK50" s="62">
        <f t="shared" si="48"/>
        <v>230.82970731138215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7.5641025641025639</v>
      </c>
      <c r="FZ50" s="13">
        <f>IF('Données projet'!$A$244&gt;35,FZ49+FY50-GH49,IF(A50&lt;'Données projet'!$A$244,$FW$205^A50,IF(A50='Données projet'!$A$244,'Données projet'!$B$244,FZ49+FY50-GH49)))</f>
        <v>276.02564102564088</v>
      </c>
      <c r="GA50" s="18">
        <f>FZ50*VLOOKUP('Données projet'!$B$17,Paramètres!$A$1:$I$89,3,0)*VLOOKUP('Données projet'!$B$17,Paramètres!$A$1:$I$89,5,0)</f>
        <v>185.1579999999999</v>
      </c>
      <c r="GB50" s="14">
        <f t="shared" si="49"/>
        <v>46.467852393745147</v>
      </c>
      <c r="GC50" s="22">
        <f t="shared" si="25"/>
        <v>403.41502625243925</v>
      </c>
      <c r="GD50" s="62">
        <f t="shared" si="26"/>
        <v>696.7483595857725</v>
      </c>
      <c r="GE50" s="62">
        <f ca="1">AVERAGE(OFFSET($GD$3,0,0,'Données projet'!$E$17+1,1))-AVERAGE(OFFSET($H$3,0,0,'Données projet'!$E$17+1,1))</f>
        <v>408.91016501484626</v>
      </c>
      <c r="GF50" s="62">
        <f t="shared" si="50"/>
        <v>354.22396807666433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11</v>
      </c>
      <c r="GU50" s="13">
        <f>IF('Données projet'!$A$270&gt;35,GU49+GT50-HC49,IF(A50&lt;'Données projet'!$A$270,$GR$205^A50,IF(A50='Données projet'!$A$270,'Données projet'!$B$270,GU49+GT50-HC49)))</f>
        <v>198.00000000000006</v>
      </c>
      <c r="GV50" s="18">
        <f>GU50*VLOOKUP('Données projet'!$B$18,Paramètres!$A$1:$I$89,3,0)*VLOOKUP('Données projet'!$B$18,Paramètres!$A$1:$I$89,5,0)</f>
        <v>191.50560000000007</v>
      </c>
      <c r="GW50" s="14">
        <f t="shared" si="51"/>
        <v>47.872666570685276</v>
      </c>
      <c r="GX50" s="22">
        <f t="shared" si="28"/>
        <v>416.9171476106103</v>
      </c>
      <c r="GY50" s="62">
        <f t="shared" si="29"/>
        <v>710.25048094394356</v>
      </c>
      <c r="GZ50" s="62">
        <f ca="1">AVERAGE(OFFSET($GY$3,0,0,'Données projet'!$E$18+1,1))-AVERAGE(OFFSET($H$3,0,0,'Données projet'!$E$18+1,1))</f>
        <v>562.69380557620775</v>
      </c>
      <c r="HA50" s="62">
        <f t="shared" si="52"/>
        <v>294.45557293177131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529.25712986118265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10.375</v>
      </c>
      <c r="AI51" s="14">
        <f>IF('Données projet'!$A$62&gt;35,AI50+AH51-AQ50,IF(A51&lt;'Données projet'!$A$62,$AF$205^A51,IF(A51='Données projet'!$A$62,'Données projet'!$B$62,AI50+AH51-AQ50)))</f>
        <v>228.49999999999994</v>
      </c>
      <c r="AJ51" s="14">
        <f>AI51*VLOOKUP('Données projet'!$B$10,Paramètres!$A$1:$I$89,3,0)*VLOOKUP('Données projet'!$B$10,Paramètres!$A$1:$I$89,5,0)</f>
        <v>178.22999999999996</v>
      </c>
      <c r="AK51" s="14">
        <f t="shared" si="35"/>
        <v>44.928167580487852</v>
      </c>
      <c r="AL51" s="22">
        <f t="shared" si="4"/>
        <v>388.66714186934956</v>
      </c>
      <c r="AM51" s="62">
        <f t="shared" si="5"/>
        <v>682.00047520268288</v>
      </c>
      <c r="AN51" s="62">
        <f ca="1">AVERAGE(OFFSET($AM$3,0,0,'Données projet'!$E$10+1,1))-AVERAGE(OFFSET($H$3,0,0,'Données projet'!$E$10+1,1))</f>
        <v>292.57482726862594</v>
      </c>
      <c r="AO51" s="62">
        <f t="shared" si="36"/>
        <v>283.48738729114024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9.8000000000000007</v>
      </c>
      <c r="BD51" s="13">
        <f>IF('Données projet'!$A$88&gt;35,BD50+BC51-BL50,IF(A51&lt;'Données projet'!$A$88,$BA$205^A51,IF(A51='Données projet'!$A$88,'Données projet'!$B$88,BD50+BC51-BL50)))</f>
        <v>309.39999999999992</v>
      </c>
      <c r="BE51" s="14">
        <f>BD51*VLOOKUP('Données projet'!$B$11,Paramètres!$A$1:$I$89,3,0)*VLOOKUP('Données projet'!$B$11,Paramètres!$A$1:$I$89,5,0)</f>
        <v>226.85207999999992</v>
      </c>
      <c r="BF51" s="14">
        <f t="shared" si="37"/>
        <v>55.601482665025273</v>
      </c>
      <c r="BG51" s="22">
        <f t="shared" si="7"/>
        <v>491.93995497491886</v>
      </c>
      <c r="BH51" s="62">
        <f t="shared" si="8"/>
        <v>785.27328830825218</v>
      </c>
      <c r="BI51" s="62">
        <f ca="1">AVERAGE(OFFSET($BH$3,0,0,'Données projet'!$E$11+1,1))-AVERAGE(OFFSET($H$3,0,0,'Données projet'!$E$11+1,1))</f>
        <v>397.24545766894346</v>
      </c>
      <c r="BJ51" s="62">
        <f t="shared" si="38"/>
        <v>431.44557882369696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6.6</v>
      </c>
      <c r="BY51" s="13">
        <f>IF('Données projet'!$A$114&gt;35,BY50+BX51-CG50,IF(A51&lt;'Données projet'!$A$114,$BV$205^A51,IF(A51='Données projet'!$A$114,'Données projet'!$B$114,BY50+BX51-CG50)))</f>
        <v>201.80000000000007</v>
      </c>
      <c r="BZ51" s="14">
        <f>BY51*VLOOKUP('Données projet'!$B$12,Paramètres!$A$1:$I$89,3,0)*VLOOKUP('Données projet'!$B$12,Paramètres!$A$1:$I$89,5,0)</f>
        <v>132.21936000000005</v>
      </c>
      <c r="CA51" s="14">
        <f t="shared" si="39"/>
        <v>34.508681932648301</v>
      </c>
      <c r="CB51" s="22">
        <f t="shared" si="10"/>
        <v>290.3846730326959</v>
      </c>
      <c r="CC51" s="62">
        <f t="shared" si="11"/>
        <v>583.71800636602916</v>
      </c>
      <c r="CD51" s="62">
        <f ca="1">AVERAGE(OFFSET($CC$3,0,0,'Données projet'!$E$12+1,1))-AVERAGE(OFFSET($H$3,0,0,'Données projet'!$E$12+1,1))</f>
        <v>277.27246253233807</v>
      </c>
      <c r="CE51" s="62">
        <f t="shared" si="40"/>
        <v>269.61868559913404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153.82224000000002</v>
      </c>
      <c r="CV51" s="14">
        <f t="shared" si="41"/>
        <v>39.445927244182762</v>
      </c>
      <c r="CW51" s="22">
        <f t="shared" si="13"/>
        <v>336.60872461695169</v>
      </c>
      <c r="CX51" s="62">
        <f t="shared" si="14"/>
        <v>629.94205795028506</v>
      </c>
      <c r="CY51" s="62">
        <f ca="1">AVERAGE(OFFSET($CX$3,0,0,'Données projet'!$E$13+1,1))-AVERAGE(OFFSET($H$3,0,0,'Données projet'!$E$13+1,1))</f>
        <v>402.15128814037058</v>
      </c>
      <c r="CZ51" s="62">
        <f t="shared" si="42"/>
        <v>232.85411068442738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7.0512820512820493</v>
      </c>
      <c r="DO51" s="13">
        <f>IF('Données projet'!$A$166&gt;35,DO50+DN51-DW50,IF(A51&lt;'Données projet'!$A$166,$DL$205^A51,IF(A51='Données projet'!$A$166,'Données projet'!$B$166,DO50+DN51-DW50)))</f>
        <v>237.8205128205127</v>
      </c>
      <c r="DP51" s="18">
        <f>DO51*VLOOKUP('Données projet'!$B$14,Paramètres!$A$1:$I$89,3,0)*VLOOKUP('Données projet'!$B$14,Paramètres!$A$1:$I$89,5,0)</f>
        <v>226.30999999999986</v>
      </c>
      <c r="DQ51" s="14">
        <f t="shared" si="43"/>
        <v>55.484067782810477</v>
      </c>
      <c r="DR51" s="22">
        <f t="shared" si="16"/>
        <v>490.79133472172794</v>
      </c>
      <c r="DS51" s="62">
        <f t="shared" si="17"/>
        <v>784.12466805506119</v>
      </c>
      <c r="DT51" s="62">
        <f ca="1">AVERAGE(OFFSET($DS$3,0,0,'Données projet'!$E$14+1,1))-AVERAGE(OFFSET($H$3,0,0,'Données projet'!$E$14+1,1))</f>
        <v>485.18236169209541</v>
      </c>
      <c r="DU51" s="62">
        <f t="shared" si="44"/>
        <v>417.30339652956951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9.8000000000000007</v>
      </c>
      <c r="EJ51" s="13">
        <f>IF('Données projet'!$A$192&gt;35,EJ50+EI51-ER50,IF(A51&lt;'Données projet'!$A$192,$EG$205^A51,IF(A51='Données projet'!$A$192,'Données projet'!$B$192,EJ50+EI51-ER50)))</f>
        <v>309.39999999999992</v>
      </c>
      <c r="EK51" s="18">
        <f>EJ51*VLOOKUP('Données projet'!$B$15,Paramètres!$A$1:$I$89,3,0)*VLOOKUP('Données projet'!$B$15,Paramètres!$A$1:$I$89,5,0)</f>
        <v>246.15863999999993</v>
      </c>
      <c r="EL51" s="14">
        <f t="shared" si="45"/>
        <v>59.762631584626838</v>
      </c>
      <c r="EM51" s="22">
        <f t="shared" si="19"/>
        <v>532.81288134322483</v>
      </c>
      <c r="EN51" s="62">
        <f t="shared" si="20"/>
        <v>826.1462146765582</v>
      </c>
      <c r="EO51" s="62">
        <f ca="1">AVERAGE(OFFSET($EN$3,0,0,'Données projet'!$E$15+1,1))-AVERAGE(OFFSET($H$3,0,0,'Données projet'!$E$15+1,1))</f>
        <v>427.78067187784063</v>
      </c>
      <c r="EP51" s="62">
        <f t="shared" si="46"/>
        <v>464.22892523825118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>
        <f>VLOOKUP(A51,'Données projet'!$A$217:$I$237,2,0)</f>
        <v>240</v>
      </c>
      <c r="FC51" s="13">
        <f>VLOOKUP(A51,'Données projet'!$A$217:$I$237,9,0)</f>
        <v>15.666666666666666</v>
      </c>
      <c r="FD51" s="13">
        <f t="array" ref="FD51">INDEX(FC:FC,MIN(IF(ISNUMBER(FC51:FC247),ROW(FC51:FC247),"")))</f>
        <v>15.666666666666666</v>
      </c>
      <c r="FE51" s="13">
        <f>IF('Données projet'!$A$218&gt;35,FE50+FD51-FM50,IF(A51&lt;'Données projet'!$A$218,$FB$205^A51,IF(A51='Données projet'!$A$218,'Données projet'!$B$218,FE50+FD51-FM50)))</f>
        <v>239.99999999999986</v>
      </c>
      <c r="FF51" s="18">
        <f>FE51*VLOOKUP('Données projet'!$B$16,Paramètres!$A$1:$I$89,3,0)*VLOOKUP('Données projet'!$B$16,Paramètres!$A$1:$I$89,5,0)</f>
        <v>205.91999999999993</v>
      </c>
      <c r="FG51" s="14">
        <f t="shared" si="47"/>
        <v>51.042987531485686</v>
      </c>
      <c r="FH51" s="22">
        <f t="shared" si="22"/>
        <v>447.5438699506708</v>
      </c>
      <c r="FI51" s="62">
        <f t="shared" si="23"/>
        <v>740.87720328400405</v>
      </c>
      <c r="FJ51" s="62">
        <f ca="1">AVERAGE(OFFSET($FI$3,0,0,'Données projet'!$E$16+1,1))-AVERAGE(OFFSET($H$3,0,0,'Données projet'!$E$16+1,1))</f>
        <v>448.44001099301806</v>
      </c>
      <c r="FK51" s="62">
        <f t="shared" si="48"/>
        <v>230.82970731138215</v>
      </c>
      <c r="FL51" s="16">
        <f>IF(ISNA(VLOOKUP(A51,'Données projet'!$A$217:$I$237,3,0)),0,VLOOKUP(A51,'Données projet'!$A$217:$I$237,3,0))</f>
        <v>5</v>
      </c>
      <c r="FM51" s="16">
        <f>IF(ISNA(VLOOKUP(A51,'Données projet'!$A$217:$I$237,4,0)),0,VLOOKUP(A51,'Données projet'!$A$217:$I$237,4,0))</f>
        <v>63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7.5641025641025639</v>
      </c>
      <c r="FZ51" s="13">
        <f>IF('Données projet'!$A$244&gt;35,FZ50+FY51-GH50,IF(A51&lt;'Données projet'!$A$244,$FW$205^A51,IF(A51='Données projet'!$A$244,'Données projet'!$B$244,FZ50+FY51-GH50)))</f>
        <v>283.58974358974342</v>
      </c>
      <c r="GA51" s="18">
        <f>FZ51*VLOOKUP('Données projet'!$B$17,Paramètres!$A$1:$I$89,3,0)*VLOOKUP('Données projet'!$B$17,Paramètres!$A$1:$I$89,5,0)</f>
        <v>190.23199999999989</v>
      </c>
      <c r="GB51" s="14">
        <f t="shared" si="49"/>
        <v>47.591241113824807</v>
      </c>
      <c r="GC51" s="22">
        <f t="shared" si="25"/>
        <v>414.20881160657797</v>
      </c>
      <c r="GD51" s="62">
        <f t="shared" si="26"/>
        <v>707.54214493991128</v>
      </c>
      <c r="GE51" s="62">
        <f ca="1">AVERAGE(OFFSET($GD$3,0,0,'Données projet'!$E$17+1,1))-AVERAGE(OFFSET($H$3,0,0,'Données projet'!$E$17+1,1))</f>
        <v>408.91016501484626</v>
      </c>
      <c r="GF51" s="62">
        <f t="shared" si="50"/>
        <v>354.22396807666433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11</v>
      </c>
      <c r="GU51" s="13">
        <f>IF('Données projet'!$A$270&gt;35,GU50+GT51-HC50,IF(A51&lt;'Données projet'!$A$270,$GR$205^A51,IF(A51='Données projet'!$A$270,'Données projet'!$B$270,GU50+GT51-HC50)))</f>
        <v>209.00000000000006</v>
      </c>
      <c r="GV51" s="18">
        <f>GU51*VLOOKUP('Données projet'!$B$18,Paramètres!$A$1:$I$89,3,0)*VLOOKUP('Données projet'!$B$18,Paramètres!$A$1:$I$89,5,0)</f>
        <v>202.14480000000006</v>
      </c>
      <c r="GW51" s="14">
        <f t="shared" si="51"/>
        <v>50.215236821738628</v>
      </c>
      <c r="GX51" s="22">
        <f t="shared" si="28"/>
        <v>439.52706413119489</v>
      </c>
      <c r="GY51" s="62">
        <f t="shared" si="29"/>
        <v>732.86039746452821</v>
      </c>
      <c r="GZ51" s="62">
        <f ca="1">AVERAGE(OFFSET($GY$3,0,0,'Données projet'!$E$18+1,1))-AVERAGE(OFFSET($H$3,0,0,'Données projet'!$E$18+1,1))</f>
        <v>562.69380557620775</v>
      </c>
      <c r="HA51" s="62">
        <f t="shared" si="52"/>
        <v>294.45557293177131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529.25712986118265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10.375</v>
      </c>
      <c r="AI52" s="14">
        <f>IF('Données projet'!$A$62&gt;35,AI51+AH52-AQ51,IF(A52&lt;'Données projet'!$A$62,$AF$205^A52,IF(A52='Données projet'!$A$62,'Données projet'!$B$62,AI51+AH52-AQ51)))</f>
        <v>238.87499999999994</v>
      </c>
      <c r="AJ52" s="14">
        <f>AI52*VLOOKUP('Données projet'!$B$10,Paramètres!$A$1:$I$89,3,0)*VLOOKUP('Données projet'!$B$10,Paramètres!$A$1:$I$89,5,0)</f>
        <v>186.32249999999996</v>
      </c>
      <c r="AK52" s="14">
        <f t="shared" si="35"/>
        <v>46.725987276254116</v>
      </c>
      <c r="AL52" s="22">
        <f t="shared" si="4"/>
        <v>405.89278200614257</v>
      </c>
      <c r="AM52" s="62">
        <f t="shared" si="5"/>
        <v>699.22611533947588</v>
      </c>
      <c r="AN52" s="62">
        <f ca="1">AVERAGE(OFFSET($AM$3,0,0,'Données projet'!$E$10+1,1))-AVERAGE(OFFSET($H$3,0,0,'Données projet'!$E$10+1,1))</f>
        <v>292.57482726862594</v>
      </c>
      <c r="AO52" s="62">
        <f t="shared" si="36"/>
        <v>283.48738729114024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9.8000000000000007</v>
      </c>
      <c r="BD52" s="13">
        <f>IF('Données projet'!$A$88&gt;35,BD51+BC52-BL51,IF(A52&lt;'Données projet'!$A$88,$BA$205^A52,IF(A52='Données projet'!$A$88,'Données projet'!$B$88,BD51+BC52-BL51)))</f>
        <v>319.19999999999993</v>
      </c>
      <c r="BE52" s="14">
        <f>BD52*VLOOKUP('Données projet'!$B$11,Paramètres!$A$1:$I$89,3,0)*VLOOKUP('Données projet'!$B$11,Paramètres!$A$1:$I$89,5,0)</f>
        <v>234.03743999999998</v>
      </c>
      <c r="BF52" s="14">
        <f t="shared" si="37"/>
        <v>57.154784339928739</v>
      </c>
      <c r="BG52" s="22">
        <f t="shared" si="7"/>
        <v>507.15979072537579</v>
      </c>
      <c r="BH52" s="62">
        <f t="shared" si="8"/>
        <v>800.4931240587091</v>
      </c>
      <c r="BI52" s="62">
        <f ca="1">AVERAGE(OFFSET($BH$3,0,0,'Données projet'!$E$11+1,1))-AVERAGE(OFFSET($H$3,0,0,'Données projet'!$E$11+1,1))</f>
        <v>397.24545766894346</v>
      </c>
      <c r="BJ52" s="62">
        <f t="shared" si="38"/>
        <v>431.44557882369696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6.6</v>
      </c>
      <c r="BY52" s="13">
        <f>IF('Données projet'!$A$114&gt;35,BY51+BX52-CG51,IF(A52&lt;'Données projet'!$A$114,$BV$205^A52,IF(A52='Données projet'!$A$114,'Données projet'!$B$114,BY51+BX52-CG51)))</f>
        <v>208.40000000000006</v>
      </c>
      <c r="BZ52" s="14">
        <f>BY52*VLOOKUP('Données projet'!$B$12,Paramètres!$A$1:$I$89,3,0)*VLOOKUP('Données projet'!$B$12,Paramètres!$A$1:$I$89,5,0)</f>
        <v>136.54368000000002</v>
      </c>
      <c r="CA52" s="14">
        <f t="shared" si="39"/>
        <v>35.504062844328153</v>
      </c>
      <c r="CB52" s="22">
        <f t="shared" si="10"/>
        <v>299.64981878720488</v>
      </c>
      <c r="CC52" s="62">
        <f t="shared" si="11"/>
        <v>592.98315212053819</v>
      </c>
      <c r="CD52" s="62">
        <f ca="1">AVERAGE(OFFSET($CC$3,0,0,'Données projet'!$E$12+1,1))-AVERAGE(OFFSET($H$3,0,0,'Données projet'!$E$12+1,1))</f>
        <v>277.27246253233807</v>
      </c>
      <c r="CE52" s="62">
        <f t="shared" si="40"/>
        <v>269.61868559913404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160.72992000000002</v>
      </c>
      <c r="CV52" s="14">
        <f t="shared" si="41"/>
        <v>41.007107262069759</v>
      </c>
      <c r="CW52" s="22">
        <f t="shared" si="13"/>
        <v>351.35865581477151</v>
      </c>
      <c r="CX52" s="62">
        <f t="shared" si="14"/>
        <v>644.69198914810477</v>
      </c>
      <c r="CY52" s="62">
        <f ca="1">AVERAGE(OFFSET($CX$3,0,0,'Données projet'!$E$13+1,1))-AVERAGE(OFFSET($H$3,0,0,'Données projet'!$E$13+1,1))</f>
        <v>402.15128814037058</v>
      </c>
      <c r="CZ52" s="62">
        <f t="shared" si="42"/>
        <v>232.85411068442738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7.0512820512820493</v>
      </c>
      <c r="DO52" s="13">
        <f>IF('Données projet'!$A$166&gt;35,DO51+DN52-DW51,IF(A52&lt;'Données projet'!$A$166,$DL$205^A52,IF(A52='Données projet'!$A$166,'Données projet'!$B$166,DO51+DN52-DW51)))</f>
        <v>244.87179487179475</v>
      </c>
      <c r="DP52" s="18">
        <f>DO52*VLOOKUP('Données projet'!$B$14,Paramètres!$A$1:$I$89,3,0)*VLOOKUP('Données projet'!$B$14,Paramètres!$A$1:$I$89,5,0)</f>
        <v>233.0199999999999</v>
      </c>
      <c r="DQ52" s="14">
        <f t="shared" si="43"/>
        <v>56.935179547462297</v>
      </c>
      <c r="DR52" s="22">
        <f t="shared" si="16"/>
        <v>505.00527104516328</v>
      </c>
      <c r="DS52" s="62">
        <f t="shared" si="17"/>
        <v>798.3386043784966</v>
      </c>
      <c r="DT52" s="62">
        <f ca="1">AVERAGE(OFFSET($DS$3,0,0,'Données projet'!$E$14+1,1))-AVERAGE(OFFSET($H$3,0,0,'Données projet'!$E$14+1,1))</f>
        <v>485.18236169209541</v>
      </c>
      <c r="DU52" s="62">
        <f t="shared" si="44"/>
        <v>417.30339652956951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9.8000000000000007</v>
      </c>
      <c r="EJ52" s="13">
        <f>IF('Données projet'!$A$192&gt;35,EJ51+EI52-ER51,IF(A52&lt;'Données projet'!$A$192,$EG$205^A52,IF(A52='Données projet'!$A$192,'Données projet'!$B$192,EJ51+EI52-ER51)))</f>
        <v>319.19999999999993</v>
      </c>
      <c r="EK52" s="18">
        <f>EJ52*VLOOKUP('Données projet'!$B$15,Paramètres!$A$1:$I$89,3,0)*VLOOKUP('Données projet'!$B$15,Paramètres!$A$1:$I$89,5,0)</f>
        <v>253.95551999999998</v>
      </c>
      <c r="EL52" s="14">
        <f t="shared" si="45"/>
        <v>61.432180511879253</v>
      </c>
      <c r="EM52" s="22">
        <f t="shared" si="19"/>
        <v>549.30024505818972</v>
      </c>
      <c r="EN52" s="62">
        <f t="shared" si="20"/>
        <v>842.63357839152309</v>
      </c>
      <c r="EO52" s="62">
        <f ca="1">AVERAGE(OFFSET($EN$3,0,0,'Données projet'!$E$15+1,1))-AVERAGE(OFFSET($H$3,0,0,'Données projet'!$E$15+1,1))</f>
        <v>427.78067187784063</v>
      </c>
      <c r="EP52" s="62">
        <f t="shared" si="46"/>
        <v>464.22892523825118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15.5</v>
      </c>
      <c r="FE52" s="13">
        <f>IF('Données projet'!$A$218&gt;35,FE51+FD52-FM51,IF(A52&lt;'Données projet'!$A$218,$FB$205^A52,IF(A52='Données projet'!$A$218,'Données projet'!$B$218,FE51+FD52-FM51)))</f>
        <v>192.49999999999986</v>
      </c>
      <c r="FF52" s="18">
        <f>FE52*VLOOKUP('Données projet'!$B$16,Paramètres!$A$1:$I$89,3,0)*VLOOKUP('Données projet'!$B$16,Paramètres!$A$1:$I$89,5,0)</f>
        <v>165.16499999999991</v>
      </c>
      <c r="FG52" s="14">
        <f t="shared" si="47"/>
        <v>42.00533269839395</v>
      </c>
      <c r="FH52" s="22">
        <f t="shared" si="22"/>
        <v>360.82166278303589</v>
      </c>
      <c r="FI52" s="62">
        <f t="shared" si="23"/>
        <v>654.15499611636915</v>
      </c>
      <c r="FJ52" s="62">
        <f ca="1">AVERAGE(OFFSET($FI$3,0,0,'Données projet'!$E$16+1,1))-AVERAGE(OFFSET($H$3,0,0,'Données projet'!$E$16+1,1))</f>
        <v>448.44001099301806</v>
      </c>
      <c r="FK52" s="62">
        <f t="shared" si="48"/>
        <v>230.82970731138215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7.5641025641025639</v>
      </c>
      <c r="FZ52" s="13">
        <f>IF('Données projet'!$A$244&gt;35,FZ51+FY52-GH51,IF(A52&lt;'Données projet'!$A$244,$FW$205^A52,IF(A52='Données projet'!$A$244,'Données projet'!$B$244,FZ51+FY52-GH51)))</f>
        <v>291.15384615384596</v>
      </c>
      <c r="GA52" s="18">
        <f>FZ52*VLOOKUP('Données projet'!$B$17,Paramètres!$A$1:$I$89,3,0)*VLOOKUP('Données projet'!$B$17,Paramètres!$A$1:$I$89,5,0)</f>
        <v>195.30599999999987</v>
      </c>
      <c r="GB52" s="14">
        <f t="shared" si="49"/>
        <v>48.71114701939026</v>
      </c>
      <c r="GC52" s="22">
        <f t="shared" si="25"/>
        <v>424.9965310587711</v>
      </c>
      <c r="GD52" s="62">
        <f t="shared" si="26"/>
        <v>718.32986439210435</v>
      </c>
      <c r="GE52" s="62">
        <f ca="1">AVERAGE(OFFSET($GD$3,0,0,'Données projet'!$E$17+1,1))-AVERAGE(OFFSET($H$3,0,0,'Données projet'!$E$17+1,1))</f>
        <v>408.91016501484626</v>
      </c>
      <c r="GF52" s="62">
        <f t="shared" si="50"/>
        <v>354.22396807666433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11</v>
      </c>
      <c r="GU52" s="13">
        <f>IF('Données projet'!$A$270&gt;35,GU51+GT52-HC51,IF(A52&lt;'Données projet'!$A$270,$GR$205^A52,IF(A52='Données projet'!$A$270,'Données projet'!$B$270,GU51+GT52-HC51)))</f>
        <v>220.00000000000006</v>
      </c>
      <c r="GV52" s="18">
        <f>GU52*VLOOKUP('Données projet'!$B$18,Paramètres!$A$1:$I$89,3,0)*VLOOKUP('Données projet'!$B$18,Paramètres!$A$1:$I$89,5,0)</f>
        <v>212.78400000000005</v>
      </c>
      <c r="GW52" s="14">
        <f t="shared" si="51"/>
        <v>52.543492641808108</v>
      </c>
      <c r="GX52" s="22">
        <f t="shared" si="28"/>
        <v>462.11204968448243</v>
      </c>
      <c r="GY52" s="62">
        <f t="shared" si="29"/>
        <v>755.44538301781574</v>
      </c>
      <c r="GZ52" s="62">
        <f ca="1">AVERAGE(OFFSET($GY$3,0,0,'Données projet'!$E$18+1,1))-AVERAGE(OFFSET($H$3,0,0,'Données projet'!$E$18+1,1))</f>
        <v>562.69380557620775</v>
      </c>
      <c r="HA52" s="62">
        <f t="shared" si="52"/>
        <v>294.45557293177131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529.25712986118265</v>
      </c>
      <c r="T53" s="62">
        <f t="shared" si="34"/>
        <v>278.21741231699929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10.375</v>
      </c>
      <c r="AI53" s="14">
        <f>IF('Données projet'!$A$62&gt;35,AI52+AH53-AQ52,IF(A53&lt;'Données projet'!$A$62,$AF$205^A53,IF(A53='Données projet'!$A$62,'Données projet'!$B$62,AI52+AH53-AQ52)))</f>
        <v>249.24999999999994</v>
      </c>
      <c r="AJ53" s="14">
        <f>AI53*VLOOKUP('Données projet'!$B$10,Paramètres!$A$1:$I$89,3,0)*VLOOKUP('Données projet'!$B$10,Paramètres!$A$1:$I$89,5,0)</f>
        <v>194.41499999999996</v>
      </c>
      <c r="AK53" s="14">
        <f t="shared" si="35"/>
        <v>48.514737888684969</v>
      </c>
      <c r="AL53" s="22">
        <f t="shared" si="4"/>
        <v>423.1026268227929</v>
      </c>
      <c r="AM53" s="62">
        <f t="shared" si="5"/>
        <v>716.43596015612616</v>
      </c>
      <c r="AN53" s="62">
        <f ca="1">AVERAGE(OFFSET($AM$3,0,0,'Données projet'!$E$10+1,1))-AVERAGE(OFFSET($H$3,0,0,'Données projet'!$E$10+1,1))</f>
        <v>292.57482726862594</v>
      </c>
      <c r="AO53" s="62">
        <f t="shared" si="36"/>
        <v>283.48738729114024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329</v>
      </c>
      <c r="BB53" s="13">
        <f>VLOOKUP(A53,'Données projet'!$A$87:$I$107,9,0)</f>
        <v>9.8000000000000007</v>
      </c>
      <c r="BC53" s="13">
        <f t="array" ref="BC53">INDEX(BB:BB,MIN(IF(ISNUMBER(BB53:BB249),ROW(BB53:BB249),"")))</f>
        <v>9.8000000000000007</v>
      </c>
      <c r="BD53" s="13">
        <f>IF('Données projet'!$A$88&gt;35,BD52+BC53-BL52,IF(A53&lt;'Données projet'!$A$88,$BA$205^A53,IF(A53='Données projet'!$A$88,'Données projet'!$B$88,BD52+BC53-BL52)))</f>
        <v>328.99999999999994</v>
      </c>
      <c r="BE53" s="14">
        <f>BD53*VLOOKUP('Données projet'!$B$11,Paramètres!$A$1:$I$89,3,0)*VLOOKUP('Données projet'!$B$11,Paramètres!$A$1:$I$89,5,0)</f>
        <v>241.22279999999995</v>
      </c>
      <c r="BF53" s="14">
        <f t="shared" si="37"/>
        <v>58.702543992248827</v>
      </c>
      <c r="BG53" s="22">
        <f t="shared" si="7"/>
        <v>522.36997411983327</v>
      </c>
      <c r="BH53" s="62">
        <f t="shared" si="8"/>
        <v>815.70330745316664</v>
      </c>
      <c r="BI53" s="62">
        <f ca="1">AVERAGE(OFFSET($BH$3,0,0,'Données projet'!$E$11+1,1))-AVERAGE(OFFSET($H$3,0,0,'Données projet'!$E$11+1,1))</f>
        <v>397.24545766894346</v>
      </c>
      <c r="BJ53" s="62">
        <f t="shared" si="38"/>
        <v>431.44557882369696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47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215</v>
      </c>
      <c r="BW53" s="13">
        <f>VLOOKUP(A53,'Données projet'!$A$113:$I$133,9,0)</f>
        <v>6.6</v>
      </c>
      <c r="BX53" s="13">
        <f t="array" ref="BX53">INDEX(BW:BW,MIN(IF(ISNUMBER(BW53:BW249),ROW(BW53:BW249),"")))</f>
        <v>6.6</v>
      </c>
      <c r="BY53" s="13">
        <f>IF('Données projet'!$A$114&gt;35,BY52+BX53-CG52,IF(A53&lt;'Données projet'!$A$114,$BV$205^A53,IF(A53='Données projet'!$A$114,'Données projet'!$B$114,BY52+BX53-CG52)))</f>
        <v>215.00000000000006</v>
      </c>
      <c r="BZ53" s="14">
        <f>BY53*VLOOKUP('Données projet'!$B$12,Paramètres!$A$1:$I$89,3,0)*VLOOKUP('Données projet'!$B$12,Paramètres!$A$1:$I$89,5,0)</f>
        <v>140.86800000000005</v>
      </c>
      <c r="CA53" s="14">
        <f t="shared" si="39"/>
        <v>36.495780519346958</v>
      </c>
      <c r="CB53" s="22">
        <f t="shared" si="10"/>
        <v>308.90858440452939</v>
      </c>
      <c r="CC53" s="62">
        <f t="shared" si="11"/>
        <v>602.24191773786265</v>
      </c>
      <c r="CD53" s="62">
        <f ca="1">AVERAGE(OFFSET($CC$3,0,0,'Données projet'!$E$12+1,1))-AVERAGE(OFFSET($H$3,0,0,'Données projet'!$E$12+1,1))</f>
        <v>277.27246253233807</v>
      </c>
      <c r="CE53" s="62">
        <f t="shared" si="40"/>
        <v>269.61868559913404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167.63760000000002</v>
      </c>
      <c r="CV53" s="14">
        <f t="shared" si="41"/>
        <v>42.560494420898017</v>
      </c>
      <c r="CW53" s="22">
        <f t="shared" si="13"/>
        <v>366.09501444973074</v>
      </c>
      <c r="CX53" s="62">
        <f t="shared" si="14"/>
        <v>659.42834778306405</v>
      </c>
      <c r="CY53" s="62">
        <f ca="1">AVERAGE(OFFSET($CX$3,0,0,'Données projet'!$E$13+1,1))-AVERAGE(OFFSET($H$3,0,0,'Données projet'!$E$13+1,1))</f>
        <v>402.15128814037058</v>
      </c>
      <c r="CZ53" s="62">
        <f t="shared" si="42"/>
        <v>232.85411068442738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251.92307692307691</v>
      </c>
      <c r="DM53" s="13">
        <f>VLOOKUP(A53,'Données projet'!$A$165:$I$185,9,0)</f>
        <v>7.0512820512820493</v>
      </c>
      <c r="DN53" s="13">
        <f t="array" ref="DN53">INDEX(DM:DM,MIN(IF(ISNUMBER(DM53:DM249),ROW(DM53:DM249),"")))</f>
        <v>7.0512820512820493</v>
      </c>
      <c r="DO53" s="13">
        <f>IF('Données projet'!$A$166&gt;35,DO52+DN53-DW52,IF(A53&lt;'Données projet'!$A$166,$DL$205^A53,IF(A53='Données projet'!$A$166,'Données projet'!$B$166,DO52+DN53-DW52)))</f>
        <v>251.92307692307679</v>
      </c>
      <c r="DP53" s="18">
        <f>DO53*VLOOKUP('Données projet'!$B$14,Paramètres!$A$1:$I$89,3,0)*VLOOKUP('Données projet'!$B$14,Paramètres!$A$1:$I$89,5,0)</f>
        <v>239.7299999999999</v>
      </c>
      <c r="DQ53" s="14">
        <f t="shared" si="43"/>
        <v>58.381434861783738</v>
      </c>
      <c r="DR53" s="22">
        <f t="shared" si="16"/>
        <v>519.21074905093985</v>
      </c>
      <c r="DS53" s="62">
        <f t="shared" si="17"/>
        <v>812.54408238427322</v>
      </c>
      <c r="DT53" s="62">
        <f ca="1">AVERAGE(OFFSET($DS$3,0,0,'Données projet'!$E$14+1,1))-AVERAGE(OFFSET($H$3,0,0,'Données projet'!$E$14+1,1))</f>
        <v>485.18236169209541</v>
      </c>
      <c r="DU53" s="62">
        <f t="shared" si="44"/>
        <v>417.30339652956951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42.948717948717949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329</v>
      </c>
      <c r="EH53" s="13">
        <f>VLOOKUP(A53,'Données projet'!$A$191:$I$211,9,0)</f>
        <v>9.8000000000000007</v>
      </c>
      <c r="EI53" s="13">
        <f t="array" ref="EI53">INDEX(EH:EH,MIN(IF(ISNUMBER(EH53:EH249),ROW(EH53:EH249),"")))</f>
        <v>9.8000000000000007</v>
      </c>
      <c r="EJ53" s="13">
        <f>IF('Données projet'!$A$192&gt;35,EJ52+EI53-ER52,IF(A53&lt;'Données projet'!$A$192,$EG$205^A53,IF(A53='Données projet'!$A$192,'Données projet'!$B$192,EJ52+EI53-ER52)))</f>
        <v>328.99999999999994</v>
      </c>
      <c r="EK53" s="18">
        <f>EJ53*VLOOKUP('Données projet'!$B$15,Paramètres!$A$1:$I$89,3,0)*VLOOKUP('Données projet'!$B$15,Paramètres!$A$1:$I$89,5,0)</f>
        <v>261.75239999999997</v>
      </c>
      <c r="EL53" s="14">
        <f t="shared" si="45"/>
        <v>63.095772658160975</v>
      </c>
      <c r="EM53" s="22">
        <f t="shared" si="19"/>
        <v>565.77723404629694</v>
      </c>
      <c r="EN53" s="62">
        <f t="shared" si="20"/>
        <v>859.11056737963031</v>
      </c>
      <c r="EO53" s="62">
        <f ca="1">AVERAGE(OFFSET($EN$3,0,0,'Données projet'!$E$15+1,1))-AVERAGE(OFFSET($H$3,0,0,'Données projet'!$E$15+1,1))</f>
        <v>427.78067187784063</v>
      </c>
      <c r="EP53" s="62">
        <f t="shared" si="46"/>
        <v>464.22892523825118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47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15.5</v>
      </c>
      <c r="FE53" s="13">
        <f>IF('Données projet'!$A$218&gt;35,FE52+FD53-FM52,IF(A53&lt;'Données projet'!$A$218,$FB$205^A53,IF(A53='Données projet'!$A$218,'Données projet'!$B$218,FE52+FD53-FM52)))</f>
        <v>207.99999999999986</v>
      </c>
      <c r="FF53" s="18">
        <f>FE53*VLOOKUP('Données projet'!$B$16,Paramètres!$A$1:$I$89,3,0)*VLOOKUP('Données projet'!$B$16,Paramètres!$A$1:$I$89,5,0)</f>
        <v>178.46399999999991</v>
      </c>
      <c r="FG53" s="14">
        <f t="shared" si="47"/>
        <v>44.980284206661821</v>
      </c>
      <c r="FH53" s="22">
        <f t="shared" si="22"/>
        <v>389.16546165993583</v>
      </c>
      <c r="FI53" s="62">
        <f t="shared" si="23"/>
        <v>682.49879499326914</v>
      </c>
      <c r="FJ53" s="62">
        <f ca="1">AVERAGE(OFFSET($FI$3,0,0,'Données projet'!$E$16+1,1))-AVERAGE(OFFSET($H$3,0,0,'Données projet'!$E$16+1,1))</f>
        <v>448.44001099301806</v>
      </c>
      <c r="FK53" s="62">
        <f t="shared" si="48"/>
        <v>230.82970731138215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298.71794871794873</v>
      </c>
      <c r="FX53" s="13">
        <f>VLOOKUP(A53,'Données projet'!$A$243:$I$263,9,0)</f>
        <v>7.5641025641025639</v>
      </c>
      <c r="FY53" s="13">
        <f t="array" ref="FY53">INDEX(FX:FX,MIN(IF(ISNUMBER(FX53:FX249),ROW(FX53:FX249),"")))</f>
        <v>7.5641025641025639</v>
      </c>
      <c r="FZ53" s="13">
        <f>IF('Données projet'!$A$244&gt;35,FZ52+FY53-GH52,IF(A53&lt;'Données projet'!$A$244,$FW$205^A53,IF(A53='Données projet'!$A$244,'Données projet'!$B$244,FZ52+FY53-GH52)))</f>
        <v>298.7179487179485</v>
      </c>
      <c r="GA53" s="18">
        <f>FZ53*VLOOKUP('Données projet'!$B$17,Paramètres!$A$1:$I$89,3,0)*VLOOKUP('Données projet'!$B$17,Paramètres!$A$1:$I$89,5,0)</f>
        <v>200.37999999999985</v>
      </c>
      <c r="GB53" s="14">
        <f t="shared" si="49"/>
        <v>49.827670995638123</v>
      </c>
      <c r="GC53" s="22">
        <f t="shared" si="25"/>
        <v>435.77836031740276</v>
      </c>
      <c r="GD53" s="62">
        <f t="shared" si="26"/>
        <v>729.11169365073602</v>
      </c>
      <c r="GE53" s="62">
        <f ca="1">AVERAGE(OFFSET($GD$3,0,0,'Données projet'!$E$17+1,1))-AVERAGE(OFFSET($H$3,0,0,'Données projet'!$E$17+1,1))</f>
        <v>408.91016501484626</v>
      </c>
      <c r="GF53" s="62">
        <f t="shared" si="50"/>
        <v>354.22396807666433</v>
      </c>
      <c r="GG53" s="16">
        <f>IF(ISNA(VLOOKUP(A53,'Données projet'!$A$243:$I$263,3,0)),0,VLOOKUP(A53,'Données projet'!$A$243:$I$263,3,0))</f>
        <v>4</v>
      </c>
      <c r="GH53" s="16">
        <f>IF(ISNA(VLOOKUP(A53,'Données projet'!$A$243:$I$263,4,0)),0,VLOOKUP(A53,'Données projet'!$A$243:$I$263,4,0))</f>
        <v>41.666666666666664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231</v>
      </c>
      <c r="GS53" s="13">
        <f>VLOOKUP(A53,'Données projet'!$A$269:$I$289,9,0)</f>
        <v>11</v>
      </c>
      <c r="GT53" s="13">
        <f t="array" ref="GT53">INDEX(GS:GS,MIN(IF(ISNUMBER(GS53:GS249),ROW(GS53:GS249),"")))</f>
        <v>11</v>
      </c>
      <c r="GU53" s="13">
        <f>IF('Données projet'!$A$270&gt;35,GU52+GT53-HC52,IF(A53&lt;'Données projet'!$A$270,$GR$205^A53,IF(A53='Données projet'!$A$270,'Données projet'!$B$270,GU52+GT53-HC52)))</f>
        <v>231.00000000000006</v>
      </c>
      <c r="GV53" s="18">
        <f>GU53*VLOOKUP('Données projet'!$B$18,Paramètres!$A$1:$I$89,3,0)*VLOOKUP('Données projet'!$B$18,Paramètres!$A$1:$I$89,5,0)</f>
        <v>223.42320000000004</v>
      </c>
      <c r="GW53" s="14">
        <f t="shared" si="51"/>
        <v>54.858231422257631</v>
      </c>
      <c r="GX53" s="22">
        <f t="shared" si="28"/>
        <v>484.67349306043207</v>
      </c>
      <c r="GY53" s="62">
        <f t="shared" si="29"/>
        <v>778.00682639376532</v>
      </c>
      <c r="GZ53" s="62">
        <f ca="1">AVERAGE(OFFSET($GY$3,0,0,'Données projet'!$E$18+1,1))-AVERAGE(OFFSET($H$3,0,0,'Données projet'!$E$18+1,1))</f>
        <v>562.69380557620775</v>
      </c>
      <c r="HA53" s="62">
        <f t="shared" si="52"/>
        <v>294.45557293177131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2">
        <f t="shared" si="0"/>
        <v>767.01346305295999</v>
      </c>
      <c r="S54" s="62">
        <f ca="1">AVERAGE(OFFSET($R$3,0,0,'Données projet'!$E$9+1,1))-AVERAGE(OFFSET($H$3,0,0,'Données projet'!$E$9+1,1))</f>
        <v>529.25712986118265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10.375</v>
      </c>
      <c r="AI54" s="14">
        <f>IF('Données projet'!$A$62&gt;35,AI53+AH54-AQ53,IF(A54&lt;'Données projet'!$A$62,$AF$205^A54,IF(A54='Données projet'!$A$62,'Données projet'!$B$62,AI53+AH54-AQ53)))</f>
        <v>259.62499999999994</v>
      </c>
      <c r="AJ54" s="14">
        <f>AI54*VLOOKUP('Données projet'!$B$10,Paramètres!$A$1:$I$89,3,0)*VLOOKUP('Données projet'!$B$10,Paramètres!$A$1:$I$89,5,0)</f>
        <v>202.50749999999996</v>
      </c>
      <c r="AK54" s="14">
        <f t="shared" si="35"/>
        <v>50.294840086606349</v>
      </c>
      <c r="AL54" s="22">
        <f t="shared" si="4"/>
        <v>440.29740898417259</v>
      </c>
      <c r="AM54" s="62">
        <f t="shared" si="5"/>
        <v>733.63074231750591</v>
      </c>
      <c r="AN54" s="62">
        <f ca="1">AVERAGE(OFFSET($AM$3,0,0,'Données projet'!$E$10+1,1))-AVERAGE(OFFSET($H$3,0,0,'Données projet'!$E$10+1,1))</f>
        <v>292.57482726862594</v>
      </c>
      <c r="AO54" s="62">
        <f t="shared" si="36"/>
        <v>283.48738729114024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8.4</v>
      </c>
      <c r="BD54" s="13">
        <f>IF('Données projet'!$A$88&gt;35,BD53+BC54-BL53,IF(A54&lt;'Données projet'!$A$88,$BA$205^A54,IF(A54='Données projet'!$A$88,'Données projet'!$B$88,BD53+BC54-BL53)))</f>
        <v>290.39999999999992</v>
      </c>
      <c r="BE54" s="14">
        <f>BD54*VLOOKUP('Données projet'!$B$11,Paramètres!$A$1:$I$89,3,0)*VLOOKUP('Données projet'!$B$11,Paramètres!$A$1:$I$89,5,0)</f>
        <v>212.92127999999991</v>
      </c>
      <c r="BF54" s="14">
        <f t="shared" si="37"/>
        <v>52.57344469809297</v>
      </c>
      <c r="BG54" s="22">
        <f t="shared" si="7"/>
        <v>462.4033121825118</v>
      </c>
      <c r="BH54" s="62">
        <f t="shared" si="8"/>
        <v>755.73664551584511</v>
      </c>
      <c r="BI54" s="62">
        <f ca="1">AVERAGE(OFFSET($BH$3,0,0,'Données projet'!$E$11+1,1))-AVERAGE(OFFSET($H$3,0,0,'Données projet'!$E$11+1,1))</f>
        <v>397.24545766894346</v>
      </c>
      <c r="BJ54" s="62">
        <f t="shared" si="38"/>
        <v>431.44557882369696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6.4</v>
      </c>
      <c r="BY54" s="13">
        <f>IF('Données projet'!$A$114&gt;35,BY53+BX54-CG53,IF(A54&lt;'Données projet'!$A$114,$BV$205^A54,IF(A54='Données projet'!$A$114,'Données projet'!$B$114,BY53+BX54-CG53)))</f>
        <v>221.40000000000006</v>
      </c>
      <c r="BZ54" s="14">
        <f>BY54*VLOOKUP('Données projet'!$B$12,Paramètres!$A$1:$I$89,3,0)*VLOOKUP('Données projet'!$B$12,Paramètres!$A$1:$I$89,5,0)</f>
        <v>145.06128000000004</v>
      </c>
      <c r="CA54" s="14">
        <f t="shared" si="39"/>
        <v>37.454066301840541</v>
      </c>
      <c r="CB54" s="22">
        <f t="shared" si="10"/>
        <v>317.88089480903892</v>
      </c>
      <c r="CC54" s="62">
        <f t="shared" si="11"/>
        <v>611.21422814237224</v>
      </c>
      <c r="CD54" s="62">
        <f ca="1">AVERAGE(OFFSET($CC$3,0,0,'Données projet'!$E$12+1,1))-AVERAGE(OFFSET($H$3,0,0,'Données projet'!$E$12+1,1))</f>
        <v>277.27246253233807</v>
      </c>
      <c r="CE54" s="62">
        <f t="shared" si="40"/>
        <v>269.61868559913404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138.99600000000001</v>
      </c>
      <c r="CV54" s="14">
        <f t="shared" si="41"/>
        <v>36.066906938767758</v>
      </c>
      <c r="CW54" s="22">
        <f t="shared" si="13"/>
        <v>304.90122958502047</v>
      </c>
      <c r="CX54" s="62">
        <f t="shared" si="14"/>
        <v>598.23456291835373</v>
      </c>
      <c r="CY54" s="62">
        <f ca="1">AVERAGE(OFFSET($CX$3,0,0,'Données projet'!$E$13+1,1))-AVERAGE(OFFSET($H$3,0,0,'Données projet'!$E$13+1,1))</f>
        <v>402.15128814037058</v>
      </c>
      <c r="CZ54" s="62">
        <f t="shared" si="42"/>
        <v>232.85411068442738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6.5384615384615419</v>
      </c>
      <c r="DO54" s="13">
        <f>IF('Données projet'!$A$166&gt;35,DO53+DN54-DW53,IF(A54&lt;'Données projet'!$A$166,$DL$205^A54,IF(A54='Données projet'!$A$166,'Données projet'!$B$166,DO53+DN54-DW53)))</f>
        <v>215.51282051282038</v>
      </c>
      <c r="DP54" s="18">
        <f>DO54*VLOOKUP('Données projet'!$B$14,Paramètres!$A$1:$I$89,3,0)*VLOOKUP('Données projet'!$B$14,Paramètres!$A$1:$I$89,5,0)</f>
        <v>205.08199999999988</v>
      </c>
      <c r="DQ54" s="14">
        <f t="shared" si="43"/>
        <v>50.859401223840209</v>
      </c>
      <c r="DR54" s="22">
        <f t="shared" si="16"/>
        <v>445.76460713152147</v>
      </c>
      <c r="DS54" s="62">
        <f t="shared" si="17"/>
        <v>739.09794046485479</v>
      </c>
      <c r="DT54" s="62">
        <f ca="1">AVERAGE(OFFSET($DS$3,0,0,'Données projet'!$E$14+1,1))-AVERAGE(OFFSET($H$3,0,0,'Données projet'!$E$14+1,1))</f>
        <v>485.18236169209541</v>
      </c>
      <c r="DU54" s="62">
        <f t="shared" si="44"/>
        <v>417.30339652956951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8.4</v>
      </c>
      <c r="EJ54" s="13">
        <f>IF('Données projet'!$A$192&gt;35,EJ53+EI54-ER53,IF(A54&lt;'Données projet'!$A$192,$EG$205^A54,IF(A54='Données projet'!$A$192,'Données projet'!$B$192,EJ53+EI54-ER53)))</f>
        <v>290.39999999999992</v>
      </c>
      <c r="EK54" s="18">
        <f>EJ54*VLOOKUP('Données projet'!$B$15,Paramètres!$A$1:$I$89,3,0)*VLOOKUP('Données projet'!$B$15,Paramètres!$A$1:$I$89,5,0)</f>
        <v>231.04223999999994</v>
      </c>
      <c r="EL54" s="14">
        <f t="shared" si="45"/>
        <v>56.507978852931409</v>
      </c>
      <c r="EM54" s="22">
        <f t="shared" si="19"/>
        <v>500.81663116885539</v>
      </c>
      <c r="EN54" s="62">
        <f t="shared" si="20"/>
        <v>794.14996450218871</v>
      </c>
      <c r="EO54" s="62">
        <f ca="1">AVERAGE(OFFSET($EN$3,0,0,'Données projet'!$E$15+1,1))-AVERAGE(OFFSET($H$3,0,0,'Données projet'!$E$15+1,1))</f>
        <v>427.78067187784063</v>
      </c>
      <c r="EP54" s="62">
        <f t="shared" si="46"/>
        <v>464.22892523825118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15.5</v>
      </c>
      <c r="FE54" s="13">
        <f>IF('Données projet'!$A$218&gt;35,FE53+FD54-FM53,IF(A54&lt;'Données projet'!$A$218,$FB$205^A54,IF(A54='Données projet'!$A$218,'Données projet'!$B$218,FE53+FD54-FM53)))</f>
        <v>223.49999999999986</v>
      </c>
      <c r="FF54" s="18">
        <f>FE54*VLOOKUP('Données projet'!$B$16,Paramètres!$A$1:$I$89,3,0)*VLOOKUP('Données projet'!$B$16,Paramètres!$A$1:$I$89,5,0)</f>
        <v>191.76299999999989</v>
      </c>
      <c r="FG54" s="14">
        <f t="shared" si="47"/>
        <v>47.929517351413239</v>
      </c>
      <c r="FH54" s="22">
        <f t="shared" si="22"/>
        <v>417.46446772037785</v>
      </c>
      <c r="FI54" s="62">
        <f t="shared" si="23"/>
        <v>710.79780105371117</v>
      </c>
      <c r="FJ54" s="62">
        <f ca="1">AVERAGE(OFFSET($FI$3,0,0,'Données projet'!$E$16+1,1))-AVERAGE(OFFSET($H$3,0,0,'Données projet'!$E$16+1,1))</f>
        <v>448.44001099301806</v>
      </c>
      <c r="FK54" s="62">
        <f t="shared" si="48"/>
        <v>230.82970731138215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7.1794871794871824</v>
      </c>
      <c r="FZ54" s="13">
        <f>IF('Données projet'!$A$244&gt;35,FZ53+FY54-GH53,IF(A54&lt;'Données projet'!$A$244,$FW$205^A54,IF(A54='Données projet'!$A$244,'Données projet'!$B$244,FZ53+FY54-GH53)))</f>
        <v>264.230769230769</v>
      </c>
      <c r="GA54" s="18">
        <f>FZ54*VLOOKUP('Données projet'!$B$17,Paramètres!$A$1:$I$89,3,0)*VLOOKUP('Données projet'!$B$17,Paramètres!$A$1:$I$89,5,0)</f>
        <v>177.24599999999984</v>
      </c>
      <c r="GB54" s="14">
        <f t="shared" si="49"/>
        <v>44.708923176637185</v>
      </c>
      <c r="GC54" s="22">
        <f t="shared" si="25"/>
        <v>386.57149119930949</v>
      </c>
      <c r="GD54" s="62">
        <f t="shared" si="26"/>
        <v>679.90482453264281</v>
      </c>
      <c r="GE54" s="62">
        <f ca="1">AVERAGE(OFFSET($GD$3,0,0,'Données projet'!$E$17+1,1))-AVERAGE(OFFSET($H$3,0,0,'Données projet'!$E$17+1,1))</f>
        <v>408.91016501484626</v>
      </c>
      <c r="GF54" s="62">
        <f t="shared" si="50"/>
        <v>354.22396807666433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10.199999999999999</v>
      </c>
      <c r="GU54" s="13">
        <f>IF('Données projet'!$A$270&gt;35,GU53+GT54-HC53,IF(A54&lt;'Données projet'!$A$270,$GR$205^A54,IF(A54='Données projet'!$A$270,'Données projet'!$B$270,GU53+GT54-HC53)))</f>
        <v>241.20000000000005</v>
      </c>
      <c r="GV54" s="18">
        <f>GU54*VLOOKUP('Données projet'!$B$18,Paramètres!$A$1:$I$89,3,0)*VLOOKUP('Données projet'!$B$18,Paramètres!$A$1:$I$89,5,0)</f>
        <v>233.28864000000007</v>
      </c>
      <c r="GW54" s="14">
        <f t="shared" si="51"/>
        <v>56.993173773170618</v>
      </c>
      <c r="GX54" s="22">
        <f t="shared" si="28"/>
        <v>505.5741589882723</v>
      </c>
      <c r="GY54" s="62">
        <f t="shared" si="29"/>
        <v>798.90749232160556</v>
      </c>
      <c r="GZ54" s="62">
        <f ca="1">AVERAGE(OFFSET($GY$3,0,0,'Données projet'!$E$18+1,1))-AVERAGE(OFFSET($H$3,0,0,'Données projet'!$E$18+1,1))</f>
        <v>562.69380557620775</v>
      </c>
      <c r="HA54" s="62">
        <f t="shared" si="52"/>
        <v>294.45557293177131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2">
        <f t="shared" si="0"/>
        <v>786.57558808183126</v>
      </c>
      <c r="S55" s="62">
        <f ca="1">AVERAGE(OFFSET($R$3,0,0,'Données projet'!$E$9+1,1))-AVERAGE(OFFSET($H$3,0,0,'Données projet'!$E$9+1,1))</f>
        <v>529.25712986118265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>
        <f>VLOOKUP(A55,'Données projet'!$A$61:$I$81,2,0)</f>
        <v>270</v>
      </c>
      <c r="AG55" s="13">
        <f>VLOOKUP(A55,'Données projet'!$A$61:$I$81,9,0)</f>
        <v>10.375</v>
      </c>
      <c r="AH55" s="13">
        <f t="array" ref="AH55">INDEX(AG:AG,MIN(IF(ISNUMBER(AG55:AG251),ROW(AG55:AG251),"")))</f>
        <v>10.375</v>
      </c>
      <c r="AI55" s="14">
        <f>IF('Données projet'!$A$62&gt;35,AI54+AH55-AQ54,IF(A55&lt;'Données projet'!$A$62,$AF$205^A55,IF(A55='Données projet'!$A$62,'Données projet'!$B$62,AI54+AH55-AQ54)))</f>
        <v>269.99999999999994</v>
      </c>
      <c r="AJ55" s="14">
        <f>AI55*VLOOKUP('Données projet'!$B$10,Paramètres!$A$1:$I$89,3,0)*VLOOKUP('Données projet'!$B$10,Paramètres!$A$1:$I$89,5,0)</f>
        <v>210.59999999999997</v>
      </c>
      <c r="AK55" s="14">
        <f t="shared" si="35"/>
        <v>52.066679014659961</v>
      </c>
      <c r="AL55" s="22">
        <f t="shared" si="4"/>
        <v>457.47779928386598</v>
      </c>
      <c r="AM55" s="62">
        <f t="shared" si="5"/>
        <v>750.81113261719929</v>
      </c>
      <c r="AN55" s="62">
        <f ca="1">AVERAGE(OFFSET($AM$3,0,0,'Données projet'!$E$10+1,1))-AVERAGE(OFFSET($H$3,0,0,'Données projet'!$E$10+1,1))</f>
        <v>292.57482726862594</v>
      </c>
      <c r="AO55" s="62">
        <f t="shared" si="36"/>
        <v>283.48738729114024</v>
      </c>
      <c r="AP55" s="16">
        <f>IF(ISNA(VLOOKUP(A55,'Données projet'!$A$61:$I$81,3,0)),0,VLOOKUP(A55,'Données projet'!$A$61:$I$81,3,0))</f>
        <v>5</v>
      </c>
      <c r="AQ55" s="16">
        <f>IF(ISNA(VLOOKUP(A55,'Données projet'!$A$61:$I$81,4,0)),0,VLOOKUP(A55,'Données projet'!$A$61:$I$81,4,0))</f>
        <v>48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8.4</v>
      </c>
      <c r="BD55" s="13">
        <f>IF('Données projet'!$A$88&gt;35,BD54+BC55-BL54,IF(A55&lt;'Données projet'!$A$88,$BA$205^A55,IF(A55='Données projet'!$A$88,'Données projet'!$B$88,BD54+BC55-BL54)))</f>
        <v>298.7999999999999</v>
      </c>
      <c r="BE55" s="14">
        <f>BD55*VLOOKUP('Données projet'!$B$11,Paramètres!$A$1:$I$89,3,0)*VLOOKUP('Données projet'!$B$11,Paramètres!$A$1:$I$89,5,0)</f>
        <v>219.08015999999992</v>
      </c>
      <c r="BF55" s="14">
        <f t="shared" si="37"/>
        <v>53.914914316401685</v>
      </c>
      <c r="BG55" s="22">
        <f t="shared" si="7"/>
        <v>475.46642110106609</v>
      </c>
      <c r="BH55" s="62">
        <f t="shared" si="8"/>
        <v>768.79975443439935</v>
      </c>
      <c r="BI55" s="62">
        <f ca="1">AVERAGE(OFFSET($BH$3,0,0,'Données projet'!$E$11+1,1))-AVERAGE(OFFSET($H$3,0,0,'Données projet'!$E$11+1,1))</f>
        <v>397.24545766894346</v>
      </c>
      <c r="BJ55" s="62">
        <f t="shared" si="38"/>
        <v>431.44557882369696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6.4</v>
      </c>
      <c r="BY55" s="13">
        <f>IF('Données projet'!$A$114&gt;35,BY54+BX55-CG54,IF(A55&lt;'Données projet'!$A$114,$BV$205^A55,IF(A55='Données projet'!$A$114,'Données projet'!$B$114,BY54+BX55-CG54)))</f>
        <v>227.80000000000007</v>
      </c>
      <c r="BZ55" s="14">
        <f>BY55*VLOOKUP('Données projet'!$B$12,Paramètres!$A$1:$I$89,3,0)*VLOOKUP('Données projet'!$B$12,Paramètres!$A$1:$I$89,5,0)</f>
        <v>149.25456000000005</v>
      </c>
      <c r="CA55" s="14">
        <f t="shared" si="39"/>
        <v>38.409132618275962</v>
      </c>
      <c r="CB55" s="22">
        <f t="shared" si="10"/>
        <v>326.84759797683068</v>
      </c>
      <c r="CC55" s="62">
        <f t="shared" si="11"/>
        <v>620.18093131016394</v>
      </c>
      <c r="CD55" s="62">
        <f ca="1">AVERAGE(OFFSET($CC$3,0,0,'Données projet'!$E$12+1,1))-AVERAGE(OFFSET($H$3,0,0,'Données projet'!$E$12+1,1))</f>
        <v>277.27246253233807</v>
      </c>
      <c r="CE55" s="62">
        <f t="shared" si="40"/>
        <v>269.61868559913404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145.73520000000002</v>
      </c>
      <c r="CV55" s="14">
        <f t="shared" si="41"/>
        <v>37.607773527116258</v>
      </c>
      <c r="CW55" s="22">
        <f t="shared" si="13"/>
        <v>319.32234555972747</v>
      </c>
      <c r="CX55" s="62">
        <f t="shared" si="14"/>
        <v>612.65567889306078</v>
      </c>
      <c r="CY55" s="62">
        <f ca="1">AVERAGE(OFFSET($CX$3,0,0,'Données projet'!$E$13+1,1))-AVERAGE(OFFSET($H$3,0,0,'Données projet'!$E$13+1,1))</f>
        <v>402.15128814037058</v>
      </c>
      <c r="CZ55" s="62">
        <f t="shared" si="42"/>
        <v>232.85411068442738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6.5384615384615419</v>
      </c>
      <c r="DO55" s="13">
        <f>IF('Données projet'!$A$166&gt;35,DO54+DN55-DW54,IF(A55&lt;'Données projet'!$A$166,$DL$205^A55,IF(A55='Données projet'!$A$166,'Données projet'!$B$166,DO54+DN55-DW54)))</f>
        <v>222.05128205128193</v>
      </c>
      <c r="DP55" s="18">
        <f>DO55*VLOOKUP('Données projet'!$B$14,Paramètres!$A$1:$I$89,3,0)*VLOOKUP('Données projet'!$B$14,Paramètres!$A$1:$I$89,5,0)</f>
        <v>211.30399999999986</v>
      </c>
      <c r="DQ55" s="14">
        <f t="shared" si="43"/>
        <v>52.220439761889203</v>
      </c>
      <c r="DR55" s="22">
        <f t="shared" si="16"/>
        <v>458.97173258529011</v>
      </c>
      <c r="DS55" s="62">
        <f t="shared" si="17"/>
        <v>752.30506591862343</v>
      </c>
      <c r="DT55" s="62">
        <f ca="1">AVERAGE(OFFSET($DS$3,0,0,'Données projet'!$E$14+1,1))-AVERAGE(OFFSET($H$3,0,0,'Données projet'!$E$14+1,1))</f>
        <v>485.18236169209541</v>
      </c>
      <c r="DU55" s="62">
        <f t="shared" si="44"/>
        <v>417.30339652956951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8.4</v>
      </c>
      <c r="EJ55" s="13">
        <f>IF('Données projet'!$A$192&gt;35,EJ54+EI55-ER54,IF(A55&lt;'Données projet'!$A$192,$EG$205^A55,IF(A55='Données projet'!$A$192,'Données projet'!$B$192,EJ54+EI55-ER54)))</f>
        <v>298.7999999999999</v>
      </c>
      <c r="EK55" s="18">
        <f>EJ55*VLOOKUP('Données projet'!$B$15,Paramètres!$A$1:$I$89,3,0)*VLOOKUP('Données projet'!$B$15,Paramètres!$A$1:$I$89,5,0)</f>
        <v>237.72527999999994</v>
      </c>
      <c r="EL55" s="14">
        <f t="shared" si="45"/>
        <v>57.949842464086196</v>
      </c>
      <c r="EM55" s="22">
        <f t="shared" si="19"/>
        <v>514.96750495828326</v>
      </c>
      <c r="EN55" s="62">
        <f t="shared" si="20"/>
        <v>808.30083829161663</v>
      </c>
      <c r="EO55" s="62">
        <f ca="1">AVERAGE(OFFSET($EN$3,0,0,'Données projet'!$E$15+1,1))-AVERAGE(OFFSET($H$3,0,0,'Données projet'!$E$15+1,1))</f>
        <v>427.78067187784063</v>
      </c>
      <c r="EP55" s="62">
        <f t="shared" si="46"/>
        <v>464.22892523825118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15.5</v>
      </c>
      <c r="FE55" s="13">
        <f>IF('Données projet'!$A$218&gt;35,FE54+FD55-FM54,IF(A55&lt;'Données projet'!$A$218,$FB$205^A55,IF(A55='Données projet'!$A$218,'Données projet'!$B$218,FE54+FD55-FM54)))</f>
        <v>238.99999999999986</v>
      </c>
      <c r="FF55" s="18">
        <f>FE55*VLOOKUP('Données projet'!$B$16,Paramètres!$A$1:$I$89,3,0)*VLOOKUP('Données projet'!$B$16,Paramètres!$A$1:$I$89,5,0)</f>
        <v>205.0619999999999</v>
      </c>
      <c r="FG55" s="14">
        <f t="shared" si="47"/>
        <v>50.855018623514823</v>
      </c>
      <c r="FH55" s="22">
        <f t="shared" si="22"/>
        <v>445.72214076928805</v>
      </c>
      <c r="FI55" s="62">
        <f t="shared" si="23"/>
        <v>739.05547410262136</v>
      </c>
      <c r="FJ55" s="62">
        <f ca="1">AVERAGE(OFFSET($FI$3,0,0,'Données projet'!$E$16+1,1))-AVERAGE(OFFSET($H$3,0,0,'Données projet'!$E$16+1,1))</f>
        <v>448.44001099301806</v>
      </c>
      <c r="FK55" s="62">
        <f t="shared" si="48"/>
        <v>230.82970731138215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7.1794871794871824</v>
      </c>
      <c r="FZ55" s="13">
        <f>IF('Données projet'!$A$244&gt;35,FZ54+FY55-GH54,IF(A55&lt;'Données projet'!$A$244,$FW$205^A55,IF(A55='Données projet'!$A$244,'Données projet'!$B$244,FZ54+FY55-GH54)))</f>
        <v>271.41025641025618</v>
      </c>
      <c r="GA55" s="18">
        <f>FZ55*VLOOKUP('Données projet'!$B$17,Paramètres!$A$1:$I$89,3,0)*VLOOKUP('Données projet'!$B$17,Paramètres!$A$1:$I$89,5,0)</f>
        <v>182.06199999999984</v>
      </c>
      <c r="GB55" s="14">
        <f t="shared" si="49"/>
        <v>45.7806386130828</v>
      </c>
      <c r="GC55" s="22">
        <f t="shared" si="25"/>
        <v>396.82592891778563</v>
      </c>
      <c r="GD55" s="62">
        <f t="shared" si="26"/>
        <v>690.15926225111889</v>
      </c>
      <c r="GE55" s="62">
        <f ca="1">AVERAGE(OFFSET($GD$3,0,0,'Données projet'!$E$17+1,1))-AVERAGE(OFFSET($H$3,0,0,'Données projet'!$E$17+1,1))</f>
        <v>408.91016501484626</v>
      </c>
      <c r="GF55" s="62">
        <f t="shared" si="50"/>
        <v>354.22396807666433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10.199999999999999</v>
      </c>
      <c r="GU55" s="13">
        <f>IF('Données projet'!$A$270&gt;35,GU54+GT55-HC54,IF(A55&lt;'Données projet'!$A$270,$GR$205^A55,IF(A55='Données projet'!$A$270,'Données projet'!$B$270,GU54+GT55-HC54)))</f>
        <v>251.40000000000003</v>
      </c>
      <c r="GV55" s="18">
        <f>GU55*VLOOKUP('Données projet'!$B$18,Paramètres!$A$1:$I$89,3,0)*VLOOKUP('Données projet'!$B$18,Paramètres!$A$1:$I$89,5,0)</f>
        <v>243.15408000000005</v>
      </c>
      <c r="GW55" s="14">
        <f t="shared" si="51"/>
        <v>59.117629630943199</v>
      </c>
      <c r="GX55" s="22">
        <f t="shared" si="28"/>
        <v>526.45656094055948</v>
      </c>
      <c r="GY55" s="62">
        <f t="shared" si="29"/>
        <v>819.78989427389274</v>
      </c>
      <c r="GZ55" s="62">
        <f ca="1">AVERAGE(OFFSET($GY$3,0,0,'Données projet'!$E$18+1,1))-AVERAGE(OFFSET($H$3,0,0,'Données projet'!$E$18+1,1))</f>
        <v>562.69380557620775</v>
      </c>
      <c r="HA55" s="62">
        <f t="shared" si="52"/>
        <v>294.45557293177131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2">
        <f t="shared" si="0"/>
        <v>806.12127283656628</v>
      </c>
      <c r="S56" s="62">
        <f ca="1">AVERAGE(OFFSET($R$3,0,0,'Données projet'!$E$9+1,1))-AVERAGE(OFFSET($H$3,0,0,'Données projet'!$E$9+1,1))</f>
        <v>529.25712986118265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9.375</v>
      </c>
      <c r="AI56" s="14">
        <f>IF('Données projet'!$A$62&gt;35,AI55+AH56-AQ55,IF(A56&lt;'Données projet'!$A$62,$AF$205^A56,IF(A56='Données projet'!$A$62,'Données projet'!$B$62,AI55+AH56-AQ55)))</f>
        <v>231.37499999999994</v>
      </c>
      <c r="AJ56" s="14">
        <f>AI56*VLOOKUP('Données projet'!$B$10,Paramètres!$A$1:$I$89,3,0)*VLOOKUP('Données projet'!$B$10,Paramètres!$A$1:$I$89,5,0)</f>
        <v>180.47249999999997</v>
      </c>
      <c r="AK56" s="14">
        <f t="shared" si="35"/>
        <v>45.427292666837829</v>
      </c>
      <c r="AL56" s="22">
        <f t="shared" si="4"/>
        <v>393.44213889474253</v>
      </c>
      <c r="AM56" s="62">
        <f t="shared" si="5"/>
        <v>686.77547222807584</v>
      </c>
      <c r="AN56" s="62">
        <f ca="1">AVERAGE(OFFSET($AM$3,0,0,'Données projet'!$E$10+1,1))-AVERAGE(OFFSET($H$3,0,0,'Données projet'!$E$10+1,1))</f>
        <v>292.57482726862594</v>
      </c>
      <c r="AO56" s="62">
        <f t="shared" si="36"/>
        <v>283.48738729114024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8.4</v>
      </c>
      <c r="BD56" s="13">
        <f>IF('Données projet'!$A$88&gt;35,BD55+BC56-BL55,IF(A56&lt;'Données projet'!$A$88,$BA$205^A56,IF(A56='Données projet'!$A$88,'Données projet'!$B$88,BD55+BC56-BL55)))</f>
        <v>307.19999999999987</v>
      </c>
      <c r="BE56" s="14">
        <f>BD56*VLOOKUP('Données projet'!$B$11,Paramètres!$A$1:$I$89,3,0)*VLOOKUP('Données projet'!$B$11,Paramètres!$A$1:$I$89,5,0)</f>
        <v>225.2390399999999</v>
      </c>
      <c r="BF56" s="14">
        <f t="shared" si="37"/>
        <v>55.252000822487368</v>
      </c>
      <c r="BG56" s="22">
        <f t="shared" si="7"/>
        <v>488.5218960991653</v>
      </c>
      <c r="BH56" s="62">
        <f t="shared" si="8"/>
        <v>781.85522943249862</v>
      </c>
      <c r="BI56" s="62">
        <f ca="1">AVERAGE(OFFSET($BH$3,0,0,'Données projet'!$E$11+1,1))-AVERAGE(OFFSET($H$3,0,0,'Données projet'!$E$11+1,1))</f>
        <v>397.24545766894346</v>
      </c>
      <c r="BJ56" s="62">
        <f t="shared" si="38"/>
        <v>431.44557882369696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6.4</v>
      </c>
      <c r="BY56" s="13">
        <f>IF('Données projet'!$A$114&gt;35,BY55+BX56-CG55,IF(A56&lt;'Données projet'!$A$114,$BV$205^A56,IF(A56='Données projet'!$A$114,'Données projet'!$B$114,BY55+BX56-CG55)))</f>
        <v>234.20000000000007</v>
      </c>
      <c r="BZ56" s="14">
        <f>BY56*VLOOKUP('Données projet'!$B$12,Paramètres!$A$1:$I$89,3,0)*VLOOKUP('Données projet'!$B$12,Paramètres!$A$1:$I$89,5,0)</f>
        <v>153.44784000000007</v>
      </c>
      <c r="CA56" s="14">
        <f t="shared" si="39"/>
        <v>39.361080309334518</v>
      </c>
      <c r="CB56" s="22">
        <f t="shared" si="10"/>
        <v>335.80886953875768</v>
      </c>
      <c r="CC56" s="62">
        <f t="shared" si="11"/>
        <v>629.14220287209105</v>
      </c>
      <c r="CD56" s="62">
        <f ca="1">AVERAGE(OFFSET($CC$3,0,0,'Données projet'!$E$12+1,1))-AVERAGE(OFFSET($H$3,0,0,'Données projet'!$E$12+1,1))</f>
        <v>277.27246253233807</v>
      </c>
      <c r="CE56" s="62">
        <f t="shared" si="40"/>
        <v>269.61868559913404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152.47440000000003</v>
      </c>
      <c r="CV56" s="14">
        <f t="shared" si="41"/>
        <v>39.140365323908171</v>
      </c>
      <c r="CW56" s="22">
        <f t="shared" si="13"/>
        <v>333.72904960580678</v>
      </c>
      <c r="CX56" s="62">
        <f t="shared" si="14"/>
        <v>627.06238293914009</v>
      </c>
      <c r="CY56" s="62">
        <f ca="1">AVERAGE(OFFSET($CX$3,0,0,'Données projet'!$E$13+1,1))-AVERAGE(OFFSET($H$3,0,0,'Données projet'!$E$13+1,1))</f>
        <v>402.15128814037058</v>
      </c>
      <c r="CZ56" s="62">
        <f t="shared" si="42"/>
        <v>232.85411068442738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6.5384615384615419</v>
      </c>
      <c r="DO56" s="13">
        <f>IF('Données projet'!$A$166&gt;35,DO55+DN56-DW55,IF(A56&lt;'Données projet'!$A$166,$DL$205^A56,IF(A56='Données projet'!$A$166,'Données projet'!$B$166,DO55+DN56-DW55)))</f>
        <v>228.58974358974348</v>
      </c>
      <c r="DP56" s="18">
        <f>DO56*VLOOKUP('Données projet'!$B$14,Paramètres!$A$1:$I$89,3,0)*VLOOKUP('Données projet'!$B$14,Paramètres!$A$1:$I$89,5,0)</f>
        <v>217.52599999999993</v>
      </c>
      <c r="DQ56" s="14">
        <f t="shared" si="43"/>
        <v>53.576820638117454</v>
      </c>
      <c r="DR56" s="22">
        <f t="shared" si="16"/>
        <v>472.17074594472109</v>
      </c>
      <c r="DS56" s="62">
        <f t="shared" si="17"/>
        <v>765.50407927805441</v>
      </c>
      <c r="DT56" s="62">
        <f ca="1">AVERAGE(OFFSET($DS$3,0,0,'Données projet'!$E$14+1,1))-AVERAGE(OFFSET($H$3,0,0,'Données projet'!$E$14+1,1))</f>
        <v>485.18236169209541</v>
      </c>
      <c r="DU56" s="62">
        <f t="shared" si="44"/>
        <v>417.30339652956951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8.4</v>
      </c>
      <c r="EJ56" s="13">
        <f>IF('Données projet'!$A$192&gt;35,EJ55+EI56-ER55,IF(A56&lt;'Données projet'!$A$192,$EG$205^A56,IF(A56='Données projet'!$A$192,'Données projet'!$B$192,EJ55+EI56-ER55)))</f>
        <v>307.19999999999987</v>
      </c>
      <c r="EK56" s="18">
        <f>EJ56*VLOOKUP('Données projet'!$B$15,Paramètres!$A$1:$I$89,3,0)*VLOOKUP('Données projet'!$B$15,Paramètres!$A$1:$I$89,5,0)</f>
        <v>244.40831999999992</v>
      </c>
      <c r="EL56" s="14">
        <f t="shared" si="45"/>
        <v>59.38699493610541</v>
      </c>
      <c r="EM56" s="22">
        <f t="shared" si="19"/>
        <v>529.11017351371675</v>
      </c>
      <c r="EN56" s="62">
        <f t="shared" si="20"/>
        <v>822.44350684705</v>
      </c>
      <c r="EO56" s="62">
        <f ca="1">AVERAGE(OFFSET($EN$3,0,0,'Données projet'!$E$15+1,1))-AVERAGE(OFFSET($H$3,0,0,'Données projet'!$E$15+1,1))</f>
        <v>427.78067187784063</v>
      </c>
      <c r="EP56" s="62">
        <f t="shared" si="46"/>
        <v>464.22892523825118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15.5</v>
      </c>
      <c r="FE56" s="13">
        <f>IF('Données projet'!$A$218&gt;35,FE55+FD56-FM55,IF(A56&lt;'Données projet'!$A$218,$FB$205^A56,IF(A56='Données projet'!$A$218,'Données projet'!$B$218,FE55+FD56-FM55)))</f>
        <v>254.49999999999986</v>
      </c>
      <c r="FF56" s="18">
        <f>FE56*VLOOKUP('Données projet'!$B$16,Paramètres!$A$1:$I$89,3,0)*VLOOKUP('Données projet'!$B$16,Paramètres!$A$1:$I$89,5,0)</f>
        <v>218.3609999999999</v>
      </c>
      <c r="FG56" s="14">
        <f t="shared" si="47"/>
        <v>53.758502281527136</v>
      </c>
      <c r="FH56" s="22">
        <f t="shared" si="22"/>
        <v>473.94146647365955</v>
      </c>
      <c r="FI56" s="62">
        <f t="shared" si="23"/>
        <v>767.27479980699286</v>
      </c>
      <c r="FJ56" s="62">
        <f ca="1">AVERAGE(OFFSET($FI$3,0,0,'Données projet'!$E$16+1,1))-AVERAGE(OFFSET($H$3,0,0,'Données projet'!$E$16+1,1))</f>
        <v>448.44001099301806</v>
      </c>
      <c r="FK56" s="62">
        <f t="shared" si="48"/>
        <v>230.82970731138215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7.1794871794871824</v>
      </c>
      <c r="FZ56" s="13">
        <f>IF('Données projet'!$A$244&gt;35,FZ55+FY56-GH55,IF(A56&lt;'Données projet'!$A$244,$FW$205^A56,IF(A56='Données projet'!$A$244,'Données projet'!$B$244,FZ55+FY56-GH55)))</f>
        <v>278.58974358974336</v>
      </c>
      <c r="GA56" s="18">
        <f>FZ56*VLOOKUP('Données projet'!$B$17,Paramètres!$A$1:$I$89,3,0)*VLOOKUP('Données projet'!$B$17,Paramètres!$A$1:$I$89,5,0)</f>
        <v>186.87799999999987</v>
      </c>
      <c r="GB56" s="14">
        <f t="shared" si="49"/>
        <v>46.849058827207365</v>
      </c>
      <c r="GC56" s="22">
        <f t="shared" si="25"/>
        <v>407.07462745738593</v>
      </c>
      <c r="GD56" s="62">
        <f t="shared" si="26"/>
        <v>700.40796079071924</v>
      </c>
      <c r="GE56" s="62">
        <f ca="1">AVERAGE(OFFSET($GD$3,0,0,'Données projet'!$E$17+1,1))-AVERAGE(OFFSET($H$3,0,0,'Données projet'!$E$17+1,1))</f>
        <v>408.91016501484626</v>
      </c>
      <c r="GF56" s="62">
        <f t="shared" si="50"/>
        <v>354.22396807666433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10.199999999999999</v>
      </c>
      <c r="GU56" s="13">
        <f>IF('Données projet'!$A$270&gt;35,GU55+GT56-HC55,IF(A56&lt;'Données projet'!$A$270,$GR$205^A56,IF(A56='Données projet'!$A$270,'Données projet'!$B$270,GU55+GT56-HC55)))</f>
        <v>261.60000000000002</v>
      </c>
      <c r="GV56" s="18">
        <f>GU56*VLOOKUP('Données projet'!$B$18,Paramètres!$A$1:$I$89,3,0)*VLOOKUP('Données projet'!$B$18,Paramètres!$A$1:$I$89,5,0)</f>
        <v>253.01952000000003</v>
      </c>
      <c r="GW56" s="14">
        <f t="shared" si="51"/>
        <v>61.232073131479261</v>
      </c>
      <c r="GX56" s="22">
        <f t="shared" si="28"/>
        <v>547.32152470399308</v>
      </c>
      <c r="GY56" s="62">
        <f t="shared" si="29"/>
        <v>840.65485803732645</v>
      </c>
      <c r="GZ56" s="62">
        <f ca="1">AVERAGE(OFFSET($GY$3,0,0,'Données projet'!$E$18+1,1))-AVERAGE(OFFSET($H$3,0,0,'Données projet'!$E$18+1,1))</f>
        <v>562.69380557620775</v>
      </c>
      <c r="HA56" s="62">
        <f t="shared" si="52"/>
        <v>294.45557293177131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2">
        <f t="shared" si="0"/>
        <v>825.65123169891604</v>
      </c>
      <c r="S57" s="62">
        <f ca="1">AVERAGE(OFFSET($R$3,0,0,'Données projet'!$E$9+1,1))-AVERAGE(OFFSET($H$3,0,0,'Données projet'!$E$9+1,1))</f>
        <v>529.25712986118265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9.375</v>
      </c>
      <c r="AI57" s="14">
        <f>IF('Données projet'!$A$62&gt;35,AI56+AH57-AQ56,IF(A57&lt;'Données projet'!$A$62,$AF$205^A57,IF(A57='Données projet'!$A$62,'Données projet'!$B$62,AI56+AH57-AQ56)))</f>
        <v>240.74999999999994</v>
      </c>
      <c r="AJ57" s="14">
        <f>AI57*VLOOKUP('Données projet'!$B$10,Paramètres!$A$1:$I$89,3,0)*VLOOKUP('Données projet'!$B$10,Paramètres!$A$1:$I$89,5,0)</f>
        <v>187.78499999999997</v>
      </c>
      <c r="AK57" s="14">
        <f t="shared" si="35"/>
        <v>47.049914090154054</v>
      </c>
      <c r="AL57" s="22">
        <f t="shared" si="4"/>
        <v>409.00414204035161</v>
      </c>
      <c r="AM57" s="62">
        <f t="shared" si="5"/>
        <v>702.33747537368492</v>
      </c>
      <c r="AN57" s="62">
        <f ca="1">AVERAGE(OFFSET($AM$3,0,0,'Données projet'!$E$10+1,1))-AVERAGE(OFFSET($H$3,0,0,'Données projet'!$E$10+1,1))</f>
        <v>292.57482726862594</v>
      </c>
      <c r="AO57" s="62">
        <f t="shared" si="36"/>
        <v>283.48738729114024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8.4</v>
      </c>
      <c r="BD57" s="13">
        <f>IF('Données projet'!$A$88&gt;35,BD56+BC57-BL56,IF(A57&lt;'Données projet'!$A$88,$BA$205^A57,IF(A57='Données projet'!$A$88,'Données projet'!$B$88,BD56+BC57-BL56)))</f>
        <v>315.59999999999985</v>
      </c>
      <c r="BE57" s="14">
        <f>BD57*VLOOKUP('Données projet'!$B$11,Paramètres!$A$1:$I$89,3,0)*VLOOKUP('Données projet'!$B$11,Paramètres!$A$1:$I$89,5,0)</f>
        <v>231.39791999999986</v>
      </c>
      <c r="BF57" s="14">
        <f t="shared" si="37"/>
        <v>56.584837838715806</v>
      </c>
      <c r="BG57" s="22">
        <f t="shared" si="7"/>
        <v>501.5699699024297</v>
      </c>
      <c r="BH57" s="62">
        <f t="shared" si="8"/>
        <v>794.90330323576302</v>
      </c>
      <c r="BI57" s="62">
        <f ca="1">AVERAGE(OFFSET($BH$3,0,0,'Données projet'!$E$11+1,1))-AVERAGE(OFFSET($H$3,0,0,'Données projet'!$E$11+1,1))</f>
        <v>397.24545766894346</v>
      </c>
      <c r="BJ57" s="62">
        <f t="shared" si="38"/>
        <v>431.44557882369696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6.4</v>
      </c>
      <c r="BY57" s="13">
        <f>IF('Données projet'!$A$114&gt;35,BY56+BX57-CG56,IF(A57&lt;'Données projet'!$A$114,$BV$205^A57,IF(A57='Données projet'!$A$114,'Données projet'!$B$114,BY56+BX57-CG56)))</f>
        <v>240.60000000000008</v>
      </c>
      <c r="BZ57" s="14">
        <f>BY57*VLOOKUP('Données projet'!$B$12,Paramètres!$A$1:$I$89,3,0)*VLOOKUP('Données projet'!$B$12,Paramètres!$A$1:$I$89,5,0)</f>
        <v>157.64112000000006</v>
      </c>
      <c r="CA57" s="14">
        <f t="shared" si="39"/>
        <v>40.31000439065015</v>
      </c>
      <c r="CB57" s="22">
        <f t="shared" si="10"/>
        <v>344.76487498038233</v>
      </c>
      <c r="CC57" s="62">
        <f t="shared" si="11"/>
        <v>638.09820831371565</v>
      </c>
      <c r="CD57" s="62">
        <f ca="1">AVERAGE(OFFSET($CC$3,0,0,'Données projet'!$E$12+1,1))-AVERAGE(OFFSET($H$3,0,0,'Données projet'!$E$12+1,1))</f>
        <v>277.27246253233807</v>
      </c>
      <c r="CE57" s="62">
        <f t="shared" si="40"/>
        <v>269.61868559913404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159.21360000000001</v>
      </c>
      <c r="CV57" s="14">
        <f t="shared" si="41"/>
        <v>40.665089859977108</v>
      </c>
      <c r="CW57" s="22">
        <f t="shared" si="13"/>
        <v>348.12205150612681</v>
      </c>
      <c r="CX57" s="62">
        <f t="shared" si="14"/>
        <v>641.45538483946007</v>
      </c>
      <c r="CY57" s="62">
        <f ca="1">AVERAGE(OFFSET($CX$3,0,0,'Données projet'!$E$13+1,1))-AVERAGE(OFFSET($H$3,0,0,'Données projet'!$E$13+1,1))</f>
        <v>402.15128814037058</v>
      </c>
      <c r="CZ57" s="62">
        <f t="shared" si="42"/>
        <v>232.85411068442738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6.5384615384615419</v>
      </c>
      <c r="DO57" s="13">
        <f>IF('Données projet'!$A$166&gt;35,DO56+DN57-DW56,IF(A57&lt;'Données projet'!$A$166,$DL$205^A57,IF(A57='Données projet'!$A$166,'Données projet'!$B$166,DO56+DN57-DW56)))</f>
        <v>235.12820512820502</v>
      </c>
      <c r="DP57" s="18">
        <f>DO57*VLOOKUP('Données projet'!$B$14,Paramètres!$A$1:$I$89,3,0)*VLOOKUP('Données projet'!$B$14,Paramètres!$A$1:$I$89,5,0)</f>
        <v>223.74799999999991</v>
      </c>
      <c r="DQ57" s="14">
        <f t="shared" si="43"/>
        <v>54.928692378995628</v>
      </c>
      <c r="DR57" s="22">
        <f t="shared" si="16"/>
        <v>485.36190589341726</v>
      </c>
      <c r="DS57" s="62">
        <f t="shared" si="17"/>
        <v>778.69523922675057</v>
      </c>
      <c r="DT57" s="62">
        <f ca="1">AVERAGE(OFFSET($DS$3,0,0,'Données projet'!$E$14+1,1))-AVERAGE(OFFSET($H$3,0,0,'Données projet'!$E$14+1,1))</f>
        <v>485.18236169209541</v>
      </c>
      <c r="DU57" s="62">
        <f t="shared" si="44"/>
        <v>417.30339652956951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8.4</v>
      </c>
      <c r="EJ57" s="13">
        <f>IF('Données projet'!$A$192&gt;35,EJ56+EI57-ER56,IF(A57&lt;'Données projet'!$A$192,$EG$205^A57,IF(A57='Données projet'!$A$192,'Données projet'!$B$192,EJ56+EI57-ER56)))</f>
        <v>315.59999999999985</v>
      </c>
      <c r="EK57" s="18">
        <f>EJ57*VLOOKUP('Données projet'!$B$15,Paramètres!$A$1:$I$89,3,0)*VLOOKUP('Données projet'!$B$15,Paramètres!$A$1:$I$89,5,0)</f>
        <v>251.0913599999999</v>
      </c>
      <c r="EL57" s="14">
        <f t="shared" si="45"/>
        <v>60.81957989149403</v>
      </c>
      <c r="EM57" s="22">
        <f t="shared" si="19"/>
        <v>543.24488697768527</v>
      </c>
      <c r="EN57" s="62">
        <f t="shared" si="20"/>
        <v>836.57822031101864</v>
      </c>
      <c r="EO57" s="62">
        <f ca="1">AVERAGE(OFFSET($EN$3,0,0,'Données projet'!$E$15+1,1))-AVERAGE(OFFSET($H$3,0,0,'Données projet'!$E$15+1,1))</f>
        <v>427.78067187784063</v>
      </c>
      <c r="EP57" s="62">
        <f t="shared" si="46"/>
        <v>464.22892523825118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>
        <f>VLOOKUP(A57,'Données projet'!$A$217:$I$237,2,0)</f>
        <v>270</v>
      </c>
      <c r="FC57" s="13">
        <f>VLOOKUP(A57,'Données projet'!$A$217:$I$237,9,0)</f>
        <v>15.5</v>
      </c>
      <c r="FD57" s="13">
        <f t="array" ref="FD57">INDEX(FC:FC,MIN(IF(ISNUMBER(FC57:FC253),ROW(FC57:FC253),"")))</f>
        <v>15.5</v>
      </c>
      <c r="FE57" s="13">
        <f>IF('Données projet'!$A$218&gt;35,FE56+FD57-FM56,IF(A57&lt;'Données projet'!$A$218,$FB$205^A57,IF(A57='Données projet'!$A$218,'Données projet'!$B$218,FE56+FD57-FM56)))</f>
        <v>269.99999999999989</v>
      </c>
      <c r="FF57" s="18">
        <f>FE57*VLOOKUP('Données projet'!$B$16,Paramètres!$A$1:$I$89,3,0)*VLOOKUP('Données projet'!$B$16,Paramètres!$A$1:$I$89,5,0)</f>
        <v>231.65999999999991</v>
      </c>
      <c r="FG57" s="14">
        <f t="shared" si="47"/>
        <v>56.641461975682766</v>
      </c>
      <c r="FH57" s="22">
        <f t="shared" si="22"/>
        <v>502.125046274314</v>
      </c>
      <c r="FI57" s="62">
        <f t="shared" si="23"/>
        <v>795.45837960764732</v>
      </c>
      <c r="FJ57" s="62">
        <f ca="1">AVERAGE(OFFSET($FI$3,0,0,'Données projet'!$E$16+1,1))-AVERAGE(OFFSET($H$3,0,0,'Données projet'!$E$16+1,1))</f>
        <v>448.44001099301806</v>
      </c>
      <c r="FK57" s="62">
        <f t="shared" si="48"/>
        <v>230.82970731138215</v>
      </c>
      <c r="FL57" s="16">
        <f>IF(ISNA(VLOOKUP(A57,'Données projet'!$A$217:$I$237,3,0)),0,VLOOKUP(A57,'Données projet'!$A$217:$I$237,3,0))</f>
        <v>6</v>
      </c>
      <c r="FM57" s="16">
        <f>IF(ISNA(VLOOKUP(A57,'Données projet'!$A$217:$I$237,4,0)),0,VLOOKUP(A57,'Données projet'!$A$217:$I$237,4,0))</f>
        <v>64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7.1794871794871824</v>
      </c>
      <c r="FZ57" s="13">
        <f>IF('Données projet'!$A$244&gt;35,FZ56+FY57-GH56,IF(A57&lt;'Données projet'!$A$244,$FW$205^A57,IF(A57='Données projet'!$A$244,'Données projet'!$B$244,FZ56+FY57-GH56)))</f>
        <v>285.76923076923055</v>
      </c>
      <c r="GA57" s="18">
        <f>FZ57*VLOOKUP('Données projet'!$B$17,Paramètres!$A$1:$I$89,3,0)*VLOOKUP('Données projet'!$B$17,Paramètres!$A$1:$I$89,5,0)</f>
        <v>191.69399999999985</v>
      </c>
      <c r="GB57" s="14">
        <f t="shared" si="49"/>
        <v>47.914278503518837</v>
      </c>
      <c r="GC57" s="22">
        <f t="shared" si="25"/>
        <v>417.31775172696166</v>
      </c>
      <c r="GD57" s="62">
        <f t="shared" si="26"/>
        <v>710.65108506029492</v>
      </c>
      <c r="GE57" s="62">
        <f ca="1">AVERAGE(OFFSET($GD$3,0,0,'Données projet'!$E$17+1,1))-AVERAGE(OFFSET($H$3,0,0,'Données projet'!$E$17+1,1))</f>
        <v>408.91016501484626</v>
      </c>
      <c r="GF57" s="62">
        <f t="shared" si="50"/>
        <v>354.22396807666433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10.199999999999999</v>
      </c>
      <c r="GU57" s="13">
        <f>IF('Données projet'!$A$270&gt;35,GU56+GT57-HC56,IF(A57&lt;'Données projet'!$A$270,$GR$205^A57,IF(A57='Données projet'!$A$270,'Données projet'!$B$270,GU56+GT57-HC56)))</f>
        <v>271.8</v>
      </c>
      <c r="GV57" s="18">
        <f>GU57*VLOOKUP('Données projet'!$B$18,Paramètres!$A$1:$I$89,3,0)*VLOOKUP('Données projet'!$B$18,Paramètres!$A$1:$I$89,5,0)</f>
        <v>262.88496000000004</v>
      </c>
      <c r="GW57" s="14">
        <f t="shared" si="51"/>
        <v>63.336939343271965</v>
      </c>
      <c r="GX57" s="22">
        <f t="shared" si="28"/>
        <v>568.16980802286537</v>
      </c>
      <c r="GY57" s="62">
        <f t="shared" si="29"/>
        <v>861.50314135619874</v>
      </c>
      <c r="GZ57" s="62">
        <f ca="1">AVERAGE(OFFSET($GY$3,0,0,'Données projet'!$E$18+1,1))-AVERAGE(OFFSET($H$3,0,0,'Données projet'!$E$18+1,1))</f>
        <v>562.69380557620775</v>
      </c>
      <c r="HA57" s="62">
        <f t="shared" si="52"/>
        <v>294.45557293177131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2">
        <f t="shared" si="0"/>
        <v>845.16612239513051</v>
      </c>
      <c r="S58" s="62">
        <f ca="1">AVERAGE(OFFSET($R$3,0,0,'Données projet'!$E$9+1,1))-AVERAGE(OFFSET($H$3,0,0,'Données projet'!$E$9+1,1))</f>
        <v>529.25712986118265</v>
      </c>
      <c r="T58" s="62">
        <f t="shared" si="34"/>
        <v>278.21741231699929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9.375</v>
      </c>
      <c r="AI58" s="14">
        <f>IF('Données projet'!$A$62&gt;35,AI57+AH58-AQ57,IF(A58&lt;'Données projet'!$A$62,$AF$205^A58,IF(A58='Données projet'!$A$62,'Données projet'!$B$62,AI57+AH58-AQ57)))</f>
        <v>250.12499999999994</v>
      </c>
      <c r="AJ58" s="14">
        <f>AI58*VLOOKUP('Données projet'!$B$10,Paramètres!$A$1:$I$89,3,0)*VLOOKUP('Données projet'!$B$10,Paramètres!$A$1:$I$89,5,0)</f>
        <v>195.09749999999997</v>
      </c>
      <c r="AK58" s="14">
        <f t="shared" si="35"/>
        <v>48.66519532492584</v>
      </c>
      <c r="AL58" s="22">
        <f t="shared" si="4"/>
        <v>424.55336102424576</v>
      </c>
      <c r="AM58" s="62">
        <f t="shared" si="5"/>
        <v>717.88669435757902</v>
      </c>
      <c r="AN58" s="62">
        <f ca="1">AVERAGE(OFFSET($AM$3,0,0,'Données projet'!$E$10+1,1))-AVERAGE(OFFSET($H$3,0,0,'Données projet'!$E$10+1,1))</f>
        <v>292.57482726862594</v>
      </c>
      <c r="AO58" s="62">
        <f t="shared" si="36"/>
        <v>283.48738729114024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324</v>
      </c>
      <c r="BB58" s="13">
        <f>VLOOKUP(A58,'Données projet'!$A$87:$I$107,9,0)</f>
        <v>8.4</v>
      </c>
      <c r="BC58" s="13">
        <f t="array" ref="BC58">INDEX(BB:BB,MIN(IF(ISNUMBER(BB58:BB254),ROW(BB58:BB254),"")))</f>
        <v>8.4</v>
      </c>
      <c r="BD58" s="13">
        <f>IF('Données projet'!$A$88&gt;35,BD57+BC58-BL57,IF(A58&lt;'Données projet'!$A$88,$BA$205^A58,IF(A58='Données projet'!$A$88,'Données projet'!$B$88,BD57+BC58-BL57)))</f>
        <v>323.99999999999983</v>
      </c>
      <c r="BE58" s="14">
        <f>BD58*VLOOKUP('Données projet'!$B$11,Paramètres!$A$1:$I$89,3,0)*VLOOKUP('Données projet'!$B$11,Paramètres!$A$1:$I$89,5,0)</f>
        <v>237.55679999999987</v>
      </c>
      <c r="BF58" s="14">
        <f t="shared" si="37"/>
        <v>57.913551469467308</v>
      </c>
      <c r="BG58" s="22">
        <f t="shared" si="7"/>
        <v>514.61086214265526</v>
      </c>
      <c r="BH58" s="62">
        <f t="shared" si="8"/>
        <v>807.94419547598864</v>
      </c>
      <c r="BI58" s="62">
        <f ca="1">AVERAGE(OFFSET($BH$3,0,0,'Données projet'!$E$11+1,1))-AVERAGE(OFFSET($H$3,0,0,'Données projet'!$E$11+1,1))</f>
        <v>397.24545766894346</v>
      </c>
      <c r="BJ58" s="62">
        <f t="shared" si="38"/>
        <v>431.44557882369696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247</v>
      </c>
      <c r="BW58" s="13">
        <f>VLOOKUP(A58,'Données projet'!$A$113:$I$133,9,0)</f>
        <v>6.4</v>
      </c>
      <c r="BX58" s="13">
        <f t="array" ref="BX58">INDEX(BW:BW,MIN(IF(ISNUMBER(BW58:BW254),ROW(BW58:BW254),"")))</f>
        <v>6.4</v>
      </c>
      <c r="BY58" s="13">
        <f>IF('Données projet'!$A$114&gt;35,BY57+BX58-CG57,IF(A58&lt;'Données projet'!$A$114,$BV$205^A58,IF(A58='Données projet'!$A$114,'Données projet'!$B$114,BY57+BX58-CG57)))</f>
        <v>247.00000000000009</v>
      </c>
      <c r="BZ58" s="14">
        <f>BY58*VLOOKUP('Données projet'!$B$12,Paramètres!$A$1:$I$89,3,0)*VLOOKUP('Données projet'!$B$12,Paramètres!$A$1:$I$89,5,0)</f>
        <v>161.83440000000007</v>
      </c>
      <c r="CA58" s="14">
        <f t="shared" si="39"/>
        <v>41.255994535170515</v>
      </c>
      <c r="CB58" s="22">
        <f t="shared" si="10"/>
        <v>353.71577048208877</v>
      </c>
      <c r="CC58" s="62">
        <f t="shared" si="11"/>
        <v>647.04910381542209</v>
      </c>
      <c r="CD58" s="62">
        <f ca="1">AVERAGE(OFFSET($CC$3,0,0,'Données projet'!$E$12+1,1))-AVERAGE(OFFSET($H$3,0,0,'Données projet'!$E$12+1,1))</f>
        <v>277.27246253233807</v>
      </c>
      <c r="CE58" s="62">
        <f t="shared" si="40"/>
        <v>269.61868559913404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47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165.95280000000002</v>
      </c>
      <c r="CV58" s="14">
        <f t="shared" si="41"/>
        <v>42.182318214665827</v>
      </c>
      <c r="CW58" s="22">
        <f t="shared" si="13"/>
        <v>362.50199755720968</v>
      </c>
      <c r="CX58" s="62">
        <f t="shared" si="14"/>
        <v>655.83533089054299</v>
      </c>
      <c r="CY58" s="62">
        <f ca="1">AVERAGE(OFFSET($CX$3,0,0,'Données projet'!$E$13+1,1))-AVERAGE(OFFSET($H$3,0,0,'Données projet'!$E$13+1,1))</f>
        <v>402.15128814037058</v>
      </c>
      <c r="CZ58" s="62">
        <f t="shared" si="42"/>
        <v>232.85411068442738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241.66666666666666</v>
      </c>
      <c r="DM58" s="13">
        <f>VLOOKUP(A58,'Données projet'!$A$165:$I$185,9,0)</f>
        <v>6.5384615384615419</v>
      </c>
      <c r="DN58" s="13">
        <f t="array" ref="DN58">INDEX(DM:DM,MIN(IF(ISNUMBER(DM58:DM254),ROW(DM58:DM254),"")))</f>
        <v>6.5384615384615419</v>
      </c>
      <c r="DO58" s="13">
        <f>IF('Données projet'!$A$166&gt;35,DO57+DN58-DW57,IF(A58&lt;'Données projet'!$A$166,$DL$205^A58,IF(A58='Données projet'!$A$166,'Données projet'!$B$166,DO57+DN58-DW57)))</f>
        <v>241.66666666666657</v>
      </c>
      <c r="DP58" s="18">
        <f>DO58*VLOOKUP('Données projet'!$B$14,Paramètres!$A$1:$I$89,3,0)*VLOOKUP('Données projet'!$B$14,Paramètres!$A$1:$I$89,5,0)</f>
        <v>229.96999999999991</v>
      </c>
      <c r="DQ58" s="14">
        <f t="shared" si="43"/>
        <v>56.276194780495985</v>
      </c>
      <c r="DR58" s="22">
        <f t="shared" si="16"/>
        <v>498.54545590936368</v>
      </c>
      <c r="DS58" s="62">
        <f t="shared" si="17"/>
        <v>791.87878924269694</v>
      </c>
      <c r="DT58" s="62">
        <f ca="1">AVERAGE(OFFSET($DS$3,0,0,'Données projet'!$E$14+1,1))-AVERAGE(OFFSET($H$3,0,0,'Données projet'!$E$14+1,1))</f>
        <v>485.18236169209541</v>
      </c>
      <c r="DU58" s="62">
        <f t="shared" si="44"/>
        <v>417.30339652956951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324</v>
      </c>
      <c r="EH58" s="13">
        <f>VLOOKUP(A58,'Données projet'!$A$191:$I$211,9,0)</f>
        <v>8.4</v>
      </c>
      <c r="EI58" s="13">
        <f t="array" ref="EI58">INDEX(EH:EH,MIN(IF(ISNUMBER(EH58:EH254),ROW(EH58:EH254),"")))</f>
        <v>8.4</v>
      </c>
      <c r="EJ58" s="13">
        <f>IF('Données projet'!$A$192&gt;35,EJ57+EI58-ER57,IF(A58&lt;'Données projet'!$A$192,$EG$205^A58,IF(A58='Données projet'!$A$192,'Données projet'!$B$192,EJ57+EI58-ER57)))</f>
        <v>323.99999999999983</v>
      </c>
      <c r="EK58" s="18">
        <f>EJ58*VLOOKUP('Données projet'!$B$15,Paramètres!$A$1:$I$89,3,0)*VLOOKUP('Données projet'!$B$15,Paramètres!$A$1:$I$89,5,0)</f>
        <v>257.7743999999999</v>
      </c>
      <c r="EL58" s="14">
        <f t="shared" si="45"/>
        <v>62.247732872134243</v>
      </c>
      <c r="EM58" s="22">
        <f t="shared" si="19"/>
        <v>557.37188141896695</v>
      </c>
      <c r="EN58" s="62">
        <f t="shared" si="20"/>
        <v>850.70521475230021</v>
      </c>
      <c r="EO58" s="62">
        <f ca="1">AVERAGE(OFFSET($EN$3,0,0,'Données projet'!$E$15+1,1))-AVERAGE(OFFSET($H$3,0,0,'Données projet'!$E$15+1,1))</f>
        <v>427.78067187784063</v>
      </c>
      <c r="EP58" s="62">
        <f t="shared" si="46"/>
        <v>464.22892523825118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14.833333333333334</v>
      </c>
      <c r="FE58" s="13">
        <f>IF('Données projet'!$A$218&gt;35,FE57+FD58-FM57,IF(A58&lt;'Données projet'!$A$218,$FB$205^A58,IF(A58='Données projet'!$A$218,'Données projet'!$B$218,FE57+FD58-FM57)))</f>
        <v>220.8333333333332</v>
      </c>
      <c r="FF58" s="18">
        <f>FE58*VLOOKUP('Données projet'!$B$16,Paramètres!$A$1:$I$89,3,0)*VLOOKUP('Données projet'!$B$16,Paramètres!$A$1:$I$89,5,0)</f>
        <v>189.47499999999991</v>
      </c>
      <c r="FG58" s="14">
        <f t="shared" si="47"/>
        <v>47.423864120172716</v>
      </c>
      <c r="FH58" s="22">
        <f t="shared" si="22"/>
        <v>412.59885500930062</v>
      </c>
      <c r="FI58" s="62">
        <f t="shared" si="23"/>
        <v>705.93218834263394</v>
      </c>
      <c r="FJ58" s="62">
        <f ca="1">AVERAGE(OFFSET($FI$3,0,0,'Données projet'!$E$16+1,1))-AVERAGE(OFFSET($H$3,0,0,'Données projet'!$E$16+1,1))</f>
        <v>448.44001099301806</v>
      </c>
      <c r="FK58" s="62">
        <f t="shared" si="48"/>
        <v>230.82970731138215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292.94871794871796</v>
      </c>
      <c r="FX58" s="13">
        <f>VLOOKUP(A58,'Données projet'!$A$243:$I$263,9,0)</f>
        <v>7.1794871794871824</v>
      </c>
      <c r="FY58" s="13">
        <f t="array" ref="FY58">INDEX(FX:FX,MIN(IF(ISNUMBER(FX58:FX254),ROW(FX58:FX254),"")))</f>
        <v>7.1794871794871824</v>
      </c>
      <c r="FZ58" s="13">
        <f>IF('Données projet'!$A$244&gt;35,FZ57+FY58-GH57,IF(A58&lt;'Données projet'!$A$244,$FW$205^A58,IF(A58='Données projet'!$A$244,'Données projet'!$B$244,FZ57+FY58-GH57)))</f>
        <v>292.94871794871773</v>
      </c>
      <c r="GA58" s="18">
        <f>FZ58*VLOOKUP('Données projet'!$B$17,Paramètres!$A$1:$I$89,3,0)*VLOOKUP('Données projet'!$B$17,Paramètres!$A$1:$I$89,5,0)</f>
        <v>196.50999999999985</v>
      </c>
      <c r="GB58" s="14">
        <f t="shared" si="49"/>
        <v>48.976387297804273</v>
      </c>
      <c r="GC58" s="22">
        <f t="shared" si="25"/>
        <v>427.55545787700885</v>
      </c>
      <c r="GD58" s="62">
        <f t="shared" si="26"/>
        <v>720.88879121034211</v>
      </c>
      <c r="GE58" s="62">
        <f ca="1">AVERAGE(OFFSET($GD$3,0,0,'Données projet'!$E$17+1,1))-AVERAGE(OFFSET($H$3,0,0,'Données projet'!$E$17+1,1))</f>
        <v>408.91016501484626</v>
      </c>
      <c r="GF58" s="62">
        <f t="shared" si="50"/>
        <v>354.22396807666433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282</v>
      </c>
      <c r="GS58" s="13">
        <f>VLOOKUP(A58,'Données projet'!$A$269:$I$289,9,0)</f>
        <v>10.199999999999999</v>
      </c>
      <c r="GT58" s="13">
        <f t="array" ref="GT58">INDEX(GS:GS,MIN(IF(ISNUMBER(GS58:GS254),ROW(GS58:GS254),"")))</f>
        <v>10.199999999999999</v>
      </c>
      <c r="GU58" s="13">
        <f>IF('Données projet'!$A$270&gt;35,GU57+GT58-HC57,IF(A58&lt;'Données projet'!$A$270,$GR$205^A58,IF(A58='Données projet'!$A$270,'Données projet'!$B$270,GU57+GT58-HC57)))</f>
        <v>282</v>
      </c>
      <c r="GV58" s="18">
        <f>GU58*VLOOKUP('Données projet'!$B$18,Paramètres!$A$1:$I$89,3,0)*VLOOKUP('Données projet'!$B$18,Paramètres!$A$1:$I$89,5,0)</f>
        <v>272.75040000000001</v>
      </c>
      <c r="GW58" s="14">
        <f t="shared" si="51"/>
        <v>65.43262883082069</v>
      </c>
      <c r="GX58" s="22">
        <f t="shared" si="28"/>
        <v>589.00210854701277</v>
      </c>
      <c r="GY58" s="62">
        <f t="shared" si="29"/>
        <v>882.33544188034602</v>
      </c>
      <c r="GZ58" s="62">
        <f ca="1">AVERAGE(OFFSET($GY$3,0,0,'Données projet'!$E$18+1,1))-AVERAGE(OFFSET($H$3,0,0,'Données projet'!$E$18+1,1))</f>
        <v>562.69380557620775</v>
      </c>
      <c r="HA58" s="62">
        <f t="shared" si="52"/>
        <v>294.45557293177131</v>
      </c>
      <c r="HB58" s="16">
        <f>IF(ISNA(VLOOKUP(A58,'Données projet'!$A$269:$I$289,3,0)),0,VLOOKUP(A58,'Données projet'!$A$269:$I$289,3,0))</f>
        <v>4</v>
      </c>
      <c r="HC58" s="16">
        <f>IF(ISNA(VLOOKUP(A58,'Données projet'!$A$269:$I$289,4,0)),0,VLOOKUP(A58,'Données projet'!$A$269:$I$289,4,0))</f>
        <v>56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529.25712986118265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9.375</v>
      </c>
      <c r="AI59" s="14">
        <f>IF('Données projet'!$A$62&gt;35,AI58+AH59-AQ58,IF(A59&lt;'Données projet'!$A$62,$AF$205^A59,IF(A59='Données projet'!$A$62,'Données projet'!$B$62,AI58+AH59-AQ58)))</f>
        <v>259.49999999999994</v>
      </c>
      <c r="AJ59" s="14">
        <f>AI59*VLOOKUP('Données projet'!$B$10,Paramètres!$A$1:$I$89,3,0)*VLOOKUP('Données projet'!$B$10,Paramètres!$A$1:$I$89,5,0)</f>
        <v>202.40999999999997</v>
      </c>
      <c r="AK59" s="14">
        <f t="shared" si="35"/>
        <v>50.273442991661867</v>
      </c>
      <c r="AL59" s="22">
        <f t="shared" si="4"/>
        <v>440.09032987714431</v>
      </c>
      <c r="AM59" s="62">
        <f t="shared" si="5"/>
        <v>733.42366321047757</v>
      </c>
      <c r="AN59" s="62">
        <f ca="1">AVERAGE(OFFSET($AM$3,0,0,'Données projet'!$E$10+1,1))-AVERAGE(OFFSET($H$3,0,0,'Données projet'!$E$10+1,1))</f>
        <v>292.57482726862594</v>
      </c>
      <c r="AO59" s="62">
        <f t="shared" si="36"/>
        <v>283.48738729114024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7.2</v>
      </c>
      <c r="BD59" s="13">
        <f>IF('Données projet'!$A$88&gt;35,BD58+BC59-BL58,IF(A59&lt;'Données projet'!$A$88,$BA$205^A59,IF(A59='Données projet'!$A$88,'Données projet'!$B$88,BD58+BC59-BL58)))</f>
        <v>331.19999999999982</v>
      </c>
      <c r="BE59" s="14">
        <f>BD59*VLOOKUP('Données projet'!$B$11,Paramètres!$A$1:$I$89,3,0)*VLOOKUP('Données projet'!$B$11,Paramètres!$A$1:$I$89,5,0)</f>
        <v>242.83583999999985</v>
      </c>
      <c r="BF59" s="14">
        <f t="shared" si="37"/>
        <v>59.049257515045376</v>
      </c>
      <c r="BG59" s="22">
        <f t="shared" si="7"/>
        <v>525.78321150537045</v>
      </c>
      <c r="BH59" s="62">
        <f t="shared" si="8"/>
        <v>819.1165448387037</v>
      </c>
      <c r="BI59" s="62">
        <f ca="1">AVERAGE(OFFSET($BH$3,0,0,'Données projet'!$E$11+1,1))-AVERAGE(OFFSET($H$3,0,0,'Données projet'!$E$11+1,1))</f>
        <v>397.24545766894346</v>
      </c>
      <c r="BJ59" s="62">
        <f t="shared" si="38"/>
        <v>431.44557882369696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5.8</v>
      </c>
      <c r="BY59" s="13">
        <f>IF('Données projet'!$A$114&gt;35,BY58+BX59-CG58,IF(A59&lt;'Données projet'!$A$114,$BV$205^A59,IF(A59='Données projet'!$A$114,'Données projet'!$B$114,BY58+BX59-CG58)))</f>
        <v>205.8000000000001</v>
      </c>
      <c r="BZ59" s="14">
        <f>BY59*VLOOKUP('Données projet'!$B$12,Paramètres!$A$1:$I$89,3,0)*VLOOKUP('Données projet'!$B$12,Paramètres!$A$1:$I$89,5,0)</f>
        <v>134.84016000000005</v>
      </c>
      <c r="CA59" s="14">
        <f t="shared" si="39"/>
        <v>35.112387625030664</v>
      </c>
      <c r="CB59" s="22">
        <f t="shared" si="10"/>
        <v>296.00068711359518</v>
      </c>
      <c r="CC59" s="62">
        <f t="shared" si="11"/>
        <v>589.33402044692843</v>
      </c>
      <c r="CD59" s="62">
        <f ca="1">AVERAGE(OFFSET($CC$3,0,0,'Données projet'!$E$12+1,1))-AVERAGE(OFFSET($H$3,0,0,'Données projet'!$E$12+1,1))</f>
        <v>277.27246253233807</v>
      </c>
      <c r="CE59" s="62">
        <f t="shared" si="40"/>
        <v>269.61868559913404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172.35504000000003</v>
      </c>
      <c r="CV59" s="14">
        <f t="shared" si="41"/>
        <v>43.617051120131734</v>
      </c>
      <c r="CW59" s="22">
        <f t="shared" si="13"/>
        <v>376.1513920342295</v>
      </c>
      <c r="CX59" s="62">
        <f t="shared" si="14"/>
        <v>669.48472536756276</v>
      </c>
      <c r="CY59" s="62">
        <f ca="1">AVERAGE(OFFSET($CX$3,0,0,'Données projet'!$E$13+1,1))-AVERAGE(OFFSET($H$3,0,0,'Données projet'!$E$13+1,1))</f>
        <v>402.15128814037058</v>
      </c>
      <c r="CZ59" s="62">
        <f t="shared" si="42"/>
        <v>232.85411068442738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6.2820512820512873</v>
      </c>
      <c r="DO59" s="13">
        <f>IF('Données projet'!$A$166&gt;35,DO58+DN59-DW58,IF(A59&lt;'Données projet'!$A$166,$DL$205^A59,IF(A59='Données projet'!$A$166,'Données projet'!$B$166,DO58+DN59-DW58)))</f>
        <v>247.94871794871787</v>
      </c>
      <c r="DP59" s="18">
        <f>DO59*VLOOKUP('Données projet'!$B$14,Paramètres!$A$1:$I$89,3,0)*VLOOKUP('Données projet'!$B$14,Paramètres!$A$1:$I$89,5,0)</f>
        <v>235.94799999999995</v>
      </c>
      <c r="DQ59" s="14">
        <f t="shared" si="43"/>
        <v>57.566860865753128</v>
      </c>
      <c r="DR59" s="22">
        <f t="shared" si="16"/>
        <v>511.20504934118662</v>
      </c>
      <c r="DS59" s="62">
        <f t="shared" si="17"/>
        <v>804.53838267451988</v>
      </c>
      <c r="DT59" s="62">
        <f ca="1">AVERAGE(OFFSET($DS$3,0,0,'Données projet'!$E$14+1,1))-AVERAGE(OFFSET($H$3,0,0,'Données projet'!$E$14+1,1))</f>
        <v>485.18236169209541</v>
      </c>
      <c r="DU59" s="62">
        <f t="shared" si="44"/>
        <v>417.30339652956951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7.2</v>
      </c>
      <c r="EJ59" s="13">
        <f>IF('Données projet'!$A$192&gt;35,EJ58+EI59-ER58,IF(A59&lt;'Données projet'!$A$192,$EG$205^A59,IF(A59='Données projet'!$A$192,'Données projet'!$B$192,EJ58+EI59-ER58)))</f>
        <v>331.19999999999982</v>
      </c>
      <c r="EK59" s="18">
        <f>EJ59*VLOOKUP('Données projet'!$B$15,Paramètres!$A$1:$I$89,3,0)*VLOOKUP('Données projet'!$B$15,Paramètres!$A$1:$I$89,5,0)</f>
        <v>263.5027199999999</v>
      </c>
      <c r="EL59" s="14">
        <f t="shared" si="45"/>
        <v>63.468433809179686</v>
      </c>
      <c r="EM59" s="22">
        <f t="shared" si="19"/>
        <v>569.47475955098764</v>
      </c>
      <c r="EN59" s="62">
        <f t="shared" si="20"/>
        <v>862.80809288432101</v>
      </c>
      <c r="EO59" s="62">
        <f ca="1">AVERAGE(OFFSET($EN$3,0,0,'Données projet'!$E$15+1,1))-AVERAGE(OFFSET($H$3,0,0,'Données projet'!$E$15+1,1))</f>
        <v>427.78067187784063</v>
      </c>
      <c r="EP59" s="62">
        <f t="shared" si="46"/>
        <v>464.22892523825118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14.833333333333334</v>
      </c>
      <c r="FE59" s="13">
        <f>IF('Données projet'!$A$218&gt;35,FE58+FD59-FM58,IF(A59&lt;'Données projet'!$A$218,$FB$205^A59,IF(A59='Données projet'!$A$218,'Données projet'!$B$218,FE58+FD59-FM58)))</f>
        <v>235.66666666666654</v>
      </c>
      <c r="FF59" s="18">
        <f>FE59*VLOOKUP('Données projet'!$B$16,Paramètres!$A$1:$I$89,3,0)*VLOOKUP('Données projet'!$B$16,Paramètres!$A$1:$I$89,5,0)</f>
        <v>202.20199999999994</v>
      </c>
      <c r="FG59" s="14">
        <f t="shared" si="47"/>
        <v>50.227791845116698</v>
      </c>
      <c r="FH59" s="22">
        <f t="shared" si="22"/>
        <v>439.6485541302448</v>
      </c>
      <c r="FI59" s="62">
        <f t="shared" si="23"/>
        <v>732.98188746357812</v>
      </c>
      <c r="FJ59" s="62">
        <f ca="1">AVERAGE(OFFSET($FI$3,0,0,'Données projet'!$E$16+1,1))-AVERAGE(OFFSET($H$3,0,0,'Données projet'!$E$16+1,1))</f>
        <v>448.44001099301806</v>
      </c>
      <c r="FK59" s="62">
        <f t="shared" si="48"/>
        <v>230.82970731138215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6.5384615384615357</v>
      </c>
      <c r="FZ59" s="13">
        <f>IF('Données projet'!$A$244&gt;35,FZ58+FY59-GH58,IF(A59&lt;'Données projet'!$A$244,$FW$205^A59,IF(A59='Données projet'!$A$244,'Données projet'!$B$244,FZ58+FY59-GH58)))</f>
        <v>299.48717948717928</v>
      </c>
      <c r="GA59" s="18">
        <f>FZ59*VLOOKUP('Données projet'!$B$17,Paramètres!$A$1:$I$89,3,0)*VLOOKUP('Données projet'!$B$17,Paramètres!$A$1:$I$89,5,0)</f>
        <v>200.89599999999987</v>
      </c>
      <c r="GB59" s="14">
        <f t="shared" si="49"/>
        <v>49.941030149068958</v>
      </c>
      <c r="GC59" s="22">
        <f t="shared" si="25"/>
        <v>436.87449417629483</v>
      </c>
      <c r="GD59" s="62">
        <f t="shared" si="26"/>
        <v>730.20782750962815</v>
      </c>
      <c r="GE59" s="62">
        <f ca="1">AVERAGE(OFFSET($GD$3,0,0,'Données projet'!$E$17+1,1))-AVERAGE(OFFSET($H$3,0,0,'Données projet'!$E$17+1,1))</f>
        <v>408.91016501484626</v>
      </c>
      <c r="GF59" s="62">
        <f t="shared" si="50"/>
        <v>354.22396807666433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9.4</v>
      </c>
      <c r="GU59" s="13">
        <f>IF('Données projet'!$A$270&gt;35,GU58+GT59-HC58,IF(A59&lt;'Données projet'!$A$270,$GR$205^A59,IF(A59='Données projet'!$A$270,'Données projet'!$B$270,GU58+GT59-HC58)))</f>
        <v>235.39999999999998</v>
      </c>
      <c r="GV59" s="18">
        <f>GU59*VLOOKUP('Données projet'!$B$18,Paramètres!$A$1:$I$89,3,0)*VLOOKUP('Données projet'!$B$18,Paramètres!$A$1:$I$89,5,0)</f>
        <v>227.67887999999996</v>
      </c>
      <c r="GW59" s="14">
        <f t="shared" si="51"/>
        <v>55.780505229774469</v>
      </c>
      <c r="GX59" s="22">
        <f t="shared" si="28"/>
        <v>493.69176260852379</v>
      </c>
      <c r="GY59" s="62">
        <f t="shared" si="29"/>
        <v>787.0250959418571</v>
      </c>
      <c r="GZ59" s="62">
        <f ca="1">AVERAGE(OFFSET($GY$3,0,0,'Données projet'!$E$18+1,1))-AVERAGE(OFFSET($H$3,0,0,'Données projet'!$E$18+1,1))</f>
        <v>562.69380557620775</v>
      </c>
      <c r="HA59" s="62">
        <f t="shared" si="52"/>
        <v>294.45557293177131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529.25712986118265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9.375</v>
      </c>
      <c r="AI60" s="14">
        <f>IF('Données projet'!$A$62&gt;35,AI59+AH60-AQ59,IF(A60&lt;'Données projet'!$A$62,$AF$205^A60,IF(A60='Données projet'!$A$62,'Données projet'!$B$62,AI59+AH60-AQ59)))</f>
        <v>268.87499999999994</v>
      </c>
      <c r="AJ60" s="14">
        <f>AI60*VLOOKUP('Données projet'!$B$10,Paramètres!$A$1:$I$89,3,0)*VLOOKUP('Données projet'!$B$10,Paramètres!$A$1:$I$89,5,0)</f>
        <v>209.72249999999997</v>
      </c>
      <c r="AK60" s="14">
        <f t="shared" si="35"/>
        <v>51.874940300502296</v>
      </c>
      <c r="AL60" s="22">
        <f t="shared" si="4"/>
        <v>455.61554185670815</v>
      </c>
      <c r="AM60" s="62">
        <f t="shared" si="5"/>
        <v>748.94887519004146</v>
      </c>
      <c r="AN60" s="62">
        <f ca="1">AVERAGE(OFFSET($AM$3,0,0,'Données projet'!$E$10+1,1))-AVERAGE(OFFSET($H$3,0,0,'Données projet'!$E$10+1,1))</f>
        <v>292.57482726862594</v>
      </c>
      <c r="AO60" s="62">
        <f t="shared" si="36"/>
        <v>283.48738729114024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7.2</v>
      </c>
      <c r="BD60" s="13">
        <f>IF('Données projet'!$A$88&gt;35,BD59+BC60-BL59,IF(A60&lt;'Données projet'!$A$88,$BA$205^A60,IF(A60='Données projet'!$A$88,'Données projet'!$B$88,BD59+BC60-BL59)))</f>
        <v>338.39999999999981</v>
      </c>
      <c r="BE60" s="14">
        <f>BD60*VLOOKUP('Données projet'!$B$11,Paramètres!$A$1:$I$89,3,0)*VLOOKUP('Données projet'!$B$11,Paramètres!$A$1:$I$89,5,0)</f>
        <v>248.11487999999983</v>
      </c>
      <c r="BF60" s="14">
        <f t="shared" si="37"/>
        <v>60.182093124524592</v>
      </c>
      <c r="BG60" s="22">
        <f t="shared" si="7"/>
        <v>536.95056152521329</v>
      </c>
      <c r="BH60" s="62">
        <f t="shared" si="8"/>
        <v>830.28389485854655</v>
      </c>
      <c r="BI60" s="62">
        <f ca="1">AVERAGE(OFFSET($BH$3,0,0,'Données projet'!$E$11+1,1))-AVERAGE(OFFSET($H$3,0,0,'Données projet'!$E$11+1,1))</f>
        <v>397.24545766894346</v>
      </c>
      <c r="BJ60" s="62">
        <f t="shared" si="38"/>
        <v>431.44557882369696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5.8</v>
      </c>
      <c r="BY60" s="13">
        <f>IF('Données projet'!$A$114&gt;35,BY59+BX60-CG59,IF(A60&lt;'Données projet'!$A$114,$BV$205^A60,IF(A60='Données projet'!$A$114,'Données projet'!$B$114,BY59+BX60-CG59)))</f>
        <v>211.60000000000011</v>
      </c>
      <c r="BZ60" s="14">
        <f>BY60*VLOOKUP('Données projet'!$B$12,Paramètres!$A$1:$I$89,3,0)*VLOOKUP('Données projet'!$B$12,Paramètres!$A$1:$I$89,5,0)</f>
        <v>138.64032000000006</v>
      </c>
      <c r="CA60" s="14">
        <f t="shared" si="39"/>
        <v>35.985345198165817</v>
      </c>
      <c r="CB60" s="22">
        <f t="shared" si="10"/>
        <v>304.13970022013888</v>
      </c>
      <c r="CC60" s="62">
        <f t="shared" si="11"/>
        <v>597.47303355347219</v>
      </c>
      <c r="CD60" s="62">
        <f ca="1">AVERAGE(OFFSET($CC$3,0,0,'Données projet'!$E$12+1,1))-AVERAGE(OFFSET($H$3,0,0,'Données projet'!$E$12+1,1))</f>
        <v>277.27246253233807</v>
      </c>
      <c r="CE60" s="62">
        <f t="shared" si="40"/>
        <v>269.61868559913404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178.75728000000001</v>
      </c>
      <c r="CV60" s="14">
        <f t="shared" si="41"/>
        <v>45.045592481721528</v>
      </c>
      <c r="CW60" s="22">
        <f t="shared" si="13"/>
        <v>389.79000290566495</v>
      </c>
      <c r="CX60" s="62">
        <f t="shared" si="14"/>
        <v>683.12333623899826</v>
      </c>
      <c r="CY60" s="62">
        <f ca="1">AVERAGE(OFFSET($CX$3,0,0,'Données projet'!$E$13+1,1))-AVERAGE(OFFSET($H$3,0,0,'Données projet'!$E$13+1,1))</f>
        <v>402.15128814037058</v>
      </c>
      <c r="CZ60" s="62">
        <f t="shared" si="42"/>
        <v>232.85411068442738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6.2820512820512873</v>
      </c>
      <c r="DO60" s="13">
        <f>IF('Données projet'!$A$166&gt;35,DO59+DN60-DW59,IF(A60&lt;'Données projet'!$A$166,$DL$205^A60,IF(A60='Données projet'!$A$166,'Données projet'!$B$166,DO59+DN60-DW59)))</f>
        <v>254.23076923076917</v>
      </c>
      <c r="DP60" s="18">
        <f>DO60*VLOOKUP('Données projet'!$B$14,Paramètres!$A$1:$I$89,3,0)*VLOOKUP('Données projet'!$B$14,Paramètres!$A$1:$I$89,5,0)</f>
        <v>241.92599999999996</v>
      </c>
      <c r="DQ60" s="14">
        <f t="shared" si="43"/>
        <v>58.853725797942765</v>
      </c>
      <c r="DR60" s="22">
        <f t="shared" si="16"/>
        <v>523.85802243141688</v>
      </c>
      <c r="DS60" s="62">
        <f t="shared" si="17"/>
        <v>817.19135576475014</v>
      </c>
      <c r="DT60" s="62">
        <f ca="1">AVERAGE(OFFSET($DS$3,0,0,'Données projet'!$E$14+1,1))-AVERAGE(OFFSET($H$3,0,0,'Données projet'!$E$14+1,1))</f>
        <v>485.18236169209541</v>
      </c>
      <c r="DU60" s="62">
        <f t="shared" si="44"/>
        <v>417.30339652956951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7.2</v>
      </c>
      <c r="EJ60" s="13">
        <f>IF('Données projet'!$A$192&gt;35,EJ59+EI60-ER59,IF(A60&lt;'Données projet'!$A$192,$EG$205^A60,IF(A60='Données projet'!$A$192,'Données projet'!$B$192,EJ59+EI60-ER59)))</f>
        <v>338.39999999999981</v>
      </c>
      <c r="EK60" s="18">
        <f>EJ60*VLOOKUP('Données projet'!$B$15,Paramètres!$A$1:$I$89,3,0)*VLOOKUP('Données projet'!$B$15,Paramètres!$A$1:$I$89,5,0)</f>
        <v>269.23103999999989</v>
      </c>
      <c r="EL60" s="14">
        <f t="shared" si="45"/>
        <v>64.686049490098227</v>
      </c>
      <c r="EM60" s="22">
        <f t="shared" si="19"/>
        <v>581.57226419525421</v>
      </c>
      <c r="EN60" s="62">
        <f t="shared" si="20"/>
        <v>874.90559752858758</v>
      </c>
      <c r="EO60" s="62">
        <f ca="1">AVERAGE(OFFSET($EN$3,0,0,'Données projet'!$E$15+1,1))-AVERAGE(OFFSET($H$3,0,0,'Données projet'!$E$15+1,1))</f>
        <v>427.78067187784063</v>
      </c>
      <c r="EP60" s="62">
        <f t="shared" si="46"/>
        <v>464.22892523825118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14.833333333333334</v>
      </c>
      <c r="FE60" s="13">
        <f>IF('Données projet'!$A$218&gt;35,FE59+FD60-FM59,IF(A60&lt;'Données projet'!$A$218,$FB$205^A60,IF(A60='Données projet'!$A$218,'Données projet'!$B$218,FE59+FD60-FM59)))</f>
        <v>250.49999999999989</v>
      </c>
      <c r="FF60" s="18">
        <f>FE60*VLOOKUP('Données projet'!$B$16,Paramètres!$A$1:$I$89,3,0)*VLOOKUP('Données projet'!$B$16,Paramètres!$A$1:$I$89,5,0)</f>
        <v>214.92899999999992</v>
      </c>
      <c r="FG60" s="14">
        <f t="shared" si="47"/>
        <v>53.011237531572512</v>
      </c>
      <c r="FH60" s="22">
        <f t="shared" si="22"/>
        <v>466.66258036748872</v>
      </c>
      <c r="FI60" s="62">
        <f t="shared" si="23"/>
        <v>759.99591370082203</v>
      </c>
      <c r="FJ60" s="62">
        <f ca="1">AVERAGE(OFFSET($FI$3,0,0,'Données projet'!$E$16+1,1))-AVERAGE(OFFSET($H$3,0,0,'Données projet'!$E$16+1,1))</f>
        <v>448.44001099301806</v>
      </c>
      <c r="FK60" s="62">
        <f t="shared" si="48"/>
        <v>230.82970731138215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6.5384615384615357</v>
      </c>
      <c r="FZ60" s="13">
        <f>IF('Données projet'!$A$244&gt;35,FZ59+FY60-GH59,IF(A60&lt;'Données projet'!$A$244,$FW$205^A60,IF(A60='Données projet'!$A$244,'Données projet'!$B$244,FZ59+FY60-GH59)))</f>
        <v>306.02564102564082</v>
      </c>
      <c r="GA60" s="18">
        <f>FZ60*VLOOKUP('Données projet'!$B$17,Paramètres!$A$1:$I$89,3,0)*VLOOKUP('Données projet'!$B$17,Paramètres!$A$1:$I$89,5,0)</f>
        <v>205.28199999999984</v>
      </c>
      <c r="GB60" s="14">
        <f t="shared" si="49"/>
        <v>50.903224491789274</v>
      </c>
      <c r="GC60" s="22">
        <f t="shared" si="25"/>
        <v>446.18926598986599</v>
      </c>
      <c r="GD60" s="62">
        <f t="shared" si="26"/>
        <v>739.5225993231993</v>
      </c>
      <c r="GE60" s="62">
        <f ca="1">AVERAGE(OFFSET($GD$3,0,0,'Données projet'!$E$17+1,1))-AVERAGE(OFFSET($H$3,0,0,'Données projet'!$E$17+1,1))</f>
        <v>408.91016501484626</v>
      </c>
      <c r="GF60" s="62">
        <f t="shared" si="50"/>
        <v>354.22396807666433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9.4</v>
      </c>
      <c r="GU60" s="13">
        <f>IF('Données projet'!$A$270&gt;35,GU59+GT60-HC59,IF(A60&lt;'Données projet'!$A$270,$GR$205^A60,IF(A60='Données projet'!$A$270,'Données projet'!$B$270,GU59+GT60-HC59)))</f>
        <v>244.79999999999998</v>
      </c>
      <c r="GV60" s="18">
        <f>GU60*VLOOKUP('Données projet'!$B$18,Paramètres!$A$1:$I$89,3,0)*VLOOKUP('Données projet'!$B$18,Paramètres!$A$1:$I$89,5,0)</f>
        <v>236.77055999999999</v>
      </c>
      <c r="GW60" s="14">
        <f t="shared" si="51"/>
        <v>57.744153841586929</v>
      </c>
      <c r="GX60" s="22">
        <f t="shared" si="28"/>
        <v>512.94645994076382</v>
      </c>
      <c r="GY60" s="62">
        <f t="shared" si="29"/>
        <v>806.27979327409707</v>
      </c>
      <c r="GZ60" s="62">
        <f ca="1">AVERAGE(OFFSET($GY$3,0,0,'Données projet'!$E$18+1,1))-AVERAGE(OFFSET($H$3,0,0,'Données projet'!$E$18+1,1))</f>
        <v>562.69380557620775</v>
      </c>
      <c r="HA60" s="62">
        <f t="shared" si="52"/>
        <v>294.45557293177131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529.25712986118265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9.375</v>
      </c>
      <c r="AI61" s="14">
        <f>IF('Données projet'!$A$62&gt;35,AI60+AH61-AQ60,IF(A61&lt;'Données projet'!$A$62,$AF$205^A61,IF(A61='Données projet'!$A$62,'Données projet'!$B$62,AI60+AH61-AQ60)))</f>
        <v>278.24999999999994</v>
      </c>
      <c r="AJ61" s="14">
        <f>AI61*VLOOKUP('Données projet'!$B$10,Paramètres!$A$1:$I$89,3,0)*VLOOKUP('Données projet'!$B$10,Paramètres!$A$1:$I$89,5,0)</f>
        <v>217.03499999999997</v>
      </c>
      <c r="AK61" s="14">
        <f t="shared" si="35"/>
        <v>53.469949591969474</v>
      </c>
      <c r="AL61" s="22">
        <f t="shared" si="4"/>
        <v>471.12945387268002</v>
      </c>
      <c r="AM61" s="62">
        <f t="shared" si="5"/>
        <v>764.46278720601333</v>
      </c>
      <c r="AN61" s="62">
        <f ca="1">AVERAGE(OFFSET($AM$3,0,0,'Données projet'!$E$10+1,1))-AVERAGE(OFFSET($H$3,0,0,'Données projet'!$E$10+1,1))</f>
        <v>292.57482726862594</v>
      </c>
      <c r="AO61" s="62">
        <f t="shared" si="36"/>
        <v>283.48738729114024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7.2</v>
      </c>
      <c r="BD61" s="13">
        <f>IF('Données projet'!$A$88&gt;35,BD60+BC61-BL60,IF(A61&lt;'Données projet'!$A$88,$BA$205^A61,IF(A61='Données projet'!$A$88,'Données projet'!$B$88,BD60+BC61-BL60)))</f>
        <v>345.5999999999998</v>
      </c>
      <c r="BE61" s="14">
        <f>BD61*VLOOKUP('Données projet'!$B$11,Paramètres!$A$1:$I$89,3,0)*VLOOKUP('Données projet'!$B$11,Paramètres!$A$1:$I$89,5,0)</f>
        <v>253.39391999999987</v>
      </c>
      <c r="BF61" s="14">
        <f t="shared" si="37"/>
        <v>61.312126405940816</v>
      </c>
      <c r="BG61" s="22">
        <f t="shared" si="7"/>
        <v>548.11303082368011</v>
      </c>
      <c r="BH61" s="62">
        <f t="shared" si="8"/>
        <v>841.44636415701348</v>
      </c>
      <c r="BI61" s="62">
        <f ca="1">AVERAGE(OFFSET($BH$3,0,0,'Données projet'!$E$11+1,1))-AVERAGE(OFFSET($H$3,0,0,'Données projet'!$E$11+1,1))</f>
        <v>397.24545766894346</v>
      </c>
      <c r="BJ61" s="62">
        <f t="shared" si="38"/>
        <v>431.44557882369696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5.8</v>
      </c>
      <c r="BY61" s="13">
        <f>IF('Données projet'!$A$114&gt;35,BY60+BX61-CG60,IF(A61&lt;'Données projet'!$A$114,$BV$205^A61,IF(A61='Données projet'!$A$114,'Données projet'!$B$114,BY60+BX61-CG60)))</f>
        <v>217.40000000000012</v>
      </c>
      <c r="BZ61" s="14">
        <f>BY61*VLOOKUP('Données projet'!$B$12,Paramètres!$A$1:$I$89,3,0)*VLOOKUP('Données projet'!$B$12,Paramètres!$A$1:$I$89,5,0)</f>
        <v>142.44048000000009</v>
      </c>
      <c r="CA61" s="14">
        <f t="shared" si="39"/>
        <v>36.855521628538284</v>
      </c>
      <c r="CB61" s="22">
        <f t="shared" si="10"/>
        <v>312.27386950303764</v>
      </c>
      <c r="CC61" s="62">
        <f t="shared" si="11"/>
        <v>605.60720283637102</v>
      </c>
      <c r="CD61" s="62">
        <f ca="1">AVERAGE(OFFSET($CC$3,0,0,'Données projet'!$E$12+1,1))-AVERAGE(OFFSET($H$3,0,0,'Données projet'!$E$12+1,1))</f>
        <v>277.27246253233807</v>
      </c>
      <c r="CE61" s="62">
        <f t="shared" si="40"/>
        <v>269.61868559913404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185.15951999999999</v>
      </c>
      <c r="CV61" s="14">
        <f t="shared" si="41"/>
        <v>46.468189455290606</v>
      </c>
      <c r="CW61" s="22">
        <f t="shared" si="13"/>
        <v>403.41826063463105</v>
      </c>
      <c r="CX61" s="62">
        <f t="shared" si="14"/>
        <v>696.75159396796437</v>
      </c>
      <c r="CY61" s="62">
        <f ca="1">AVERAGE(OFFSET($CX$3,0,0,'Données projet'!$E$13+1,1))-AVERAGE(OFFSET($H$3,0,0,'Données projet'!$E$13+1,1))</f>
        <v>402.15128814037058</v>
      </c>
      <c r="CZ61" s="62">
        <f t="shared" si="42"/>
        <v>232.85411068442738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6.2820512820512873</v>
      </c>
      <c r="DO61" s="13">
        <f>IF('Données projet'!$A$166&gt;35,DO60+DN61-DW60,IF(A61&lt;'Données projet'!$A$166,$DL$205^A61,IF(A61='Données projet'!$A$166,'Données projet'!$B$166,DO60+DN61-DW60)))</f>
        <v>260.51282051282044</v>
      </c>
      <c r="DP61" s="18">
        <f>DO61*VLOOKUP('Données projet'!$B$14,Paramètres!$A$1:$I$89,3,0)*VLOOKUP('Données projet'!$B$14,Paramètres!$A$1:$I$89,5,0)</f>
        <v>247.90399999999994</v>
      </c>
      <c r="DQ61" s="14">
        <f t="shared" si="43"/>
        <v>60.136894307651907</v>
      </c>
      <c r="DR61" s="22">
        <f t="shared" si="16"/>
        <v>536.504557585827</v>
      </c>
      <c r="DS61" s="62">
        <f t="shared" si="17"/>
        <v>829.83789091916037</v>
      </c>
      <c r="DT61" s="62">
        <f ca="1">AVERAGE(OFFSET($DS$3,0,0,'Données projet'!$E$14+1,1))-AVERAGE(OFFSET($H$3,0,0,'Données projet'!$E$14+1,1))</f>
        <v>485.18236169209541</v>
      </c>
      <c r="DU61" s="62">
        <f t="shared" si="44"/>
        <v>417.30339652956951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7.2</v>
      </c>
      <c r="EJ61" s="13">
        <f>IF('Données projet'!$A$192&gt;35,EJ60+EI61-ER60,IF(A61&lt;'Données projet'!$A$192,$EG$205^A61,IF(A61='Données projet'!$A$192,'Données projet'!$B$192,EJ60+EI61-ER60)))</f>
        <v>345.5999999999998</v>
      </c>
      <c r="EK61" s="18">
        <f>EJ61*VLOOKUP('Données projet'!$B$15,Paramètres!$A$1:$I$89,3,0)*VLOOKUP('Données projet'!$B$15,Paramètres!$A$1:$I$89,5,0)</f>
        <v>274.95935999999983</v>
      </c>
      <c r="EL61" s="14">
        <f t="shared" si="45"/>
        <v>65.90065312005008</v>
      </c>
      <c r="EM61" s="22">
        <f t="shared" si="19"/>
        <v>593.66452285075354</v>
      </c>
      <c r="EN61" s="62">
        <f t="shared" si="20"/>
        <v>886.99785618408691</v>
      </c>
      <c r="EO61" s="62">
        <f ca="1">AVERAGE(OFFSET($EN$3,0,0,'Données projet'!$E$15+1,1))-AVERAGE(OFFSET($H$3,0,0,'Données projet'!$E$15+1,1))</f>
        <v>427.78067187784063</v>
      </c>
      <c r="EP61" s="62">
        <f t="shared" si="46"/>
        <v>464.22892523825118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14.833333333333334</v>
      </c>
      <c r="FE61" s="13">
        <f>IF('Données projet'!$A$218&gt;35,FE60+FD61-FM60,IF(A61&lt;'Données projet'!$A$218,$FB$205^A61,IF(A61='Données projet'!$A$218,'Données projet'!$B$218,FE60+FD61-FM60)))</f>
        <v>265.3333333333332</v>
      </c>
      <c r="FF61" s="18">
        <f>FE61*VLOOKUP('Données projet'!$B$16,Paramètres!$A$1:$I$89,3,0)*VLOOKUP('Données projet'!$B$16,Paramètres!$A$1:$I$89,5,0)</f>
        <v>227.65599999999992</v>
      </c>
      <c r="FG61" s="14">
        <f t="shared" si="47"/>
        <v>55.775552165489643</v>
      </c>
      <c r="FH61" s="22">
        <f t="shared" si="22"/>
        <v>493.64328668822759</v>
      </c>
      <c r="FI61" s="62">
        <f t="shared" si="23"/>
        <v>786.97662002156085</v>
      </c>
      <c r="FJ61" s="62">
        <f ca="1">AVERAGE(OFFSET($FI$3,0,0,'Données projet'!$E$16+1,1))-AVERAGE(OFFSET($H$3,0,0,'Données projet'!$E$16+1,1))</f>
        <v>448.44001099301806</v>
      </c>
      <c r="FK61" s="62">
        <f t="shared" si="48"/>
        <v>230.82970731138215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6.5384615384615357</v>
      </c>
      <c r="FZ61" s="13">
        <f>IF('Données projet'!$A$244&gt;35,FZ60+FY61-GH60,IF(A61&lt;'Données projet'!$A$244,$FW$205^A61,IF(A61='Données projet'!$A$244,'Données projet'!$B$244,FZ60+FY61-GH60)))</f>
        <v>312.56410256410237</v>
      </c>
      <c r="GA61" s="18">
        <f>FZ61*VLOOKUP('Données projet'!$B$17,Paramètres!$A$1:$I$89,3,0)*VLOOKUP('Données projet'!$B$17,Paramètres!$A$1:$I$89,5,0)</f>
        <v>209.66799999999986</v>
      </c>
      <c r="GB61" s="14">
        <f t="shared" si="49"/>
        <v>51.863028665910385</v>
      </c>
      <c r="GC61" s="22">
        <f t="shared" si="25"/>
        <v>455.49987492646034</v>
      </c>
      <c r="GD61" s="62">
        <f t="shared" si="26"/>
        <v>748.83320825979365</v>
      </c>
      <c r="GE61" s="62">
        <f ca="1">AVERAGE(OFFSET($GD$3,0,0,'Données projet'!$E$17+1,1))-AVERAGE(OFFSET($H$3,0,0,'Données projet'!$E$17+1,1))</f>
        <v>408.91016501484626</v>
      </c>
      <c r="GF61" s="62">
        <f t="shared" si="50"/>
        <v>354.22396807666433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9.4</v>
      </c>
      <c r="GU61" s="13">
        <f>IF('Données projet'!$A$270&gt;35,GU60+GT61-HC60,IF(A61&lt;'Données projet'!$A$270,$GR$205^A61,IF(A61='Données projet'!$A$270,'Données projet'!$B$270,GU60+GT61-HC60)))</f>
        <v>254.2</v>
      </c>
      <c r="GV61" s="18">
        <f>GU61*VLOOKUP('Données projet'!$B$18,Paramètres!$A$1:$I$89,3,0)*VLOOKUP('Données projet'!$B$18,Paramètres!$A$1:$I$89,5,0)</f>
        <v>245.86223999999999</v>
      </c>
      <c r="GW61" s="14">
        <f t="shared" si="51"/>
        <v>59.699043025687963</v>
      </c>
      <c r="GX61" s="22">
        <f t="shared" si="28"/>
        <v>532.18590126973982</v>
      </c>
      <c r="GY61" s="62">
        <f t="shared" si="29"/>
        <v>825.51923460307307</v>
      </c>
      <c r="GZ61" s="62">
        <f ca="1">AVERAGE(OFFSET($GY$3,0,0,'Données projet'!$E$18+1,1))-AVERAGE(OFFSET($H$3,0,0,'Données projet'!$E$18+1,1))</f>
        <v>562.69380557620775</v>
      </c>
      <c r="HA61" s="62">
        <f t="shared" si="52"/>
        <v>294.45557293177131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529.25712986118265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9.375</v>
      </c>
      <c r="AI62" s="14">
        <f>IF('Données projet'!$A$62&gt;35,AI61+AH62-AQ61,IF(A62&lt;'Données projet'!$A$62,$AF$205^A62,IF(A62='Données projet'!$A$62,'Données projet'!$B$62,AI61+AH62-AQ61)))</f>
        <v>287.62499999999994</v>
      </c>
      <c r="AJ62" s="14">
        <f>AI62*VLOOKUP('Données projet'!$B$10,Paramètres!$A$1:$I$89,3,0)*VLOOKUP('Données projet'!$B$10,Paramètres!$A$1:$I$89,5,0)</f>
        <v>224.34749999999997</v>
      </c>
      <c r="AK62" s="14">
        <f t="shared" si="35"/>
        <v>55.058714525680479</v>
      </c>
      <c r="AL62" s="22">
        <f t="shared" si="4"/>
        <v>486.63249029889352</v>
      </c>
      <c r="AM62" s="62">
        <f t="shared" si="5"/>
        <v>779.96582363222683</v>
      </c>
      <c r="AN62" s="62">
        <f ca="1">AVERAGE(OFFSET($AM$3,0,0,'Données projet'!$E$10+1,1))-AVERAGE(OFFSET($H$3,0,0,'Données projet'!$E$10+1,1))</f>
        <v>292.57482726862594</v>
      </c>
      <c r="AO62" s="62">
        <f t="shared" si="36"/>
        <v>283.48738729114024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7.2</v>
      </c>
      <c r="BD62" s="13">
        <f>IF('Données projet'!$A$88&gt;35,BD61+BC62-BL61,IF(A62&lt;'Données projet'!$A$88,$BA$205^A62,IF(A62='Données projet'!$A$88,'Données projet'!$B$88,BD61+BC62-BL61)))</f>
        <v>352.79999999999978</v>
      </c>
      <c r="BE62" s="14">
        <f>BD62*VLOOKUP('Données projet'!$B$11,Paramètres!$A$1:$I$89,3,0)*VLOOKUP('Données projet'!$B$11,Paramètres!$A$1:$I$89,5,0)</f>
        <v>258.67295999999982</v>
      </c>
      <c r="BF62" s="14">
        <f t="shared" si="37"/>
        <v>62.439422467319467</v>
      </c>
      <c r="BG62" s="22">
        <f t="shared" si="7"/>
        <v>559.27073279724766</v>
      </c>
      <c r="BH62" s="62">
        <f t="shared" si="8"/>
        <v>852.60406613058103</v>
      </c>
      <c r="BI62" s="62">
        <f ca="1">AVERAGE(OFFSET($BH$3,0,0,'Données projet'!$E$11+1,1))-AVERAGE(OFFSET($H$3,0,0,'Données projet'!$E$11+1,1))</f>
        <v>397.24545766894346</v>
      </c>
      <c r="BJ62" s="62">
        <f t="shared" si="38"/>
        <v>431.44557882369696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5.8</v>
      </c>
      <c r="BY62" s="13">
        <f>IF('Données projet'!$A$114&gt;35,BY61+BX62-CG61,IF(A62&lt;'Données projet'!$A$114,$BV$205^A62,IF(A62='Données projet'!$A$114,'Données projet'!$B$114,BY61+BX62-CG61)))</f>
        <v>223.20000000000013</v>
      </c>
      <c r="BZ62" s="14">
        <f>BY62*VLOOKUP('Données projet'!$B$12,Paramètres!$A$1:$I$89,3,0)*VLOOKUP('Données projet'!$B$12,Paramètres!$A$1:$I$89,5,0)</f>
        <v>146.2406400000001</v>
      </c>
      <c r="CA62" s="14">
        <f t="shared" si="39"/>
        <v>37.722999642090628</v>
      </c>
      <c r="CB62" s="22">
        <f t="shared" si="10"/>
        <v>320.40333904330799</v>
      </c>
      <c r="CC62" s="62">
        <f t="shared" si="11"/>
        <v>613.73667237664131</v>
      </c>
      <c r="CD62" s="62">
        <f ca="1">AVERAGE(OFFSET($CC$3,0,0,'Données projet'!$E$12+1,1))-AVERAGE(OFFSET($H$3,0,0,'Données projet'!$E$12+1,1))</f>
        <v>277.27246253233807</v>
      </c>
      <c r="CE62" s="62">
        <f t="shared" si="40"/>
        <v>269.61868559913404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191.56175999999999</v>
      </c>
      <c r="CV62" s="14">
        <f t="shared" si="41"/>
        <v>47.885071135583438</v>
      </c>
      <c r="CW62" s="22">
        <f t="shared" si="13"/>
        <v>417.03656422780779</v>
      </c>
      <c r="CX62" s="62">
        <f t="shared" si="14"/>
        <v>710.3698975611411</v>
      </c>
      <c r="CY62" s="62">
        <f ca="1">AVERAGE(OFFSET($CX$3,0,0,'Données projet'!$E$13+1,1))-AVERAGE(OFFSET($H$3,0,0,'Données projet'!$E$13+1,1))</f>
        <v>402.15128814037058</v>
      </c>
      <c r="CZ62" s="62">
        <f t="shared" si="42"/>
        <v>232.85411068442738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6.2820512820512873</v>
      </c>
      <c r="DO62" s="13">
        <f>IF('Données projet'!$A$166&gt;35,DO61+DN62-DW61,IF(A62&lt;'Données projet'!$A$166,$DL$205^A62,IF(A62='Données projet'!$A$166,'Données projet'!$B$166,DO61+DN62-DW61)))</f>
        <v>266.79487179487171</v>
      </c>
      <c r="DP62" s="18">
        <f>DO62*VLOOKUP('Données projet'!$B$14,Paramètres!$A$1:$I$89,3,0)*VLOOKUP('Données projet'!$B$14,Paramètres!$A$1:$I$89,5,0)</f>
        <v>253.88199999999989</v>
      </c>
      <c r="DQ62" s="14">
        <f t="shared" si="43"/>
        <v>61.416465786453131</v>
      </c>
      <c r="DR62" s="22">
        <f t="shared" si="16"/>
        <v>549.14482791140563</v>
      </c>
      <c r="DS62" s="62">
        <f t="shared" si="17"/>
        <v>842.47816124473889</v>
      </c>
      <c r="DT62" s="62">
        <f ca="1">AVERAGE(OFFSET($DS$3,0,0,'Données projet'!$E$14+1,1))-AVERAGE(OFFSET($H$3,0,0,'Données projet'!$E$14+1,1))</f>
        <v>485.18236169209541</v>
      </c>
      <c r="DU62" s="62">
        <f t="shared" si="44"/>
        <v>417.30339652956951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7.2</v>
      </c>
      <c r="EJ62" s="13">
        <f>IF('Données projet'!$A$192&gt;35,EJ61+EI62-ER61,IF(A62&lt;'Données projet'!$A$192,$EG$205^A62,IF(A62='Données projet'!$A$192,'Données projet'!$B$192,EJ61+EI62-ER61)))</f>
        <v>352.79999999999978</v>
      </c>
      <c r="EK62" s="18">
        <f>EJ62*VLOOKUP('Données projet'!$B$15,Paramètres!$A$1:$I$89,3,0)*VLOOKUP('Données projet'!$B$15,Paramètres!$A$1:$I$89,5,0)</f>
        <v>280.68767999999983</v>
      </c>
      <c r="EL62" s="14">
        <f t="shared" si="45"/>
        <v>67.11231467966806</v>
      </c>
      <c r="EM62" s="22">
        <f t="shared" si="19"/>
        <v>605.75165740042155</v>
      </c>
      <c r="EN62" s="62">
        <f t="shared" si="20"/>
        <v>899.08499073375492</v>
      </c>
      <c r="EO62" s="62">
        <f ca="1">AVERAGE(OFFSET($EN$3,0,0,'Données projet'!$E$15+1,1))-AVERAGE(OFFSET($H$3,0,0,'Données projet'!$E$15+1,1))</f>
        <v>427.78067187784063</v>
      </c>
      <c r="EP62" s="62">
        <f t="shared" si="46"/>
        <v>464.22892523825118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14.833333333333334</v>
      </c>
      <c r="FE62" s="13">
        <f>IF('Données projet'!$A$218&gt;35,FE61+FD62-FM61,IF(A62&lt;'Données projet'!$A$218,$FB$205^A62,IF(A62='Données projet'!$A$218,'Données projet'!$B$218,FE61+FD62-FM61)))</f>
        <v>280.16666666666652</v>
      </c>
      <c r="FF62" s="18">
        <f>FE62*VLOOKUP('Données projet'!$B$16,Paramètres!$A$1:$I$89,3,0)*VLOOKUP('Données projet'!$B$16,Paramètres!$A$1:$I$89,5,0)</f>
        <v>240.38299999999987</v>
      </c>
      <c r="FG62" s="14">
        <f t="shared" si="47"/>
        <v>58.521927148992098</v>
      </c>
      <c r="FH62" s="22">
        <f t="shared" si="22"/>
        <v>520.59274811782768</v>
      </c>
      <c r="FI62" s="62">
        <f t="shared" si="23"/>
        <v>813.92608145116105</v>
      </c>
      <c r="FJ62" s="62">
        <f ca="1">AVERAGE(OFFSET($FI$3,0,0,'Données projet'!$E$16+1,1))-AVERAGE(OFFSET($H$3,0,0,'Données projet'!$E$16+1,1))</f>
        <v>448.44001099301806</v>
      </c>
      <c r="FK62" s="62">
        <f t="shared" si="48"/>
        <v>230.82970731138215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6.5384615384615357</v>
      </c>
      <c r="FZ62" s="13">
        <f>IF('Données projet'!$A$244&gt;35,FZ61+FY62-GH61,IF(A62&lt;'Données projet'!$A$244,$FW$205^A62,IF(A62='Données projet'!$A$244,'Données projet'!$B$244,FZ61+FY62-GH61)))</f>
        <v>319.10256410256392</v>
      </c>
      <c r="GA62" s="18">
        <f>FZ62*VLOOKUP('Données projet'!$B$17,Paramètres!$A$1:$I$89,3,0)*VLOOKUP('Données projet'!$B$17,Paramètres!$A$1:$I$89,5,0)</f>
        <v>214.05399999999989</v>
      </c>
      <c r="GB62" s="14">
        <f t="shared" si="49"/>
        <v>52.820498431098194</v>
      </c>
      <c r="GC62" s="22">
        <f t="shared" si="25"/>
        <v>464.80641810082903</v>
      </c>
      <c r="GD62" s="62">
        <f t="shared" si="26"/>
        <v>758.13975143416235</v>
      </c>
      <c r="GE62" s="62">
        <f ca="1">AVERAGE(OFFSET($GD$3,0,0,'Données projet'!$E$17+1,1))-AVERAGE(OFFSET($H$3,0,0,'Données projet'!$E$17+1,1))</f>
        <v>408.91016501484626</v>
      </c>
      <c r="GF62" s="62">
        <f t="shared" si="50"/>
        <v>354.22396807666433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9.4</v>
      </c>
      <c r="GU62" s="13">
        <f>IF('Données projet'!$A$270&gt;35,GU61+GT62-HC61,IF(A62&lt;'Données projet'!$A$270,$GR$205^A62,IF(A62='Données projet'!$A$270,'Données projet'!$B$270,GU61+GT62-HC61)))</f>
        <v>263.59999999999997</v>
      </c>
      <c r="GV62" s="18">
        <f>GU62*VLOOKUP('Données projet'!$B$18,Paramètres!$A$1:$I$89,3,0)*VLOOKUP('Données projet'!$B$18,Paramètres!$A$1:$I$89,5,0)</f>
        <v>254.95391999999998</v>
      </c>
      <c r="GW62" s="14">
        <f t="shared" si="51"/>
        <v>61.645533788540583</v>
      </c>
      <c r="GX62" s="22">
        <f t="shared" si="28"/>
        <v>551.41071534837477</v>
      </c>
      <c r="GY62" s="62">
        <f t="shared" si="29"/>
        <v>844.74404868170814</v>
      </c>
      <c r="GZ62" s="62">
        <f ca="1">AVERAGE(OFFSET($GY$3,0,0,'Données projet'!$E$18+1,1))-AVERAGE(OFFSET($H$3,0,0,'Données projet'!$E$18+1,1))</f>
        <v>562.69380557620775</v>
      </c>
      <c r="HA62" s="62">
        <f t="shared" si="52"/>
        <v>294.45557293177131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529.25712986118265</v>
      </c>
      <c r="T63" s="62">
        <f t="shared" si="34"/>
        <v>278.21741231699929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297</v>
      </c>
      <c r="AG63" s="13">
        <f>VLOOKUP(A63,'Données projet'!$A$61:$I$81,9,0)</f>
        <v>9.375</v>
      </c>
      <c r="AH63" s="13">
        <f t="array" ref="AH63">INDEX(AG:AG,MIN(IF(ISNUMBER(AG63:AG259),ROW(AG63:AG259),"")))</f>
        <v>9.375</v>
      </c>
      <c r="AI63" s="14">
        <f>IF('Données projet'!$A$62&gt;35,AI62+AH63-AQ62,IF(A63&lt;'Données projet'!$A$62,$AF$205^A63,IF(A63='Données projet'!$A$62,'Données projet'!$B$62,AI62+AH63-AQ62)))</f>
        <v>296.99999999999994</v>
      </c>
      <c r="AJ63" s="14">
        <f>AI63*VLOOKUP('Données projet'!$B$10,Paramètres!$A$1:$I$89,3,0)*VLOOKUP('Données projet'!$B$10,Paramètres!$A$1:$I$89,5,0)</f>
        <v>231.65999999999997</v>
      </c>
      <c r="AK63" s="14">
        <f t="shared" si="35"/>
        <v>56.641461975682766</v>
      </c>
      <c r="AL63" s="22">
        <f t="shared" si="4"/>
        <v>502.12504627431412</v>
      </c>
      <c r="AM63" s="62">
        <f t="shared" si="5"/>
        <v>795.45837960764743</v>
      </c>
      <c r="AN63" s="62">
        <f ca="1">AVERAGE(OFFSET($AM$3,0,0,'Données projet'!$E$10+1,1))-AVERAGE(OFFSET($H$3,0,0,'Données projet'!$E$10+1,1))</f>
        <v>292.57482726862594</v>
      </c>
      <c r="AO63" s="62">
        <f t="shared" si="36"/>
        <v>283.48738729114024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47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360</v>
      </c>
      <c r="BB63" s="13">
        <f>VLOOKUP(A63,'Données projet'!$A$87:$I$107,9,0)</f>
        <v>7.2</v>
      </c>
      <c r="BC63" s="13">
        <f t="array" ref="BC63">INDEX(BB:BB,MIN(IF(ISNUMBER(BB63:BB259),ROW(BB63:BB259),"")))</f>
        <v>7.2</v>
      </c>
      <c r="BD63" s="13">
        <f>IF('Données projet'!$A$88&gt;35,BD62+BC63-BL62,IF(A63&lt;'Données projet'!$A$88,$BA$205^A63,IF(A63='Données projet'!$A$88,'Données projet'!$B$88,BD62+BC63-BL62)))</f>
        <v>359.99999999999977</v>
      </c>
      <c r="BE63" s="14">
        <f>BD63*VLOOKUP('Données projet'!$B$11,Paramètres!$A$1:$I$89,3,0)*VLOOKUP('Données projet'!$B$11,Paramètres!$A$1:$I$89,5,0)</f>
        <v>263.95199999999983</v>
      </c>
      <c r="BF63" s="14">
        <f t="shared" si="37"/>
        <v>63.564043607303262</v>
      </c>
      <c r="BG63" s="22">
        <f t="shared" si="7"/>
        <v>570.42377594938625</v>
      </c>
      <c r="BH63" s="62">
        <f t="shared" si="8"/>
        <v>863.75710928271951</v>
      </c>
      <c r="BI63" s="62">
        <f ca="1">AVERAGE(OFFSET($BH$3,0,0,'Données projet'!$E$11+1,1))-AVERAGE(OFFSET($H$3,0,0,'Données projet'!$E$11+1,1))</f>
        <v>397.24545766894346</v>
      </c>
      <c r="BJ63" s="62">
        <f t="shared" si="38"/>
        <v>431.44557882369696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35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229</v>
      </c>
      <c r="BW63" s="13">
        <f>VLOOKUP(A63,'Données projet'!$A$113:$I$133,9,0)</f>
        <v>5.8</v>
      </c>
      <c r="BX63" s="13">
        <f t="array" ref="BX63">INDEX(BW:BW,MIN(IF(ISNUMBER(BW63:BW259),ROW(BW63:BW259),"")))</f>
        <v>5.8</v>
      </c>
      <c r="BY63" s="13">
        <f>IF('Données projet'!$A$114&gt;35,BY62+BX63-CG62,IF(A63&lt;'Données projet'!$A$114,$BV$205^A63,IF(A63='Données projet'!$A$114,'Données projet'!$B$114,BY62+BX63-CG62)))</f>
        <v>229.00000000000014</v>
      </c>
      <c r="BZ63" s="14">
        <f>BY63*VLOOKUP('Données projet'!$B$12,Paramètres!$A$1:$I$89,3,0)*VLOOKUP('Données projet'!$B$12,Paramètres!$A$1:$I$89,5,0)</f>
        <v>150.04080000000008</v>
      </c>
      <c r="CA63" s="14">
        <f t="shared" si="39"/>
        <v>38.587857420495212</v>
      </c>
      <c r="CB63" s="22">
        <f t="shared" si="10"/>
        <v>328.52824500736261</v>
      </c>
      <c r="CC63" s="62">
        <f t="shared" si="11"/>
        <v>621.86157834069593</v>
      </c>
      <c r="CD63" s="62">
        <f ca="1">AVERAGE(OFFSET($CC$3,0,0,'Données projet'!$E$12+1,1))-AVERAGE(OFFSET($H$3,0,0,'Données projet'!$E$12+1,1))</f>
        <v>277.27246253233807</v>
      </c>
      <c r="CE63" s="62">
        <f t="shared" si="40"/>
        <v>269.61868559913404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197.964</v>
      </c>
      <c r="CV63" s="14">
        <f t="shared" si="41"/>
        <v>49.296450435147761</v>
      </c>
      <c r="CW63" s="22">
        <f t="shared" si="13"/>
        <v>430.64528450788231</v>
      </c>
      <c r="CX63" s="62">
        <f t="shared" si="14"/>
        <v>723.97861784121562</v>
      </c>
      <c r="CY63" s="62">
        <f ca="1">AVERAGE(OFFSET($CX$3,0,0,'Données projet'!$E$13+1,1))-AVERAGE(OFFSET($H$3,0,0,'Données projet'!$E$13+1,1))</f>
        <v>402.15128814037058</v>
      </c>
      <c r="CZ63" s="62">
        <f t="shared" si="42"/>
        <v>232.85411068442738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273.07692307692309</v>
      </c>
      <c r="DM63" s="13">
        <f>VLOOKUP(A63,'Données projet'!$A$165:$I$185,9,0)</f>
        <v>6.2820512820512873</v>
      </c>
      <c r="DN63" s="13">
        <f t="array" ref="DN63">INDEX(DM:DM,MIN(IF(ISNUMBER(DM63:DM259),ROW(DM63:DM259),"")))</f>
        <v>6.2820512820512873</v>
      </c>
      <c r="DO63" s="13">
        <f>IF('Données projet'!$A$166&gt;35,DO62+DN63-DW62,IF(A63&lt;'Données projet'!$A$166,$DL$205^A63,IF(A63='Données projet'!$A$166,'Données projet'!$B$166,DO62+DN63-DW62)))</f>
        <v>273.07692307692298</v>
      </c>
      <c r="DP63" s="18">
        <f>DO63*VLOOKUP('Données projet'!$B$14,Paramètres!$A$1:$I$89,3,0)*VLOOKUP('Données projet'!$B$14,Paramètres!$A$1:$I$89,5,0)</f>
        <v>259.8599999999999</v>
      </c>
      <c r="DQ63" s="14">
        <f t="shared" si="43"/>
        <v>62.692534678290201</v>
      </c>
      <c r="DR63" s="22">
        <f t="shared" si="16"/>
        <v>561.77899789802188</v>
      </c>
      <c r="DS63" s="62">
        <f t="shared" si="17"/>
        <v>855.11233123135526</v>
      </c>
      <c r="DT63" s="62">
        <f ca="1">AVERAGE(OFFSET($DS$3,0,0,'Données projet'!$E$14+1,1))-AVERAGE(OFFSET($H$3,0,0,'Données projet'!$E$14+1,1))</f>
        <v>485.18236169209541</v>
      </c>
      <c r="DU63" s="62">
        <f t="shared" si="44"/>
        <v>417.30339652956951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40.38461538461538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360</v>
      </c>
      <c r="EH63" s="13">
        <f>VLOOKUP(A63,'Données projet'!$A$191:$I$211,9,0)</f>
        <v>7.2</v>
      </c>
      <c r="EI63" s="13">
        <f t="array" ref="EI63">INDEX(EH:EH,MIN(IF(ISNUMBER(EH63:EH259),ROW(EH63:EH259),"")))</f>
        <v>7.2</v>
      </c>
      <c r="EJ63" s="13">
        <f>IF('Données projet'!$A$192&gt;35,EJ62+EI63-ER62,IF(A63&lt;'Données projet'!$A$192,$EG$205^A63,IF(A63='Données projet'!$A$192,'Données projet'!$B$192,EJ62+EI63-ER62)))</f>
        <v>359.99999999999977</v>
      </c>
      <c r="EK63" s="18">
        <f>EJ63*VLOOKUP('Données projet'!$B$15,Paramètres!$A$1:$I$89,3,0)*VLOOKUP('Données projet'!$B$15,Paramètres!$A$1:$I$89,5,0)</f>
        <v>286.41599999999983</v>
      </c>
      <c r="EL63" s="14">
        <f t="shared" si="45"/>
        <v>68.321101129951188</v>
      </c>
      <c r="EM63" s="22">
        <f t="shared" si="19"/>
        <v>617.83378446799804</v>
      </c>
      <c r="EN63" s="62">
        <f t="shared" si="20"/>
        <v>911.16711780133141</v>
      </c>
      <c r="EO63" s="62">
        <f ca="1">AVERAGE(OFFSET($EN$3,0,0,'Données projet'!$E$15+1,1))-AVERAGE(OFFSET($H$3,0,0,'Données projet'!$E$15+1,1))</f>
        <v>427.78067187784063</v>
      </c>
      <c r="EP63" s="62">
        <f t="shared" si="46"/>
        <v>464.22892523825118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35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295</v>
      </c>
      <c r="FC63" s="13">
        <f>VLOOKUP(A63,'Données projet'!$A$217:$I$237,9,0)</f>
        <v>14.833333333333334</v>
      </c>
      <c r="FD63" s="13">
        <f t="array" ref="FD63">INDEX(FC:FC,MIN(IF(ISNUMBER(FC63:FC259),ROW(FC63:FC259),"")))</f>
        <v>14.833333333333334</v>
      </c>
      <c r="FE63" s="13">
        <f>IF('Données projet'!$A$218&gt;35,FE62+FD63-FM62,IF(A63&lt;'Données projet'!$A$218,$FB$205^A63,IF(A63='Données projet'!$A$218,'Données projet'!$B$218,FE62+FD63-FM62)))</f>
        <v>294.99999999999983</v>
      </c>
      <c r="FF63" s="18">
        <f>FE63*VLOOKUP('Données projet'!$B$16,Paramètres!$A$1:$I$89,3,0)*VLOOKUP('Données projet'!$B$16,Paramètres!$A$1:$I$89,5,0)</f>
        <v>253.10999999999987</v>
      </c>
      <c r="FG63" s="14">
        <f t="shared" si="47"/>
        <v>61.251420602177625</v>
      </c>
      <c r="FH63" s="22">
        <f t="shared" si="22"/>
        <v>547.51280754879247</v>
      </c>
      <c r="FI63" s="62">
        <f t="shared" si="23"/>
        <v>840.84614088212584</v>
      </c>
      <c r="FJ63" s="62">
        <f ca="1">AVERAGE(OFFSET($FI$3,0,0,'Données projet'!$E$16+1,1))-AVERAGE(OFFSET($H$3,0,0,'Données projet'!$E$16+1,1))</f>
        <v>448.44001099301806</v>
      </c>
      <c r="FK63" s="62">
        <f t="shared" si="48"/>
        <v>230.82970731138215</v>
      </c>
      <c r="FL63" s="16">
        <f>IF(ISNA(VLOOKUP(A63,'Données projet'!$A$217:$I$237,3,0)),0,VLOOKUP(A63,'Données projet'!$A$217:$I$237,3,0))</f>
        <v>7</v>
      </c>
      <c r="FM63" s="16">
        <f>IF(ISNA(VLOOKUP(A63,'Données projet'!$A$217:$I$237,4,0)),0,VLOOKUP(A63,'Données projet'!$A$217:$I$237,4,0))</f>
        <v>61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325.64102564102564</v>
      </c>
      <c r="FX63" s="13">
        <f>VLOOKUP(A63,'Données projet'!$A$243:$I$263,9,0)</f>
        <v>6.5384615384615357</v>
      </c>
      <c r="FY63" s="13">
        <f t="array" ref="FY63">INDEX(FX:FX,MIN(IF(ISNUMBER(FX63:FX259),ROW(FX63:FX259),"")))</f>
        <v>6.5384615384615357</v>
      </c>
      <c r="FZ63" s="13">
        <f>IF('Données projet'!$A$244&gt;35,FZ62+FY63-GH62,IF(A63&lt;'Données projet'!$A$244,$FW$205^A63,IF(A63='Données projet'!$A$244,'Données projet'!$B$244,FZ62+FY63-GH62)))</f>
        <v>325.64102564102546</v>
      </c>
      <c r="GA63" s="18">
        <f>FZ63*VLOOKUP('Données projet'!$B$17,Paramètres!$A$1:$I$89,3,0)*VLOOKUP('Données projet'!$B$17,Paramètres!$A$1:$I$89,5,0)</f>
        <v>218.43999999999986</v>
      </c>
      <c r="GB63" s="14">
        <f t="shared" si="49"/>
        <v>53.77568713135436</v>
      </c>
      <c r="GC63" s="22">
        <f t="shared" si="25"/>
        <v>474.1089884204419</v>
      </c>
      <c r="GD63" s="62">
        <f t="shared" si="26"/>
        <v>767.44232175377522</v>
      </c>
      <c r="GE63" s="62">
        <f ca="1">AVERAGE(OFFSET($GD$3,0,0,'Données projet'!$E$17+1,1))-AVERAGE(OFFSET($H$3,0,0,'Données projet'!$E$17+1,1))</f>
        <v>408.91016501484626</v>
      </c>
      <c r="GF63" s="62">
        <f t="shared" si="50"/>
        <v>354.22396807666433</v>
      </c>
      <c r="GG63" s="16">
        <f>IF(ISNA(VLOOKUP(A63,'Données projet'!$A$243:$I$263,3,0)),0,VLOOKUP(A63,'Données projet'!$A$243:$I$263,3,0))</f>
        <v>5</v>
      </c>
      <c r="GH63" s="16">
        <f>IF(ISNA(VLOOKUP(A63,'Données projet'!$A$243:$I$263,4,0)),0,VLOOKUP(A63,'Données projet'!$A$243:$I$263,4,0))</f>
        <v>37.820512820512818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273</v>
      </c>
      <c r="GS63" s="13">
        <f>VLOOKUP(A63,'Données projet'!$A$269:$I$289,9,0)</f>
        <v>9.4</v>
      </c>
      <c r="GT63" s="13">
        <f t="array" ref="GT63">INDEX(GS:GS,MIN(IF(ISNUMBER(GS63:GS259),ROW(GS63:GS259),"")))</f>
        <v>9.4</v>
      </c>
      <c r="GU63" s="13">
        <f>IF('Données projet'!$A$270&gt;35,GU62+GT63-HC62,IF(A63&lt;'Données projet'!$A$270,$GR$205^A63,IF(A63='Données projet'!$A$270,'Données projet'!$B$270,GU62+GT63-HC62)))</f>
        <v>272.99999999999994</v>
      </c>
      <c r="GV63" s="18">
        <f>GU63*VLOOKUP('Données projet'!$B$18,Paramètres!$A$1:$I$89,3,0)*VLOOKUP('Données projet'!$B$18,Paramètres!$A$1:$I$89,5,0)</f>
        <v>264.04559999999992</v>
      </c>
      <c r="GW63" s="14">
        <f t="shared" si="51"/>
        <v>63.58395992997368</v>
      </c>
      <c r="GX63" s="22">
        <f t="shared" si="28"/>
        <v>570.62148354470401</v>
      </c>
      <c r="GY63" s="62">
        <f t="shared" si="29"/>
        <v>863.95481687803726</v>
      </c>
      <c r="GZ63" s="62">
        <f ca="1">AVERAGE(OFFSET($GY$3,0,0,'Données projet'!$E$18+1,1))-AVERAGE(OFFSET($H$3,0,0,'Données projet'!$E$18+1,1))</f>
        <v>562.69380557620775</v>
      </c>
      <c r="HA63" s="62">
        <f t="shared" si="52"/>
        <v>294.45557293177131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2">
        <f t="shared" si="0"/>
        <v>844.78361837999637</v>
      </c>
      <c r="S64" s="62">
        <f ca="1">AVERAGE(OFFSET($R$3,0,0,'Données projet'!$E$9+1,1))-AVERAGE(OFFSET($H$3,0,0,'Données projet'!$E$9+1,1))</f>
        <v>529.25712986118265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8.6666666666666661</v>
      </c>
      <c r="AI64" s="14">
        <f>IF('Données projet'!$A$62&gt;35,AI63+AH64-AQ63,IF(A64&lt;'Données projet'!$A$62,$AF$205^A64,IF(A64='Données projet'!$A$62,'Données projet'!$B$62,AI63+AH64-AQ63)))</f>
        <v>258.66666666666663</v>
      </c>
      <c r="AJ64" s="14">
        <f>AI64*VLOOKUP('Données projet'!$B$10,Paramètres!$A$1:$I$89,3,0)*VLOOKUP('Données projet'!$B$10,Paramètres!$A$1:$I$89,5,0)</f>
        <v>201.76</v>
      </c>
      <c r="AK64" s="14">
        <f t="shared" si="35"/>
        <v>50.130765000424212</v>
      </c>
      <c r="AL64" s="22">
        <f t="shared" si="4"/>
        <v>438.70974904240546</v>
      </c>
      <c r="AM64" s="62">
        <f t="shared" si="5"/>
        <v>732.04308237573878</v>
      </c>
      <c r="AN64" s="62">
        <f ca="1">AVERAGE(OFFSET($AM$3,0,0,'Données projet'!$E$10+1,1))-AVERAGE(OFFSET($H$3,0,0,'Données projet'!$E$10+1,1))</f>
        <v>292.57482726862594</v>
      </c>
      <c r="AO64" s="62">
        <f t="shared" si="36"/>
        <v>283.48738729114024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6.2</v>
      </c>
      <c r="BD64" s="13">
        <f>IF('Données projet'!$A$88&gt;35,BD63+BC64-BL63,IF(A64&lt;'Données projet'!$A$88,$BA$205^A64,IF(A64='Données projet'!$A$88,'Données projet'!$B$88,BD63+BC64-BL63)))</f>
        <v>331.19999999999976</v>
      </c>
      <c r="BE64" s="14">
        <f>BD64*VLOOKUP('Données projet'!$B$11,Paramètres!$A$1:$I$89,3,0)*VLOOKUP('Données projet'!$B$11,Paramètres!$A$1:$I$89,5,0)</f>
        <v>242.83583999999982</v>
      </c>
      <c r="BF64" s="14">
        <f t="shared" si="37"/>
        <v>59.049257515045326</v>
      </c>
      <c r="BG64" s="22">
        <f t="shared" si="7"/>
        <v>525.78321150537022</v>
      </c>
      <c r="BH64" s="62">
        <f t="shared" si="8"/>
        <v>819.11654483870348</v>
      </c>
      <c r="BI64" s="62">
        <f ca="1">AVERAGE(OFFSET($BH$3,0,0,'Données projet'!$E$11+1,1))-AVERAGE(OFFSET($H$3,0,0,'Données projet'!$E$11+1,1))</f>
        <v>397.24545766894346</v>
      </c>
      <c r="BJ64" s="62">
        <f t="shared" si="38"/>
        <v>431.44557882369696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234.20000000000013</v>
      </c>
      <c r="BZ64" s="14">
        <f>BY64*VLOOKUP('Données projet'!$B$12,Paramètres!$A$1:$I$89,3,0)*VLOOKUP('Données projet'!$B$12,Paramètres!$A$1:$I$89,5,0)</f>
        <v>153.44784000000007</v>
      </c>
      <c r="CA64" s="14">
        <f t="shared" si="39"/>
        <v>39.361080309334518</v>
      </c>
      <c r="CB64" s="22">
        <f t="shared" si="10"/>
        <v>335.80886953875768</v>
      </c>
      <c r="CC64" s="62">
        <f t="shared" si="11"/>
        <v>629.14220287209105</v>
      </c>
      <c r="CD64" s="62">
        <f ca="1">AVERAGE(OFFSET($CC$3,0,0,'Données projet'!$E$12+1,1))-AVERAGE(OFFSET($H$3,0,0,'Données projet'!$E$12+1,1))</f>
        <v>277.27246253233807</v>
      </c>
      <c r="CE64" s="62">
        <f t="shared" si="40"/>
        <v>269.61868559913404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168.64847999999998</v>
      </c>
      <c r="CV64" s="14">
        <f t="shared" si="41"/>
        <v>42.78718759212785</v>
      </c>
      <c r="CW64" s="22">
        <f t="shared" si="13"/>
        <v>368.25045438962269</v>
      </c>
      <c r="CX64" s="62">
        <f t="shared" si="14"/>
        <v>661.583787722956</v>
      </c>
      <c r="CY64" s="62">
        <f ca="1">AVERAGE(OFFSET($CX$3,0,0,'Données projet'!$E$13+1,1))-AVERAGE(OFFSET($H$3,0,0,'Données projet'!$E$13+1,1))</f>
        <v>402.15128814037058</v>
      </c>
      <c r="CZ64" s="62">
        <f t="shared" si="42"/>
        <v>232.85411068442738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5.7692307692307683</v>
      </c>
      <c r="DO64" s="13">
        <f>IF('Données projet'!$A$166&gt;35,DO63+DN64-DW63,IF(A64&lt;'Données projet'!$A$166,$DL$205^A64,IF(A64='Données projet'!$A$166,'Données projet'!$B$166,DO63+DN64-DW63)))</f>
        <v>238.46153846153837</v>
      </c>
      <c r="DP64" s="18">
        <f>DO64*VLOOKUP('Données projet'!$B$14,Paramètres!$A$1:$I$89,3,0)*VLOOKUP('Données projet'!$B$14,Paramètres!$A$1:$I$89,5,0)</f>
        <v>226.9199999999999</v>
      </c>
      <c r="DQ64" s="14">
        <f t="shared" si="43"/>
        <v>55.616191877604649</v>
      </c>
      <c r="DR64" s="22">
        <f t="shared" si="16"/>
        <v>492.08386752016122</v>
      </c>
      <c r="DS64" s="62">
        <f t="shared" si="17"/>
        <v>785.41720085349448</v>
      </c>
      <c r="DT64" s="62">
        <f ca="1">AVERAGE(OFFSET($DS$3,0,0,'Données projet'!$E$14+1,1))-AVERAGE(OFFSET($H$3,0,0,'Données projet'!$E$14+1,1))</f>
        <v>485.18236169209541</v>
      </c>
      <c r="DU64" s="62">
        <f t="shared" si="44"/>
        <v>417.30339652956951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6.2</v>
      </c>
      <c r="EJ64" s="13">
        <f>IF('Données projet'!$A$192&gt;35,EJ63+EI64-ER63,IF(A64&lt;'Données projet'!$A$192,$EG$205^A64,IF(A64='Données projet'!$A$192,'Données projet'!$B$192,EJ63+EI64-ER63)))</f>
        <v>331.19999999999976</v>
      </c>
      <c r="EK64" s="18">
        <f>EJ64*VLOOKUP('Données projet'!$B$15,Paramètres!$A$1:$I$89,3,0)*VLOOKUP('Données projet'!$B$15,Paramètres!$A$1:$I$89,5,0)</f>
        <v>263.50271999999984</v>
      </c>
      <c r="EL64" s="14">
        <f t="shared" si="45"/>
        <v>63.468433809179686</v>
      </c>
      <c r="EM64" s="22">
        <f t="shared" si="19"/>
        <v>569.47475955098764</v>
      </c>
      <c r="EN64" s="62">
        <f t="shared" si="20"/>
        <v>862.80809288432101</v>
      </c>
      <c r="EO64" s="62">
        <f ca="1">AVERAGE(OFFSET($EN$3,0,0,'Données projet'!$E$15+1,1))-AVERAGE(OFFSET($H$3,0,0,'Données projet'!$E$15+1,1))</f>
        <v>427.78067187784063</v>
      </c>
      <c r="EP64" s="62">
        <f t="shared" si="46"/>
        <v>464.22892523825118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13.777777777777779</v>
      </c>
      <c r="FE64" s="13">
        <f>IF('Données projet'!$A$218&gt;35,FE63+FD64-FM63,IF(A64&lt;'Données projet'!$A$218,$FB$205^A64,IF(A64='Données projet'!$A$218,'Données projet'!$B$218,FE63+FD64-FM63)))</f>
        <v>247.7777777777776</v>
      </c>
      <c r="FF64" s="18">
        <f>FE64*VLOOKUP('Données projet'!$B$16,Paramètres!$A$1:$I$89,3,0)*VLOOKUP('Données projet'!$B$16,Paramètres!$A$1:$I$89,5,0)</f>
        <v>212.59333333333319</v>
      </c>
      <c r="FG64" s="14">
        <f t="shared" si="47"/>
        <v>52.501888831663351</v>
      </c>
      <c r="FH64" s="22">
        <f t="shared" si="22"/>
        <v>461.70751193736891</v>
      </c>
      <c r="FI64" s="62">
        <f t="shared" si="23"/>
        <v>755.04084527070222</v>
      </c>
      <c r="FJ64" s="62">
        <f ca="1">AVERAGE(OFFSET($FI$3,0,0,'Données projet'!$E$16+1,1))-AVERAGE(OFFSET($H$3,0,0,'Données projet'!$E$16+1,1))</f>
        <v>448.44001099301806</v>
      </c>
      <c r="FK64" s="62">
        <f t="shared" si="48"/>
        <v>230.82970731138215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6.2820512820512819</v>
      </c>
      <c r="FZ64" s="13">
        <f>IF('Données projet'!$A$244&gt;35,FZ63+FY64-GH63,IF(A64&lt;'Données projet'!$A$244,$FW$205^A64,IF(A64='Données projet'!$A$244,'Données projet'!$B$244,FZ63+FY64-GH63)))</f>
        <v>294.10256410256392</v>
      </c>
      <c r="GA64" s="18">
        <f>FZ64*VLOOKUP('Données projet'!$B$17,Paramètres!$A$1:$I$89,3,0)*VLOOKUP('Données projet'!$B$17,Paramètres!$A$1:$I$89,5,0)</f>
        <v>197.28399999999988</v>
      </c>
      <c r="GB64" s="14">
        <f t="shared" si="49"/>
        <v>49.14679896995667</v>
      </c>
      <c r="GC64" s="22">
        <f t="shared" si="25"/>
        <v>429.20030820600761</v>
      </c>
      <c r="GD64" s="62">
        <f t="shared" si="26"/>
        <v>722.53364153934092</v>
      </c>
      <c r="GE64" s="62">
        <f ca="1">AVERAGE(OFFSET($GD$3,0,0,'Données projet'!$E$17+1,1))-AVERAGE(OFFSET($H$3,0,0,'Données projet'!$E$17+1,1))</f>
        <v>408.91016501484626</v>
      </c>
      <c r="GF64" s="62">
        <f t="shared" si="50"/>
        <v>354.22396807666433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8.8000000000000007</v>
      </c>
      <c r="GU64" s="13">
        <f>IF('Données projet'!$A$270&gt;35,GU63+GT64-HC63,IF(A64&lt;'Données projet'!$A$270,$GR$205^A64,IF(A64='Données projet'!$A$270,'Données projet'!$B$270,GU63+GT64-HC63)))</f>
        <v>281.79999999999995</v>
      </c>
      <c r="GV64" s="18">
        <f>GU64*VLOOKUP('Données projet'!$B$18,Paramètres!$A$1:$I$89,3,0)*VLOOKUP('Données projet'!$B$18,Paramètres!$A$1:$I$89,5,0)</f>
        <v>272.55696</v>
      </c>
      <c r="GW64" s="14">
        <f t="shared" si="51"/>
        <v>65.391622690449097</v>
      </c>
      <c r="GX64" s="22">
        <f t="shared" si="28"/>
        <v>588.59378151919873</v>
      </c>
      <c r="GY64" s="62">
        <f t="shared" si="29"/>
        <v>881.92711485253199</v>
      </c>
      <c r="GZ64" s="62">
        <f ca="1">AVERAGE(OFFSET($GY$3,0,0,'Données projet'!$E$18+1,1))-AVERAGE(OFFSET($H$3,0,0,'Données projet'!$E$18+1,1))</f>
        <v>562.69380557620775</v>
      </c>
      <c r="HA64" s="62">
        <f t="shared" si="52"/>
        <v>294.45557293177131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2">
        <f t="shared" si="0"/>
        <v>861.60859430939536</v>
      </c>
      <c r="S65" s="62">
        <f ca="1">AVERAGE(OFFSET($R$3,0,0,'Données projet'!$E$9+1,1))-AVERAGE(OFFSET($H$3,0,0,'Données projet'!$E$9+1,1))</f>
        <v>529.25712986118265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8.6666666666666661</v>
      </c>
      <c r="AI65" s="14">
        <f>IF('Données projet'!$A$62&gt;35,AI64+AH65-AQ64,IF(A65&lt;'Données projet'!$A$62,$AF$205^A65,IF(A65='Données projet'!$A$62,'Données projet'!$B$62,AI64+AH65-AQ64)))</f>
        <v>267.33333333333331</v>
      </c>
      <c r="AJ65" s="14">
        <f>AI65*VLOOKUP('Données projet'!$B$10,Paramètres!$A$1:$I$89,3,0)*VLOOKUP('Données projet'!$B$10,Paramètres!$A$1:$I$89,5,0)</f>
        <v>208.51999999999998</v>
      </c>
      <c r="AK65" s="14">
        <f t="shared" si="35"/>
        <v>51.612035456318509</v>
      </c>
      <c r="AL65" s="22">
        <f t="shared" si="4"/>
        <v>453.06329508642131</v>
      </c>
      <c r="AM65" s="62">
        <f t="shared" si="5"/>
        <v>746.39662841975462</v>
      </c>
      <c r="AN65" s="62">
        <f ca="1">AVERAGE(OFFSET($AM$3,0,0,'Données projet'!$E$10+1,1))-AVERAGE(OFFSET($H$3,0,0,'Données projet'!$E$10+1,1))</f>
        <v>292.57482726862594</v>
      </c>
      <c r="AO65" s="62">
        <f t="shared" si="36"/>
        <v>283.48738729114024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6.2</v>
      </c>
      <c r="BD65" s="13">
        <f>IF('Données projet'!$A$88&gt;35,BD64+BC65-BL64,IF(A65&lt;'Données projet'!$A$88,$BA$205^A65,IF(A65='Données projet'!$A$88,'Données projet'!$B$88,BD64+BC65-BL64)))</f>
        <v>337.39999999999975</v>
      </c>
      <c r="BE65" s="14">
        <f>BD65*VLOOKUP('Données projet'!$B$11,Paramètres!$A$1:$I$89,3,0)*VLOOKUP('Données projet'!$B$11,Paramètres!$A$1:$I$89,5,0)</f>
        <v>247.38167999999979</v>
      </c>
      <c r="BF65" s="14">
        <f t="shared" si="37"/>
        <v>60.024923936492584</v>
      </c>
      <c r="BG65" s="22">
        <f t="shared" si="7"/>
        <v>535.39983518939096</v>
      </c>
      <c r="BH65" s="62">
        <f t="shared" si="8"/>
        <v>828.73316852272433</v>
      </c>
      <c r="BI65" s="62">
        <f ca="1">AVERAGE(OFFSET($BH$3,0,0,'Données projet'!$E$11+1,1))-AVERAGE(OFFSET($H$3,0,0,'Données projet'!$E$11+1,1))</f>
        <v>397.24545766894346</v>
      </c>
      <c r="BJ65" s="62">
        <f t="shared" si="38"/>
        <v>431.44557882369696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239.40000000000012</v>
      </c>
      <c r="BZ65" s="14">
        <f>BY65*VLOOKUP('Données projet'!$B$12,Paramètres!$A$1:$I$89,3,0)*VLOOKUP('Données projet'!$B$12,Paramètres!$A$1:$I$89,5,0)</f>
        <v>156.85488000000007</v>
      </c>
      <c r="CA65" s="14">
        <f t="shared" si="39"/>
        <v>40.132307243083858</v>
      </c>
      <c r="CB65" s="22">
        <f t="shared" si="10"/>
        <v>343.08601778170447</v>
      </c>
      <c r="CC65" s="62">
        <f t="shared" si="11"/>
        <v>636.41935111503778</v>
      </c>
      <c r="CD65" s="62">
        <f ca="1">AVERAGE(OFFSET($CC$3,0,0,'Données projet'!$E$12+1,1))-AVERAGE(OFFSET($H$3,0,0,'Données projet'!$E$12+1,1))</f>
        <v>277.27246253233807</v>
      </c>
      <c r="CE65" s="62">
        <f t="shared" si="40"/>
        <v>269.61868559913404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174.71375999999998</v>
      </c>
      <c r="CV65" s="14">
        <f t="shared" si="41"/>
        <v>44.144062647515817</v>
      </c>
      <c r="CW65" s="22">
        <f t="shared" si="13"/>
        <v>381.17737444442332</v>
      </c>
      <c r="CX65" s="62">
        <f t="shared" si="14"/>
        <v>674.51070777775658</v>
      </c>
      <c r="CY65" s="62">
        <f ca="1">AVERAGE(OFFSET($CX$3,0,0,'Données projet'!$E$13+1,1))-AVERAGE(OFFSET($H$3,0,0,'Données projet'!$E$13+1,1))</f>
        <v>402.15128814037058</v>
      </c>
      <c r="CZ65" s="62">
        <f t="shared" si="42"/>
        <v>232.85411068442738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5.7692307692307683</v>
      </c>
      <c r="DO65" s="13">
        <f>IF('Données projet'!$A$166&gt;35,DO64+DN65-DW64,IF(A65&lt;'Données projet'!$A$166,$DL$205^A65,IF(A65='Données projet'!$A$166,'Données projet'!$B$166,DO64+DN65-DW64)))</f>
        <v>244.23076923076914</v>
      </c>
      <c r="DP65" s="18">
        <f>DO65*VLOOKUP('Données projet'!$B$14,Paramètres!$A$1:$I$89,3,0)*VLOOKUP('Données projet'!$B$14,Paramètres!$A$1:$I$89,5,0)</f>
        <v>232.40999999999991</v>
      </c>
      <c r="DQ65" s="14">
        <f t="shared" si="43"/>
        <v>56.803463325366828</v>
      </c>
      <c r="DR65" s="22">
        <f t="shared" si="16"/>
        <v>503.71344862501365</v>
      </c>
      <c r="DS65" s="62">
        <f t="shared" si="17"/>
        <v>797.04678195834697</v>
      </c>
      <c r="DT65" s="62">
        <f ca="1">AVERAGE(OFFSET($DS$3,0,0,'Données projet'!$E$14+1,1))-AVERAGE(OFFSET($H$3,0,0,'Données projet'!$E$14+1,1))</f>
        <v>485.18236169209541</v>
      </c>
      <c r="DU65" s="62">
        <f t="shared" si="44"/>
        <v>417.30339652956951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6.2</v>
      </c>
      <c r="EJ65" s="13">
        <f>IF('Données projet'!$A$192&gt;35,EJ64+EI65-ER64,IF(A65&lt;'Données projet'!$A$192,$EG$205^A65,IF(A65='Données projet'!$A$192,'Données projet'!$B$192,EJ64+EI65-ER64)))</f>
        <v>337.39999999999975</v>
      </c>
      <c r="EK65" s="18">
        <f>EJ65*VLOOKUP('Données projet'!$B$15,Paramètres!$A$1:$I$89,3,0)*VLOOKUP('Données projet'!$B$15,Paramètres!$A$1:$I$89,5,0)</f>
        <v>268.4354399999998</v>
      </c>
      <c r="EL65" s="14">
        <f t="shared" si="45"/>
        <v>64.517117946718415</v>
      </c>
      <c r="EM65" s="22">
        <f t="shared" si="19"/>
        <v>579.89237175720086</v>
      </c>
      <c r="EN65" s="62">
        <f t="shared" si="20"/>
        <v>873.22570509053412</v>
      </c>
      <c r="EO65" s="62">
        <f ca="1">AVERAGE(OFFSET($EN$3,0,0,'Données projet'!$E$15+1,1))-AVERAGE(OFFSET($H$3,0,0,'Données projet'!$E$15+1,1))</f>
        <v>427.78067187784063</v>
      </c>
      <c r="EP65" s="62">
        <f t="shared" si="46"/>
        <v>464.22892523825118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13.777777777777779</v>
      </c>
      <c r="FE65" s="13">
        <f>IF('Données projet'!$A$218&gt;35,FE64+FD65-FM64,IF(A65&lt;'Données projet'!$A$218,$FB$205^A65,IF(A65='Données projet'!$A$218,'Données projet'!$B$218,FE64+FD65-FM64)))</f>
        <v>261.55555555555537</v>
      </c>
      <c r="FF65" s="18">
        <f>FE65*VLOOKUP('Données projet'!$B$16,Paramètres!$A$1:$I$89,3,0)*VLOOKUP('Données projet'!$B$16,Paramètres!$A$1:$I$89,5,0)</f>
        <v>224.41466666666653</v>
      </c>
      <c r="FG65" s="14">
        <f t="shared" si="47"/>
        <v>55.073279400945509</v>
      </c>
      <c r="FH65" s="22">
        <f t="shared" si="22"/>
        <v>486.77483940109096</v>
      </c>
      <c r="FI65" s="62">
        <f t="shared" si="23"/>
        <v>780.10817273442422</v>
      </c>
      <c r="FJ65" s="62">
        <f ca="1">AVERAGE(OFFSET($FI$3,0,0,'Données projet'!$E$16+1,1))-AVERAGE(OFFSET($H$3,0,0,'Données projet'!$E$16+1,1))</f>
        <v>448.44001099301806</v>
      </c>
      <c r="FK65" s="62">
        <f t="shared" si="48"/>
        <v>230.82970731138215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6.2820512820512819</v>
      </c>
      <c r="FZ65" s="13">
        <f>IF('Données projet'!$A$244&gt;35,FZ64+FY65-GH64,IF(A65&lt;'Données projet'!$A$244,$FW$205^A65,IF(A65='Données projet'!$A$244,'Données projet'!$B$244,FZ64+FY65-GH64)))</f>
        <v>300.38461538461519</v>
      </c>
      <c r="GA65" s="18">
        <f>FZ65*VLOOKUP('Données projet'!$B$17,Paramètres!$A$1:$I$89,3,0)*VLOOKUP('Données projet'!$B$17,Paramètres!$A$1:$I$89,5,0)</f>
        <v>201.49799999999988</v>
      </c>
      <c r="GB65" s="14">
        <f t="shared" si="49"/>
        <v>50.073239673089361</v>
      </c>
      <c r="GC65" s="22">
        <f t="shared" si="25"/>
        <v>438.15324243063037</v>
      </c>
      <c r="GD65" s="62">
        <f t="shared" si="26"/>
        <v>731.48657576396363</v>
      </c>
      <c r="GE65" s="62">
        <f ca="1">AVERAGE(OFFSET($GD$3,0,0,'Données projet'!$E$17+1,1))-AVERAGE(OFFSET($H$3,0,0,'Données projet'!$E$17+1,1))</f>
        <v>408.91016501484626</v>
      </c>
      <c r="GF65" s="62">
        <f t="shared" si="50"/>
        <v>354.22396807666433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8.8000000000000007</v>
      </c>
      <c r="GU65" s="13">
        <f>IF('Données projet'!$A$270&gt;35,GU64+GT65-HC64,IF(A65&lt;'Données projet'!$A$270,$GR$205^A65,IF(A65='Données projet'!$A$270,'Données projet'!$B$270,GU64+GT65-HC64)))</f>
        <v>290.59999999999997</v>
      </c>
      <c r="GV65" s="18">
        <f>GU65*VLOOKUP('Données projet'!$B$18,Paramètres!$A$1:$I$89,3,0)*VLOOKUP('Données projet'!$B$18,Paramètres!$A$1:$I$89,5,0)</f>
        <v>281.06831999999997</v>
      </c>
      <c r="GW65" s="14">
        <f t="shared" si="51"/>
        <v>67.19272554541665</v>
      </c>
      <c r="GX65" s="22">
        <f t="shared" si="28"/>
        <v>606.55465432493395</v>
      </c>
      <c r="GY65" s="62">
        <f t="shared" si="29"/>
        <v>899.88798765826732</v>
      </c>
      <c r="GZ65" s="62">
        <f ca="1">AVERAGE(OFFSET($GY$3,0,0,'Données projet'!$E$18+1,1))-AVERAGE(OFFSET($H$3,0,0,'Données projet'!$E$18+1,1))</f>
        <v>562.69380557620775</v>
      </c>
      <c r="HA65" s="62">
        <f t="shared" si="52"/>
        <v>294.45557293177131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2">
        <f t="shared" si="0"/>
        <v>878.42316250379099</v>
      </c>
      <c r="S66" s="62">
        <f ca="1">AVERAGE(OFFSET($R$3,0,0,'Données projet'!$E$9+1,1))-AVERAGE(OFFSET($H$3,0,0,'Données projet'!$E$9+1,1))</f>
        <v>529.25712986118265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8.6666666666666661</v>
      </c>
      <c r="AI66" s="14">
        <f>IF('Données projet'!$A$62&gt;35,AI65+AH66-AQ65,IF(A66&lt;'Données projet'!$A$62,$AF$205^A66,IF(A66='Données projet'!$A$62,'Données projet'!$B$62,AI65+AH66-AQ65)))</f>
        <v>276</v>
      </c>
      <c r="AJ66" s="14">
        <f>AI66*VLOOKUP('Données projet'!$B$10,Paramètres!$A$1:$I$89,3,0)*VLOOKUP('Données projet'!$B$10,Paramètres!$A$1:$I$89,5,0)</f>
        <v>215.28</v>
      </c>
      <c r="AK66" s="14">
        <f t="shared" si="35"/>
        <v>53.087725740853138</v>
      </c>
      <c r="AL66" s="22">
        <f t="shared" si="4"/>
        <v>467.40712233198587</v>
      </c>
      <c r="AM66" s="62">
        <f t="shared" si="5"/>
        <v>760.74045566531913</v>
      </c>
      <c r="AN66" s="62">
        <f ca="1">AVERAGE(OFFSET($AM$3,0,0,'Données projet'!$E$10+1,1))-AVERAGE(OFFSET($H$3,0,0,'Données projet'!$E$10+1,1))</f>
        <v>292.57482726862594</v>
      </c>
      <c r="AO66" s="62">
        <f t="shared" si="36"/>
        <v>283.48738729114024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6.2</v>
      </c>
      <c r="BD66" s="13">
        <f>IF('Données projet'!$A$88&gt;35,BD65+BC66-BL65,IF(A66&lt;'Données projet'!$A$88,$BA$205^A66,IF(A66='Données projet'!$A$88,'Données projet'!$B$88,BD65+BC66-BL65)))</f>
        <v>343.59999999999974</v>
      </c>
      <c r="BE66" s="14">
        <f>BD66*VLOOKUP('Données projet'!$B$11,Paramètres!$A$1:$I$89,3,0)*VLOOKUP('Données projet'!$B$11,Paramètres!$A$1:$I$89,5,0)</f>
        <v>251.92751999999982</v>
      </c>
      <c r="BF66" s="14">
        <f t="shared" si="37"/>
        <v>60.99850556750377</v>
      </c>
      <c r="BG66" s="22">
        <f t="shared" si="7"/>
        <v>545.01282786340209</v>
      </c>
      <c r="BH66" s="62">
        <f t="shared" si="8"/>
        <v>838.34616119673547</v>
      </c>
      <c r="BI66" s="62">
        <f ca="1">AVERAGE(OFFSET($BH$3,0,0,'Données projet'!$E$11+1,1))-AVERAGE(OFFSET($H$3,0,0,'Données projet'!$E$11+1,1))</f>
        <v>397.24545766894346</v>
      </c>
      <c r="BJ66" s="62">
        <f t="shared" si="38"/>
        <v>431.44557882369696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244.60000000000011</v>
      </c>
      <c r="BZ66" s="14">
        <f>BY66*VLOOKUP('Données projet'!$B$12,Paramètres!$A$1:$I$89,3,0)*VLOOKUP('Données projet'!$B$12,Paramètres!$A$1:$I$89,5,0)</f>
        <v>160.26192000000006</v>
      </c>
      <c r="CA66" s="14">
        <f t="shared" si="39"/>
        <v>40.901586568781333</v>
      </c>
      <c r="CB66" s="22">
        <f t="shared" si="10"/>
        <v>350.35977394062758</v>
      </c>
      <c r="CC66" s="62">
        <f t="shared" si="11"/>
        <v>643.69310727396089</v>
      </c>
      <c r="CD66" s="62">
        <f ca="1">AVERAGE(OFFSET($CC$3,0,0,'Données projet'!$E$12+1,1))-AVERAGE(OFFSET($H$3,0,0,'Données projet'!$E$12+1,1))</f>
        <v>277.27246253233807</v>
      </c>
      <c r="CE66" s="62">
        <f t="shared" si="40"/>
        <v>269.61868559913404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180.77903999999995</v>
      </c>
      <c r="CV66" s="14">
        <f t="shared" si="41"/>
        <v>45.495464625737284</v>
      </c>
      <c r="CW66" s="22">
        <f t="shared" si="13"/>
        <v>394.09476222315897</v>
      </c>
      <c r="CX66" s="62">
        <f t="shared" si="14"/>
        <v>687.42809555649228</v>
      </c>
      <c r="CY66" s="62">
        <f ca="1">AVERAGE(OFFSET($CX$3,0,0,'Données projet'!$E$13+1,1))-AVERAGE(OFFSET($H$3,0,0,'Données projet'!$E$13+1,1))</f>
        <v>402.15128814037058</v>
      </c>
      <c r="CZ66" s="62">
        <f t="shared" si="42"/>
        <v>232.85411068442738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5.7692307692307683</v>
      </c>
      <c r="DO66" s="13">
        <f>IF('Données projet'!$A$166&gt;35,DO65+DN66-DW65,IF(A66&lt;'Données projet'!$A$166,$DL$205^A66,IF(A66='Données projet'!$A$166,'Données projet'!$B$166,DO65+DN66-DW65)))</f>
        <v>249.99999999999991</v>
      </c>
      <c r="DP66" s="18">
        <f>DO66*VLOOKUP('Données projet'!$B$14,Paramètres!$A$1:$I$89,3,0)*VLOOKUP('Données projet'!$B$14,Paramètres!$A$1:$I$89,5,0)</f>
        <v>237.89999999999992</v>
      </c>
      <c r="DQ66" s="14">
        <f t="shared" si="43"/>
        <v>57.987474407587428</v>
      </c>
      <c r="DR66" s="22">
        <f t="shared" si="16"/>
        <v>515.33735125988119</v>
      </c>
      <c r="DS66" s="62">
        <f t="shared" si="17"/>
        <v>808.67068459321445</v>
      </c>
      <c r="DT66" s="62">
        <f ca="1">AVERAGE(OFFSET($DS$3,0,0,'Données projet'!$E$14+1,1))-AVERAGE(OFFSET($H$3,0,0,'Données projet'!$E$14+1,1))</f>
        <v>485.18236169209541</v>
      </c>
      <c r="DU66" s="62">
        <f t="shared" si="44"/>
        <v>417.30339652956951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6.2</v>
      </c>
      <c r="EJ66" s="13">
        <f>IF('Données projet'!$A$192&gt;35,EJ65+EI66-ER65,IF(A66&lt;'Données projet'!$A$192,$EG$205^A66,IF(A66='Données projet'!$A$192,'Données projet'!$B$192,EJ65+EI66-ER65)))</f>
        <v>343.59999999999974</v>
      </c>
      <c r="EK66" s="18">
        <f>EJ66*VLOOKUP('Données projet'!$B$15,Paramètres!$A$1:$I$89,3,0)*VLOOKUP('Données projet'!$B$15,Paramètres!$A$1:$I$89,5,0)</f>
        <v>273.36815999999982</v>
      </c>
      <c r="EL66" s="14">
        <f t="shared" si="45"/>
        <v>65.563561270581033</v>
      </c>
      <c r="EM66" s="22">
        <f t="shared" si="19"/>
        <v>590.30608121292823</v>
      </c>
      <c r="EN66" s="62">
        <f t="shared" si="20"/>
        <v>883.63941454626161</v>
      </c>
      <c r="EO66" s="62">
        <f ca="1">AVERAGE(OFFSET($EN$3,0,0,'Données projet'!$E$15+1,1))-AVERAGE(OFFSET($H$3,0,0,'Données projet'!$E$15+1,1))</f>
        <v>427.78067187784063</v>
      </c>
      <c r="EP66" s="62">
        <f t="shared" si="46"/>
        <v>464.22892523825118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13.777777777777779</v>
      </c>
      <c r="FE66" s="13">
        <f>IF('Données projet'!$A$218&gt;35,FE65+FD66-FM65,IF(A66&lt;'Données projet'!$A$218,$FB$205^A66,IF(A66='Données projet'!$A$218,'Données projet'!$B$218,FE65+FD66-FM65)))</f>
        <v>275.33333333333314</v>
      </c>
      <c r="FF66" s="18">
        <f>FE66*VLOOKUP('Données projet'!$B$16,Paramètres!$A$1:$I$89,3,0)*VLOOKUP('Données projet'!$B$16,Paramètres!$A$1:$I$89,5,0)</f>
        <v>236.23599999999988</v>
      </c>
      <c r="FG66" s="14">
        <f t="shared" si="47"/>
        <v>57.628943995616872</v>
      </c>
      <c r="FH66" s="22">
        <f t="shared" si="22"/>
        <v>511.81477745903248</v>
      </c>
      <c r="FI66" s="62">
        <f t="shared" si="23"/>
        <v>805.14811079236574</v>
      </c>
      <c r="FJ66" s="62">
        <f ca="1">AVERAGE(OFFSET($FI$3,0,0,'Données projet'!$E$16+1,1))-AVERAGE(OFFSET($H$3,0,0,'Données projet'!$E$16+1,1))</f>
        <v>448.44001099301806</v>
      </c>
      <c r="FK66" s="62">
        <f t="shared" si="48"/>
        <v>230.82970731138215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6.2820512820512819</v>
      </c>
      <c r="FZ66" s="13">
        <f>IF('Données projet'!$A$244&gt;35,FZ65+FY66-GH65,IF(A66&lt;'Données projet'!$A$244,$FW$205^A66,IF(A66='Données projet'!$A$244,'Données projet'!$B$244,FZ65+FY66-GH65)))</f>
        <v>306.66666666666646</v>
      </c>
      <c r="GA66" s="18">
        <f>FZ66*VLOOKUP('Données projet'!$B$17,Paramètres!$A$1:$I$89,3,0)*VLOOKUP('Données projet'!$B$17,Paramètres!$A$1:$I$89,5,0)</f>
        <v>205.71199999999988</v>
      </c>
      <c r="GB66" s="14">
        <f t="shared" si="49"/>
        <v>50.99742769693372</v>
      </c>
      <c r="GC66" s="22">
        <f t="shared" si="25"/>
        <v>447.10225323882588</v>
      </c>
      <c r="GD66" s="62">
        <f t="shared" si="26"/>
        <v>740.4355865721592</v>
      </c>
      <c r="GE66" s="62">
        <f ca="1">AVERAGE(OFFSET($GD$3,0,0,'Données projet'!$E$17+1,1))-AVERAGE(OFFSET($H$3,0,0,'Données projet'!$E$17+1,1))</f>
        <v>408.91016501484626</v>
      </c>
      <c r="GF66" s="62">
        <f t="shared" si="50"/>
        <v>354.22396807666433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8.8000000000000007</v>
      </c>
      <c r="GU66" s="13">
        <f>IF('Données projet'!$A$270&gt;35,GU65+GT66-HC65,IF(A66&lt;'Données projet'!$A$270,$GR$205^A66,IF(A66='Données projet'!$A$270,'Données projet'!$B$270,GU65+GT66-HC65)))</f>
        <v>299.39999999999998</v>
      </c>
      <c r="GV66" s="18">
        <f>GU66*VLOOKUP('Données projet'!$B$18,Paramètres!$A$1:$I$89,3,0)*VLOOKUP('Données projet'!$B$18,Paramètres!$A$1:$I$89,5,0)</f>
        <v>289.57968</v>
      </c>
      <c r="GW66" s="14">
        <f t="shared" si="51"/>
        <v>68.987489943980663</v>
      </c>
      <c r="GX66" s="22">
        <f t="shared" si="28"/>
        <v>624.504487652433</v>
      </c>
      <c r="GY66" s="62">
        <f t="shared" si="29"/>
        <v>917.83782098576626</v>
      </c>
      <c r="GZ66" s="62">
        <f ca="1">AVERAGE(OFFSET($GY$3,0,0,'Données projet'!$E$18+1,1))-AVERAGE(OFFSET($H$3,0,0,'Données projet'!$E$18+1,1))</f>
        <v>562.69380557620775</v>
      </c>
      <c r="HA66" s="62">
        <f t="shared" si="52"/>
        <v>294.45557293177131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2">
        <f t="shared" ref="R67:R130" si="55">Q67+(I67+J67)*44/12</f>
        <v>895.22766399195029</v>
      </c>
      <c r="S67" s="62">
        <f ca="1">AVERAGE(OFFSET($R$3,0,0,'Données projet'!$E$9+1,1))-AVERAGE(OFFSET($H$3,0,0,'Données projet'!$E$9+1,1))</f>
        <v>529.25712986118265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8.6666666666666661</v>
      </c>
      <c r="AI67" s="14">
        <f>IF('Données projet'!$A$62&gt;35,AI66+AH67-AQ66,IF(A67&lt;'Données projet'!$A$62,$AF$205^A67,IF(A67='Données projet'!$A$62,'Données projet'!$B$62,AI66+AH67-AQ66)))</f>
        <v>284.66666666666669</v>
      </c>
      <c r="AJ67" s="14">
        <f>AI67*VLOOKUP('Données projet'!$B$10,Paramètres!$A$1:$I$89,3,0)*VLOOKUP('Données projet'!$B$10,Paramètres!$A$1:$I$89,5,0)</f>
        <v>222.04000000000002</v>
      </c>
      <c r="AK67" s="14">
        <f t="shared" si="35"/>
        <v>54.558031180803596</v>
      </c>
      <c r="AL67" s="22">
        <f t="shared" si="4"/>
        <v>481.74157097323291</v>
      </c>
      <c r="AM67" s="62">
        <f t="shared" si="5"/>
        <v>775.07490430656617</v>
      </c>
      <c r="AN67" s="62">
        <f ca="1">AVERAGE(OFFSET($AM$3,0,0,'Données projet'!$E$10+1,1))-AVERAGE(OFFSET($H$3,0,0,'Données projet'!$E$10+1,1))</f>
        <v>292.57482726862594</v>
      </c>
      <c r="AO67" s="62">
        <f t="shared" si="36"/>
        <v>283.48738729114024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6.2</v>
      </c>
      <c r="BD67" s="13">
        <f>IF('Données projet'!$A$88&gt;35,BD66+BC67-BL66,IF(A67&lt;'Données projet'!$A$88,$BA$205^A67,IF(A67='Données projet'!$A$88,'Données projet'!$B$88,BD66+BC67-BL66)))</f>
        <v>349.79999999999973</v>
      </c>
      <c r="BE67" s="14">
        <f>BD67*VLOOKUP('Données projet'!$B$11,Paramètres!$A$1:$I$89,3,0)*VLOOKUP('Données projet'!$B$11,Paramètres!$A$1:$I$89,5,0)</f>
        <v>256.47335999999979</v>
      </c>
      <c r="BF67" s="14">
        <f t="shared" si="37"/>
        <v>61.970044365838106</v>
      </c>
      <c r="BG67" s="22">
        <f t="shared" si="7"/>
        <v>554.6222626038342</v>
      </c>
      <c r="BH67" s="62">
        <f t="shared" si="8"/>
        <v>847.95559593716757</v>
      </c>
      <c r="BI67" s="62">
        <f ca="1">AVERAGE(OFFSET($BH$3,0,0,'Données projet'!$E$11+1,1))-AVERAGE(OFFSET($H$3,0,0,'Données projet'!$E$11+1,1))</f>
        <v>397.24545766894346</v>
      </c>
      <c r="BJ67" s="62">
        <f t="shared" si="38"/>
        <v>431.44557882369696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249.8000000000001</v>
      </c>
      <c r="BZ67" s="14">
        <f>BY67*VLOOKUP('Données projet'!$B$12,Paramètres!$A$1:$I$89,3,0)*VLOOKUP('Données projet'!$B$12,Paramètres!$A$1:$I$89,5,0)</f>
        <v>163.66896000000006</v>
      </c>
      <c r="CA67" s="14">
        <f t="shared" si="39"/>
        <v>41.668964460385887</v>
      </c>
      <c r="CB67" s="22">
        <f t="shared" si="10"/>
        <v>357.63021843517214</v>
      </c>
      <c r="CC67" s="62">
        <f t="shared" si="11"/>
        <v>650.96355176850545</v>
      </c>
      <c r="CD67" s="62">
        <f ca="1">AVERAGE(OFFSET($CC$3,0,0,'Données projet'!$E$12+1,1))-AVERAGE(OFFSET($H$3,0,0,'Données projet'!$E$12+1,1))</f>
        <v>277.27246253233807</v>
      </c>
      <c r="CE67" s="62">
        <f t="shared" si="40"/>
        <v>269.61868559913404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186.84431999999995</v>
      </c>
      <c r="CV67" s="14">
        <f t="shared" si="41"/>
        <v>46.841598205171657</v>
      </c>
      <c r="CW67" s="22">
        <f t="shared" si="13"/>
        <v>407.00297420734051</v>
      </c>
      <c r="CX67" s="62">
        <f t="shared" si="14"/>
        <v>700.33630754067383</v>
      </c>
      <c r="CY67" s="62">
        <f ca="1">AVERAGE(OFFSET($CX$3,0,0,'Données projet'!$E$13+1,1))-AVERAGE(OFFSET($H$3,0,0,'Données projet'!$E$13+1,1))</f>
        <v>402.15128814037058</v>
      </c>
      <c r="CZ67" s="62">
        <f t="shared" si="42"/>
        <v>232.85411068442738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5.7692307692307683</v>
      </c>
      <c r="DO67" s="13">
        <f>IF('Données projet'!$A$166&gt;35,DO66+DN67-DW66,IF(A67&lt;'Données projet'!$A$166,$DL$205^A67,IF(A67='Données projet'!$A$166,'Données projet'!$B$166,DO66+DN67-DW66)))</f>
        <v>255.76923076923069</v>
      </c>
      <c r="DP67" s="18">
        <f>DO67*VLOOKUP('Données projet'!$B$14,Paramètres!$A$1:$I$89,3,0)*VLOOKUP('Données projet'!$B$14,Paramètres!$A$1:$I$89,5,0)</f>
        <v>243.38999999999993</v>
      </c>
      <c r="DQ67" s="14">
        <f t="shared" si="43"/>
        <v>59.168309023652121</v>
      </c>
      <c r="DR67" s="22">
        <f t="shared" si="16"/>
        <v>526.95572154952731</v>
      </c>
      <c r="DS67" s="62">
        <f t="shared" si="17"/>
        <v>820.28905488286068</v>
      </c>
      <c r="DT67" s="62">
        <f ca="1">AVERAGE(OFFSET($DS$3,0,0,'Données projet'!$E$14+1,1))-AVERAGE(OFFSET($H$3,0,0,'Données projet'!$E$14+1,1))</f>
        <v>485.18236169209541</v>
      </c>
      <c r="DU67" s="62">
        <f t="shared" si="44"/>
        <v>417.30339652956951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6.2</v>
      </c>
      <c r="EJ67" s="13">
        <f>IF('Données projet'!$A$192&gt;35,EJ66+EI67-ER66,IF(A67&lt;'Données projet'!$A$192,$EG$205^A67,IF(A67='Données projet'!$A$192,'Données projet'!$B$192,EJ66+EI67-ER66)))</f>
        <v>349.79999999999973</v>
      </c>
      <c r="EK67" s="18">
        <f>EJ67*VLOOKUP('Données projet'!$B$15,Paramètres!$A$1:$I$89,3,0)*VLOOKUP('Données projet'!$B$15,Paramètres!$A$1:$I$89,5,0)</f>
        <v>278.30087999999978</v>
      </c>
      <c r="EL67" s="14">
        <f t="shared" si="45"/>
        <v>66.607808878595833</v>
      </c>
      <c r="EM67" s="22">
        <f t="shared" si="19"/>
        <v>600.71596646355397</v>
      </c>
      <c r="EN67" s="62">
        <f t="shared" si="20"/>
        <v>894.04929979688723</v>
      </c>
      <c r="EO67" s="62">
        <f ca="1">AVERAGE(OFFSET($EN$3,0,0,'Données projet'!$E$15+1,1))-AVERAGE(OFFSET($H$3,0,0,'Données projet'!$E$15+1,1))</f>
        <v>427.78067187784063</v>
      </c>
      <c r="EP67" s="62">
        <f t="shared" si="46"/>
        <v>464.22892523825118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13.777777777777779</v>
      </c>
      <c r="FE67" s="13">
        <f>IF('Données projet'!$A$218&gt;35,FE66+FD67-FM66,IF(A67&lt;'Données projet'!$A$218,$FB$205^A67,IF(A67='Données projet'!$A$218,'Données projet'!$B$218,FE66+FD67-FM66)))</f>
        <v>289.11111111111092</v>
      </c>
      <c r="FF67" s="18">
        <f>FE67*VLOOKUP('Données projet'!$B$16,Paramètres!$A$1:$I$89,3,0)*VLOOKUP('Données projet'!$B$16,Paramètres!$A$1:$I$89,5,0)</f>
        <v>248.05733333333319</v>
      </c>
      <c r="FG67" s="14">
        <f t="shared" si="47"/>
        <v>60.169759343876592</v>
      </c>
      <c r="FH67" s="22">
        <f t="shared" si="22"/>
        <v>536.82885307947356</v>
      </c>
      <c r="FI67" s="62">
        <f t="shared" si="23"/>
        <v>830.16218641280693</v>
      </c>
      <c r="FJ67" s="62">
        <f ca="1">AVERAGE(OFFSET($FI$3,0,0,'Données projet'!$E$16+1,1))-AVERAGE(OFFSET($H$3,0,0,'Données projet'!$E$16+1,1))</f>
        <v>448.44001099301806</v>
      </c>
      <c r="FK67" s="62">
        <f t="shared" si="48"/>
        <v>230.82970731138215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6.2820512820512819</v>
      </c>
      <c r="FZ67" s="13">
        <f>IF('Données projet'!$A$244&gt;35,FZ66+FY67-GH66,IF(A67&lt;'Données projet'!$A$244,$FW$205^A67,IF(A67='Données projet'!$A$244,'Données projet'!$B$244,FZ66+FY67-GH66)))</f>
        <v>312.94871794871773</v>
      </c>
      <c r="GA67" s="18">
        <f>FZ67*VLOOKUP('Données projet'!$B$17,Paramètres!$A$1:$I$89,3,0)*VLOOKUP('Données projet'!$B$17,Paramètres!$A$1:$I$89,5,0)</f>
        <v>209.92599999999985</v>
      </c>
      <c r="GB67" s="14">
        <f t="shared" si="49"/>
        <v>51.919414504803278</v>
      </c>
      <c r="GC67" s="22">
        <f t="shared" si="25"/>
        <v>456.04743026253209</v>
      </c>
      <c r="GD67" s="62">
        <f t="shared" si="26"/>
        <v>749.38076359586535</v>
      </c>
      <c r="GE67" s="62">
        <f ca="1">AVERAGE(OFFSET($GD$3,0,0,'Données projet'!$E$17+1,1))-AVERAGE(OFFSET($H$3,0,0,'Données projet'!$E$17+1,1))</f>
        <v>408.91016501484626</v>
      </c>
      <c r="GF67" s="62">
        <f t="shared" si="50"/>
        <v>354.22396807666433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8.8000000000000007</v>
      </c>
      <c r="GU67" s="13">
        <f>IF('Données projet'!$A$270&gt;35,GU66+GT67-HC66,IF(A67&lt;'Données projet'!$A$270,$GR$205^A67,IF(A67='Données projet'!$A$270,'Données projet'!$B$270,GU66+GT67-HC66)))</f>
        <v>308.2</v>
      </c>
      <c r="GV67" s="18">
        <f>GU67*VLOOKUP('Données projet'!$B$18,Paramètres!$A$1:$I$89,3,0)*VLOOKUP('Données projet'!$B$18,Paramètres!$A$1:$I$89,5,0)</f>
        <v>298.09104000000002</v>
      </c>
      <c r="GW67" s="14">
        <f t="shared" si="51"/>
        <v>70.776123577436934</v>
      </c>
      <c r="GX67" s="22">
        <f t="shared" si="28"/>
        <v>642.44364323070261</v>
      </c>
      <c r="GY67" s="62">
        <f t="shared" si="29"/>
        <v>935.77697656403598</v>
      </c>
      <c r="GZ67" s="62">
        <f ca="1">AVERAGE(OFFSET($GY$3,0,0,'Données projet'!$E$18+1,1))-AVERAGE(OFFSET($H$3,0,0,'Données projet'!$E$18+1,1))</f>
        <v>562.69380557620775</v>
      </c>
      <c r="HA67" s="62">
        <f t="shared" si="52"/>
        <v>294.45557293177131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2">
        <f t="shared" si="55"/>
        <v>912.02241922024541</v>
      </c>
      <c r="S68" s="62">
        <f ca="1">AVERAGE(OFFSET($R$3,0,0,'Données projet'!$E$9+1,1))-AVERAGE(OFFSET($H$3,0,0,'Données projet'!$E$9+1,1))</f>
        <v>529.25712986118265</v>
      </c>
      <c r="T68" s="62">
        <f t="shared" si="34"/>
        <v>278.21741231699929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8.6666666666666661</v>
      </c>
      <c r="AI68" s="14">
        <f>IF('Données projet'!$A$62&gt;35,AI67+AH68-AQ67,IF(A68&lt;'Données projet'!$A$62,$AF$205^A68,IF(A68='Données projet'!$A$62,'Données projet'!$B$62,AI67+AH68-AQ67)))</f>
        <v>293.33333333333337</v>
      </c>
      <c r="AJ68" s="14">
        <f>AI68*VLOOKUP('Données projet'!$B$10,Paramètres!$A$1:$I$89,3,0)*VLOOKUP('Données projet'!$B$10,Paramètres!$A$1:$I$89,5,0)</f>
        <v>228.80000000000004</v>
      </c>
      <c r="AK68" s="14">
        <f t="shared" si="35"/>
        <v>56.023134533701196</v>
      </c>
      <c r="AL68" s="22">
        <f t="shared" ref="AL68:AL131" si="58">(AJ68+AK68)*0.475*44/12</f>
        <v>496.06695931286299</v>
      </c>
      <c r="AM68" s="62">
        <f t="shared" ref="AM68:AM131" si="59">AL68+(AD68+AE68)*44/12</f>
        <v>789.40029264619625</v>
      </c>
      <c r="AN68" s="62">
        <f ca="1">AVERAGE(OFFSET($AM$3,0,0,'Données projet'!$E$10+1,1))-AVERAGE(OFFSET($H$3,0,0,'Données projet'!$E$10+1,1))</f>
        <v>292.57482726862594</v>
      </c>
      <c r="AO68" s="62">
        <f t="shared" si="36"/>
        <v>283.48738729114024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356</v>
      </c>
      <c r="BB68" s="13">
        <f>VLOOKUP(A68,'Données projet'!$A$87:$I$107,9,0)</f>
        <v>6.2</v>
      </c>
      <c r="BC68" s="13">
        <f t="array" ref="BC68">INDEX(BB:BB,MIN(IF(ISNUMBER(BB68:BB264),ROW(BB68:BB264),"")))</f>
        <v>6.2</v>
      </c>
      <c r="BD68" s="13">
        <f>IF('Données projet'!$A$88&gt;35,BD67+BC68-BL67,IF(A68&lt;'Données projet'!$A$88,$BA$205^A68,IF(A68='Données projet'!$A$88,'Données projet'!$B$88,BD67+BC68-BL67)))</f>
        <v>355.99999999999972</v>
      </c>
      <c r="BE68" s="14">
        <f>BD68*VLOOKUP('Données projet'!$B$11,Paramètres!$A$1:$I$89,3,0)*VLOOKUP('Données projet'!$B$11,Paramètres!$A$1:$I$89,5,0)</f>
        <v>261.01919999999978</v>
      </c>
      <c r="BF68" s="14">
        <f t="shared" si="37"/>
        <v>62.939580716713571</v>
      </c>
      <c r="BG68" s="22">
        <f t="shared" ref="BG68:BG131" si="61">(BE68+BF68)*0.475*44/12</f>
        <v>564.22820974827573</v>
      </c>
      <c r="BH68" s="62">
        <f t="shared" ref="BH68:BH131" si="62">BG68+(AY68+AZ68)*44/12</f>
        <v>857.56154308160899</v>
      </c>
      <c r="BI68" s="62">
        <f ca="1">AVERAGE(OFFSET($BH$3,0,0,'Données projet'!$E$11+1,1))-AVERAGE(OFFSET($H$3,0,0,'Données projet'!$E$11+1,1))</f>
        <v>397.24545766894346</v>
      </c>
      <c r="BJ68" s="62">
        <f t="shared" si="38"/>
        <v>431.44557882369696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255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255.00000000000009</v>
      </c>
      <c r="BZ68" s="14">
        <f>BY68*VLOOKUP('Données projet'!$B$12,Paramètres!$A$1:$I$89,3,0)*VLOOKUP('Données projet'!$B$12,Paramètres!$A$1:$I$89,5,0)</f>
        <v>167.07600000000005</v>
      </c>
      <c r="CA68" s="14">
        <f t="shared" si="39"/>
        <v>42.434485059621672</v>
      </c>
      <c r="CB68" s="22">
        <f t="shared" ref="CB68:CB131" si="64">(BZ68+CA68)*0.475*44/12</f>
        <v>364.89742814550777</v>
      </c>
      <c r="CC68" s="62">
        <f t="shared" ref="CC68:CC131" si="65">CB68+(BT68+BU68)*44/12</f>
        <v>658.23076147884103</v>
      </c>
      <c r="CD68" s="62">
        <f ca="1">AVERAGE(OFFSET($CC$3,0,0,'Données projet'!$E$12+1,1))-AVERAGE(OFFSET($H$3,0,0,'Données projet'!$E$12+1,1))</f>
        <v>277.27246253233807</v>
      </c>
      <c r="CE68" s="62">
        <f t="shared" si="40"/>
        <v>269.61868559913404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42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192.90959999999995</v>
      </c>
      <c r="CV68" s="14">
        <f t="shared" si="41"/>
        <v>48.182654021446417</v>
      </c>
      <c r="CW68" s="22">
        <f t="shared" ref="CW68:CW131" si="67">(CU68+CV68)*0.475*44/12</f>
        <v>419.90234242068573</v>
      </c>
      <c r="CX68" s="62">
        <f t="shared" ref="CX68:CX131" si="68">CW68+(CO68+CP68)*44/12</f>
        <v>713.23567575401898</v>
      </c>
      <c r="CY68" s="62">
        <f ca="1">AVERAGE(OFFSET($CX$3,0,0,'Données projet'!$E$13+1,1))-AVERAGE(OFFSET($H$3,0,0,'Données projet'!$E$13+1,1))</f>
        <v>402.15128814037058</v>
      </c>
      <c r="CZ68" s="62">
        <f t="shared" si="42"/>
        <v>232.85411068442738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261.53846153846155</v>
      </c>
      <c r="DM68" s="13">
        <f>VLOOKUP(A68,'Données projet'!$A$165:$I$185,9,0)</f>
        <v>5.7692307692307683</v>
      </c>
      <c r="DN68" s="13">
        <f t="array" ref="DN68">INDEX(DM:DM,MIN(IF(ISNUMBER(DM68:DM264),ROW(DM68:DM264),"")))</f>
        <v>5.7692307692307683</v>
      </c>
      <c r="DO68" s="13">
        <f>IF('Données projet'!$A$166&gt;35,DO67+DN68-DW67,IF(A68&lt;'Données projet'!$A$166,$DL$205^A68,IF(A68='Données projet'!$A$166,'Données projet'!$B$166,DO67+DN68-DW67)))</f>
        <v>261.53846153846143</v>
      </c>
      <c r="DP68" s="18">
        <f>DO68*VLOOKUP('Données projet'!$B$14,Paramètres!$A$1:$I$89,3,0)*VLOOKUP('Données projet'!$B$14,Paramètres!$A$1:$I$89,5,0)</f>
        <v>248.87999999999988</v>
      </c>
      <c r="DQ68" s="14">
        <f t="shared" si="43"/>
        <v>60.346047071961877</v>
      </c>
      <c r="DR68" s="22">
        <f t="shared" ref="DR68:DR131" si="70">(DP68+DQ68)*0.475*44/12</f>
        <v>538.56869865033343</v>
      </c>
      <c r="DS68" s="62">
        <f t="shared" ref="DS68:DS131" si="71">DR68+(DJ68+DK68)*44/12</f>
        <v>831.9020319836668</v>
      </c>
      <c r="DT68" s="62">
        <f ca="1">AVERAGE(OFFSET($DS$3,0,0,'Données projet'!$E$14+1,1))-AVERAGE(OFFSET($H$3,0,0,'Données projet'!$E$14+1,1))</f>
        <v>485.18236169209541</v>
      </c>
      <c r="DU68" s="62">
        <f t="shared" si="44"/>
        <v>417.30339652956951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356</v>
      </c>
      <c r="EH68" s="13">
        <f>VLOOKUP(A68,'Données projet'!$A$191:$I$211,9,0)</f>
        <v>6.2</v>
      </c>
      <c r="EI68" s="13">
        <f t="array" ref="EI68">INDEX(EH:EH,MIN(IF(ISNUMBER(EH68:EH264),ROW(EH68:EH264),"")))</f>
        <v>6.2</v>
      </c>
      <c r="EJ68" s="13">
        <f>IF('Données projet'!$A$192&gt;35,EJ67+EI68-ER67,IF(A68&lt;'Données projet'!$A$192,$EG$205^A68,IF(A68='Données projet'!$A$192,'Données projet'!$B$192,EJ67+EI68-ER67)))</f>
        <v>355.99999999999972</v>
      </c>
      <c r="EK68" s="18">
        <f>EJ68*VLOOKUP('Données projet'!$B$15,Paramètres!$A$1:$I$89,3,0)*VLOOKUP('Données projet'!$B$15,Paramètres!$A$1:$I$89,5,0)</f>
        <v>283.2335999999998</v>
      </c>
      <c r="EL68" s="14">
        <f t="shared" si="45"/>
        <v>67.649904178362377</v>
      </c>
      <c r="EM68" s="22">
        <f t="shared" ref="EM68:EM131" si="73">(EK68+EL68)*0.475*44/12</f>
        <v>611.12210311064734</v>
      </c>
      <c r="EN68" s="62">
        <f t="shared" ref="EN68:EN131" si="74">EM68+(EE68+EF68)*44/12</f>
        <v>904.45543644398072</v>
      </c>
      <c r="EO68" s="62">
        <f ca="1">AVERAGE(OFFSET($EN$3,0,0,'Données projet'!$E$15+1,1))-AVERAGE(OFFSET($H$3,0,0,'Données projet'!$E$15+1,1))</f>
        <v>427.78067187784063</v>
      </c>
      <c r="EP68" s="62">
        <f t="shared" si="46"/>
        <v>464.22892523825118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13.777777777777779</v>
      </c>
      <c r="FE68" s="13">
        <f>IF('Données projet'!$A$218&gt;35,FE67+FD68-FM67,IF(A68&lt;'Données projet'!$A$218,$FB$205^A68,IF(A68='Données projet'!$A$218,'Données projet'!$B$218,FE67+FD68-FM67)))</f>
        <v>302.88888888888869</v>
      </c>
      <c r="FF68" s="18">
        <f>FE68*VLOOKUP('Données projet'!$B$16,Paramètres!$A$1:$I$89,3,0)*VLOOKUP('Données projet'!$B$16,Paramètres!$A$1:$I$89,5,0)</f>
        <v>259.8786666666665</v>
      </c>
      <c r="FG68" s="14">
        <f t="shared" si="47"/>
        <v>62.69651389011603</v>
      </c>
      <c r="FH68" s="22">
        <f t="shared" ref="FH68:FH131" si="76">(FF68+FG68)*0.475*44/12</f>
        <v>561.81843946972958</v>
      </c>
      <c r="FI68" s="62">
        <f t="shared" ref="FI68:FI131" si="77">FH68+(EZ68+FA68)*44/12</f>
        <v>855.15177280306284</v>
      </c>
      <c r="FJ68" s="62">
        <f ca="1">AVERAGE(OFFSET($FI$3,0,0,'Données projet'!$E$16+1,1))-AVERAGE(OFFSET($H$3,0,0,'Données projet'!$E$16+1,1))</f>
        <v>448.44001099301806</v>
      </c>
      <c r="FK68" s="62">
        <f t="shared" si="48"/>
        <v>230.82970731138215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319.23076923076923</v>
      </c>
      <c r="FX68" s="13">
        <f>VLOOKUP(A68,'Données projet'!$A$243:$I$263,9,0)</f>
        <v>6.2820512820512819</v>
      </c>
      <c r="FY68" s="13">
        <f t="array" ref="FY68">INDEX(FX:FX,MIN(IF(ISNUMBER(FX68:FX264),ROW(FX68:FX264),"")))</f>
        <v>6.2820512820512819</v>
      </c>
      <c r="FZ68" s="13">
        <f>IF('Données projet'!$A$244&gt;35,FZ67+FY68-GH67,IF(A68&lt;'Données projet'!$A$244,$FW$205^A68,IF(A68='Données projet'!$A$244,'Données projet'!$B$244,FZ67+FY68-GH67)))</f>
        <v>319.230769230769</v>
      </c>
      <c r="GA68" s="18">
        <f>FZ68*VLOOKUP('Données projet'!$B$17,Paramètres!$A$1:$I$89,3,0)*VLOOKUP('Données projet'!$B$17,Paramètres!$A$1:$I$89,5,0)</f>
        <v>214.13999999999984</v>
      </c>
      <c r="GB68" s="14">
        <f t="shared" si="49"/>
        <v>52.839249375753219</v>
      </c>
      <c r="GC68" s="22">
        <f t="shared" ref="GC68:GC131" si="79">(GA68+GB68)*0.475*44/12</f>
        <v>464.98885932943654</v>
      </c>
      <c r="GD68" s="62">
        <f t="shared" ref="GD68:GD131" si="80">GC68+(FU68+FV68)*44/12</f>
        <v>758.32219266276979</v>
      </c>
      <c r="GE68" s="62">
        <f ca="1">AVERAGE(OFFSET($GD$3,0,0,'Données projet'!$E$17+1,1))-AVERAGE(OFFSET($H$3,0,0,'Données projet'!$E$17+1,1))</f>
        <v>408.91016501484626</v>
      </c>
      <c r="GF68" s="62">
        <f t="shared" si="50"/>
        <v>354.22396807666433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317</v>
      </c>
      <c r="GS68" s="13">
        <f>VLOOKUP(A68,'Données projet'!$A$269:$I$289,9,0)</f>
        <v>8.8000000000000007</v>
      </c>
      <c r="GT68" s="13">
        <f t="array" ref="GT68">INDEX(GS:GS,MIN(IF(ISNUMBER(GS68:GS264),ROW(GS68:GS264),"")))</f>
        <v>8.8000000000000007</v>
      </c>
      <c r="GU68" s="13">
        <f>IF('Données projet'!$A$270&gt;35,GU67+GT68-HC67,IF(A68&lt;'Données projet'!$A$270,$GR$205^A68,IF(A68='Données projet'!$A$270,'Données projet'!$B$270,GU67+GT68-HC67)))</f>
        <v>317</v>
      </c>
      <c r="GV68" s="18">
        <f>GU68*VLOOKUP('Données projet'!$B$18,Paramètres!$A$1:$I$89,3,0)*VLOOKUP('Données projet'!$B$18,Paramètres!$A$1:$I$89,5,0)</f>
        <v>306.60239999999999</v>
      </c>
      <c r="GW68" s="14">
        <f t="shared" si="51"/>
        <v>72.558821602115088</v>
      </c>
      <c r="GX68" s="22">
        <f t="shared" ref="GX68:GX131" si="82">(GV68+GW68)*0.475*44/12</f>
        <v>660.3724609570171</v>
      </c>
      <c r="GY68" s="62">
        <f t="shared" ref="GY68:GY131" si="83">GX68+(GP68+GQ68)*44/12</f>
        <v>953.70579429035047</v>
      </c>
      <c r="GZ68" s="62">
        <f ca="1">AVERAGE(OFFSET($GY$3,0,0,'Données projet'!$E$18+1,1))-AVERAGE(OFFSET($H$3,0,0,'Données projet'!$E$18+1,1))</f>
        <v>562.69380557620775</v>
      </c>
      <c r="HA68" s="62">
        <f t="shared" si="52"/>
        <v>294.45557293177131</v>
      </c>
      <c r="HB68" s="16">
        <f>IF(ISNA(VLOOKUP(A68,'Données projet'!$A$269:$I$289,3,0)),0,VLOOKUP(A68,'Données projet'!$A$269:$I$289,3,0))</f>
        <v>5</v>
      </c>
      <c r="HC68" s="16">
        <f>IF(ISNA(VLOOKUP(A68,'Données projet'!$A$269:$I$289,4,0)),0,VLOOKUP(A68,'Données projet'!$A$269:$I$289,4,0))</f>
        <v>56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529.25712986118265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8.6666666666666661</v>
      </c>
      <c r="AI69" s="14">
        <f>IF('Données projet'!$A$62&gt;35,AI68+AH69-AQ68,IF(A69&lt;'Données projet'!$A$62,$AF$205^A69,IF(A69='Données projet'!$A$62,'Données projet'!$B$62,AI68+AH69-AQ68)))</f>
        <v>302.00000000000006</v>
      </c>
      <c r="AJ69" s="14">
        <f>AI69*VLOOKUP('Données projet'!$B$10,Paramètres!$A$1:$I$89,3,0)*VLOOKUP('Données projet'!$B$10,Paramètres!$A$1:$I$89,5,0)</f>
        <v>235.56000000000006</v>
      </c>
      <c r="AK69" s="14">
        <f t="shared" ref="AK69:AK132" si="89">EXP(-1.0587+0.8836*LN(AJ69)+0.284)</f>
        <v>57.483207143847771</v>
      </c>
      <c r="AL69" s="22">
        <f t="shared" si="58"/>
        <v>510.38358577553487</v>
      </c>
      <c r="AM69" s="62">
        <f t="shared" si="59"/>
        <v>803.71691910886818</v>
      </c>
      <c r="AN69" s="62">
        <f ca="1">AVERAGE(OFFSET($AM$3,0,0,'Données projet'!$E$10+1,1))-AVERAGE(OFFSET($H$3,0,0,'Données projet'!$E$10+1,1))</f>
        <v>292.57482726862594</v>
      </c>
      <c r="AO69" s="62">
        <f t="shared" ref="AO69:AO132" si="90">$AO$3</f>
        <v>283.48738729114024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361.1999999999997</v>
      </c>
      <c r="BE69" s="14">
        <f>BD69*VLOOKUP('Données projet'!$B$11,Paramètres!$A$1:$I$89,3,0)*VLOOKUP('Données projet'!$B$11,Paramètres!$A$1:$I$89,5,0)</f>
        <v>264.83183999999977</v>
      </c>
      <c r="BF69" s="14">
        <f t="shared" ref="BF69:BF132" si="91">EXP(-1.0587+0.8836*LN(BE69)+0.284)</f>
        <v>63.751224628559676</v>
      </c>
      <c r="BG69" s="22">
        <f t="shared" si="61"/>
        <v>572.28217089474106</v>
      </c>
      <c r="BH69" s="62">
        <f t="shared" si="62"/>
        <v>865.61550422807431</v>
      </c>
      <c r="BI69" s="62">
        <f ca="1">AVERAGE(OFFSET($BH$3,0,0,'Données projet'!$E$11+1,1))-AVERAGE(OFFSET($H$3,0,0,'Données projet'!$E$11+1,1))</f>
        <v>397.24545766894346</v>
      </c>
      <c r="BJ69" s="62">
        <f t="shared" ref="BJ69:BJ132" si="92">$BJ$3</f>
        <v>431.44557882369696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4.8</v>
      </c>
      <c r="BY69" s="13">
        <f>IF('Données projet'!$A$114&gt;35,BY68+BX69-CG68,IF(A69&lt;'Données projet'!$A$114,$BV$205^A69,IF(A69='Données projet'!$A$114,'Données projet'!$B$114,BY68+BX69-CG68)))</f>
        <v>217.80000000000007</v>
      </c>
      <c r="BZ69" s="14">
        <f>BY69*VLOOKUP('Données projet'!$B$12,Paramètres!$A$1:$I$89,3,0)*VLOOKUP('Données projet'!$B$12,Paramètres!$A$1:$I$89,5,0)</f>
        <v>142.70256000000003</v>
      </c>
      <c r="CA69" s="14">
        <f t="shared" ref="CA69:CA132" si="93">EXP(-1.0587+0.8836*LN(BZ69)+0.284)</f>
        <v>36.91543341153259</v>
      </c>
      <c r="CB69" s="22">
        <f t="shared" si="64"/>
        <v>312.83467185841931</v>
      </c>
      <c r="CC69" s="62">
        <f t="shared" si="65"/>
        <v>606.16800519175263</v>
      </c>
      <c r="CD69" s="62">
        <f ca="1">AVERAGE(OFFSET($CC$3,0,0,'Données projet'!$E$12+1,1))-AVERAGE(OFFSET($H$3,0,0,'Données projet'!$E$12+1,1))</f>
        <v>277.27246253233807</v>
      </c>
      <c r="CE69" s="62">
        <f t="shared" ref="CE69:CE132" si="94">$CE$3</f>
        <v>269.61868559913404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198.63791999999995</v>
      </c>
      <c r="CV69" s="14">
        <f t="shared" ref="CV69:CV132" si="95">EXP(-1.0587+0.8836*LN(CU69)+0.284)</f>
        <v>49.444704816101329</v>
      </c>
      <c r="CW69" s="22">
        <f t="shared" si="67"/>
        <v>432.07723822137638</v>
      </c>
      <c r="CX69" s="62">
        <f t="shared" si="68"/>
        <v>725.41057155470969</v>
      </c>
      <c r="CY69" s="62">
        <f ca="1">AVERAGE(OFFSET($CX$3,0,0,'Données projet'!$E$13+1,1))-AVERAGE(OFFSET($H$3,0,0,'Données projet'!$E$13+1,1))</f>
        <v>402.15128814037058</v>
      </c>
      <c r="CZ69" s="62">
        <f t="shared" ref="CZ69:CZ132" si="96">$CZ$3</f>
        <v>232.85411068442738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5.6410256410256352</v>
      </c>
      <c r="DO69" s="13">
        <f>IF('Données projet'!$A$166&gt;35,DO68+DN69-DW68,IF(A69&lt;'Données projet'!$A$166,$DL$205^A69,IF(A69='Données projet'!$A$166,'Données projet'!$B$166,DO68+DN69-DW68)))</f>
        <v>267.17948717948707</v>
      </c>
      <c r="DP69" s="18">
        <f>DO69*VLOOKUP('Données projet'!$B$14,Paramètres!$A$1:$I$89,3,0)*VLOOKUP('Données projet'!$B$14,Paramètres!$A$1:$I$89,5,0)</f>
        <v>254.24799999999991</v>
      </c>
      <c r="DQ69" s="14">
        <f t="shared" ref="DQ69:DQ132" si="97">EXP(-1.0587+0.8836*LN(DP69)+0.284)</f>
        <v>61.49469217537964</v>
      </c>
      <c r="DR69" s="22">
        <f t="shared" si="70"/>
        <v>549.91852220545263</v>
      </c>
      <c r="DS69" s="62">
        <f t="shared" si="71"/>
        <v>843.251855538786</v>
      </c>
      <c r="DT69" s="62">
        <f ca="1">AVERAGE(OFFSET($DS$3,0,0,'Données projet'!$E$14+1,1))-AVERAGE(OFFSET($H$3,0,0,'Données projet'!$E$14+1,1))</f>
        <v>485.18236169209541</v>
      </c>
      <c r="DU69" s="62">
        <f t="shared" ref="DU69:DU132" si="98">$DU$3</f>
        <v>417.30339652956951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5.2</v>
      </c>
      <c r="EJ69" s="13">
        <f>IF('Données projet'!$A$192&gt;35,EJ68+EI69-ER68,IF(A69&lt;'Données projet'!$A$192,$EG$205^A69,IF(A69='Données projet'!$A$192,'Données projet'!$B$192,EJ68+EI69-ER68)))</f>
        <v>361.1999999999997</v>
      </c>
      <c r="EK69" s="18">
        <f>EJ69*VLOOKUP('Données projet'!$B$15,Paramètres!$A$1:$I$89,3,0)*VLOOKUP('Données projet'!$B$15,Paramètres!$A$1:$I$89,5,0)</f>
        <v>287.37071999999978</v>
      </c>
      <c r="EL69" s="14">
        <f t="shared" ref="EL69:EL132" si="99">EXP(-1.0587+0.8836*LN(EK69)+0.284)</f>
        <v>68.522290556506064</v>
      </c>
      <c r="EM69" s="22">
        <f t="shared" si="73"/>
        <v>619.84699338591429</v>
      </c>
      <c r="EN69" s="62">
        <f t="shared" si="74"/>
        <v>913.18032671924766</v>
      </c>
      <c r="EO69" s="62">
        <f ca="1">AVERAGE(OFFSET($EN$3,0,0,'Données projet'!$E$15+1,1))-AVERAGE(OFFSET($H$3,0,0,'Données projet'!$E$15+1,1))</f>
        <v>427.78067187784063</v>
      </c>
      <c r="EP69" s="62">
        <f t="shared" ref="EP69:EP132" si="100">$EP$3</f>
        <v>464.22892523825118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13.777777777777779</v>
      </c>
      <c r="FE69" s="13">
        <f>IF('Données projet'!$A$218&gt;35,FE68+FD69-FM68,IF(A69&lt;'Données projet'!$A$218,$FB$205^A69,IF(A69='Données projet'!$A$218,'Données projet'!$B$218,FE68+FD69-FM68)))</f>
        <v>316.66666666666646</v>
      </c>
      <c r="FF69" s="18">
        <f>FE69*VLOOKUP('Données projet'!$B$16,Paramètres!$A$1:$I$89,3,0)*VLOOKUP('Données projet'!$B$16,Paramètres!$A$1:$I$89,5,0)</f>
        <v>271.69999999999987</v>
      </c>
      <c r="FG69" s="14">
        <f t="shared" ref="FG69:FG132" si="101">EXP(-1.0587+0.8836*LN(FF69)+0.284)</f>
        <v>65.209920294809322</v>
      </c>
      <c r="FH69" s="22">
        <f t="shared" si="76"/>
        <v>586.78477784679262</v>
      </c>
      <c r="FI69" s="62">
        <f t="shared" si="77"/>
        <v>880.11811118012588</v>
      </c>
      <c r="FJ69" s="62">
        <f ca="1">AVERAGE(OFFSET($FI$3,0,0,'Données projet'!$E$16+1,1))-AVERAGE(OFFSET($H$3,0,0,'Données projet'!$E$16+1,1))</f>
        <v>448.44001099301806</v>
      </c>
      <c r="FK69" s="62">
        <f t="shared" ref="FK69:FK132" si="102">$FK$3</f>
        <v>230.82970731138215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5.8974358974359005</v>
      </c>
      <c r="FZ69" s="13">
        <f>IF('Données projet'!$A$244&gt;35,FZ68+FY69-GH68,IF(A69&lt;'Données projet'!$A$244,$FW$205^A69,IF(A69='Données projet'!$A$244,'Données projet'!$B$244,FZ68+FY69-GH68)))</f>
        <v>325.12820512820491</v>
      </c>
      <c r="GA69" s="18">
        <f>FZ69*VLOOKUP('Données projet'!$B$17,Paramètres!$A$1:$I$89,3,0)*VLOOKUP('Données projet'!$B$17,Paramètres!$A$1:$I$89,5,0)</f>
        <v>218.09599999999986</v>
      </c>
      <c r="GB69" s="14">
        <f t="shared" ref="GB69:GB132" si="103">EXP(-1.0587+0.8836*LN(GA69)+0.284)</f>
        <v>53.700851612092265</v>
      </c>
      <c r="GC69" s="22">
        <f t="shared" si="79"/>
        <v>473.37951655772713</v>
      </c>
      <c r="GD69" s="62">
        <f t="shared" si="80"/>
        <v>766.71284989106039</v>
      </c>
      <c r="GE69" s="62">
        <f ca="1">AVERAGE(OFFSET($GD$3,0,0,'Données projet'!$E$17+1,1))-AVERAGE(OFFSET($H$3,0,0,'Données projet'!$E$17+1,1))</f>
        <v>408.91016501484626</v>
      </c>
      <c r="GF69" s="62">
        <f t="shared" ref="GF69:GF132" si="104">$GF$3</f>
        <v>354.22396807666433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8.1999999999999993</v>
      </c>
      <c r="GU69" s="13">
        <f>IF('Données projet'!$A$270&gt;35,GU68+GT69-HC68,IF(A69&lt;'Données projet'!$A$270,$GR$205^A69,IF(A69='Données projet'!$A$270,'Données projet'!$B$270,GU68+GT69-HC68)))</f>
        <v>269.2</v>
      </c>
      <c r="GV69" s="18">
        <f>GU69*VLOOKUP('Données projet'!$B$18,Paramètres!$A$1:$I$89,3,0)*VLOOKUP('Données projet'!$B$18,Paramètres!$A$1:$I$89,5,0)</f>
        <v>260.37024000000002</v>
      </c>
      <c r="GW69" s="14">
        <f t="shared" ref="GW69:GW132" si="105">EXP(-1.0587+0.8836*LN(GV69)+0.284)</f>
        <v>62.801291625234725</v>
      </c>
      <c r="GX69" s="22">
        <f t="shared" si="82"/>
        <v>562.85708424728386</v>
      </c>
      <c r="GY69" s="62">
        <f t="shared" si="83"/>
        <v>856.19041758061712</v>
      </c>
      <c r="GZ69" s="62">
        <f ca="1">AVERAGE(OFFSET($GY$3,0,0,'Données projet'!$E$18+1,1))-AVERAGE(OFFSET($H$3,0,0,'Données projet'!$E$18+1,1))</f>
        <v>562.69380557620775</v>
      </c>
      <c r="HA69" s="62">
        <f t="shared" ref="HA69:HA132" si="106">$HA$3</f>
        <v>294.45557293177131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529.25712986118265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8.6666666666666661</v>
      </c>
      <c r="AI70" s="14">
        <f>IF('Données projet'!$A$62&gt;35,AI69+AH70-AQ69,IF(A70&lt;'Données projet'!$A$62,$AF$205^A70,IF(A70='Données projet'!$A$62,'Données projet'!$B$62,AI69+AH70-AQ69)))</f>
        <v>310.66666666666674</v>
      </c>
      <c r="AJ70" s="14">
        <f>AI70*VLOOKUP('Données projet'!$B$10,Paramètres!$A$1:$I$89,3,0)*VLOOKUP('Données projet'!$B$10,Paramètres!$A$1:$I$89,5,0)</f>
        <v>242.32000000000008</v>
      </c>
      <c r="AK70" s="14">
        <f t="shared" si="89"/>
        <v>58.938409961900909</v>
      </c>
      <c r="AL70" s="22">
        <f t="shared" si="58"/>
        <v>524.69173068364421</v>
      </c>
      <c r="AM70" s="62">
        <f t="shared" si="59"/>
        <v>818.02506401697747</v>
      </c>
      <c r="AN70" s="62">
        <f ca="1">AVERAGE(OFFSET($AM$3,0,0,'Données projet'!$E$10+1,1))-AVERAGE(OFFSET($H$3,0,0,'Données projet'!$E$10+1,1))</f>
        <v>292.57482726862594</v>
      </c>
      <c r="AO70" s="62">
        <f t="shared" si="90"/>
        <v>283.48738729114024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366.39999999999969</v>
      </c>
      <c r="BE70" s="14">
        <f>BD70*VLOOKUP('Données projet'!$B$11,Paramètres!$A$1:$I$89,3,0)*VLOOKUP('Données projet'!$B$11,Paramètres!$A$1:$I$89,5,0)</f>
        <v>268.64447999999976</v>
      </c>
      <c r="BF70" s="14">
        <f t="shared" si="91"/>
        <v>64.561509519469539</v>
      </c>
      <c r="BG70" s="22">
        <f t="shared" si="61"/>
        <v>580.33376507974242</v>
      </c>
      <c r="BH70" s="62">
        <f t="shared" si="62"/>
        <v>873.66709841307579</v>
      </c>
      <c r="BI70" s="62">
        <f ca="1">AVERAGE(OFFSET($BH$3,0,0,'Données projet'!$E$11+1,1))-AVERAGE(OFFSET($H$3,0,0,'Données projet'!$E$11+1,1))</f>
        <v>397.24545766894346</v>
      </c>
      <c r="BJ70" s="62">
        <f t="shared" si="92"/>
        <v>431.44557882369696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4.8</v>
      </c>
      <c r="BY70" s="13">
        <f>IF('Données projet'!$A$114&gt;35,BY69+BX70-CG69,IF(A70&lt;'Données projet'!$A$114,$BV$205^A70,IF(A70='Données projet'!$A$114,'Données projet'!$B$114,BY69+BX70-CG69)))</f>
        <v>222.60000000000008</v>
      </c>
      <c r="BZ70" s="14">
        <f>BY70*VLOOKUP('Données projet'!$B$12,Paramètres!$A$1:$I$89,3,0)*VLOOKUP('Données projet'!$B$12,Paramètres!$A$1:$I$89,5,0)</f>
        <v>145.84752000000006</v>
      </c>
      <c r="CA70" s="14">
        <f t="shared" si="93"/>
        <v>37.633383344887093</v>
      </c>
      <c r="CB70" s="22">
        <f t="shared" si="64"/>
        <v>319.56257332567844</v>
      </c>
      <c r="CC70" s="62">
        <f t="shared" si="65"/>
        <v>612.89590665901176</v>
      </c>
      <c r="CD70" s="62">
        <f ca="1">AVERAGE(OFFSET($CC$3,0,0,'Données projet'!$E$12+1,1))-AVERAGE(OFFSET($H$3,0,0,'Données projet'!$E$12+1,1))</f>
        <v>277.27246253233807</v>
      </c>
      <c r="CE70" s="62">
        <f t="shared" si="94"/>
        <v>269.61868559913404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204.36623999999995</v>
      </c>
      <c r="CV70" s="14">
        <f t="shared" si="95"/>
        <v>50.702525713362093</v>
      </c>
      <c r="CW70" s="22">
        <f t="shared" si="67"/>
        <v>444.24476695077215</v>
      </c>
      <c r="CX70" s="62">
        <f t="shared" si="68"/>
        <v>737.5781002841054</v>
      </c>
      <c r="CY70" s="62">
        <f ca="1">AVERAGE(OFFSET($CX$3,0,0,'Données projet'!$E$13+1,1))-AVERAGE(OFFSET($H$3,0,0,'Données projet'!$E$13+1,1))</f>
        <v>402.15128814037058</v>
      </c>
      <c r="CZ70" s="62">
        <f t="shared" si="96"/>
        <v>232.85411068442738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5.6410256410256352</v>
      </c>
      <c r="DO70" s="13">
        <f>IF('Données projet'!$A$166&gt;35,DO69+DN70-DW69,IF(A70&lt;'Données projet'!$A$166,$DL$205^A70,IF(A70='Données projet'!$A$166,'Données projet'!$B$166,DO69+DN70-DW69)))</f>
        <v>272.8205128205127</v>
      </c>
      <c r="DP70" s="18">
        <f>DO70*VLOOKUP('Données projet'!$B$14,Paramètres!$A$1:$I$89,3,0)*VLOOKUP('Données projet'!$B$14,Paramètres!$A$1:$I$89,5,0)</f>
        <v>259.61599999999993</v>
      </c>
      <c r="DQ70" s="14">
        <f t="shared" si="97"/>
        <v>62.640517634227763</v>
      </c>
      <c r="DR70" s="22">
        <f t="shared" si="70"/>
        <v>561.26343487961321</v>
      </c>
      <c r="DS70" s="62">
        <f t="shared" si="71"/>
        <v>854.59676821294647</v>
      </c>
      <c r="DT70" s="62">
        <f ca="1">AVERAGE(OFFSET($DS$3,0,0,'Données projet'!$E$14+1,1))-AVERAGE(OFFSET($H$3,0,0,'Données projet'!$E$14+1,1))</f>
        <v>485.18236169209541</v>
      </c>
      <c r="DU70" s="62">
        <f t="shared" si="98"/>
        <v>417.30339652956951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5.2</v>
      </c>
      <c r="EJ70" s="13">
        <f>IF('Données projet'!$A$192&gt;35,EJ69+EI70-ER69,IF(A70&lt;'Données projet'!$A$192,$EG$205^A70,IF(A70='Données projet'!$A$192,'Données projet'!$B$192,EJ69+EI70-ER69)))</f>
        <v>366.39999999999969</v>
      </c>
      <c r="EK70" s="18">
        <f>EJ70*VLOOKUP('Données projet'!$B$15,Paramètres!$A$1:$I$89,3,0)*VLOOKUP('Données projet'!$B$15,Paramètres!$A$1:$I$89,5,0)</f>
        <v>291.50783999999976</v>
      </c>
      <c r="EL70" s="14">
        <f t="shared" si="99"/>
        <v>69.393216206200947</v>
      </c>
      <c r="EM70" s="22">
        <f t="shared" si="73"/>
        <v>628.5693395591328</v>
      </c>
      <c r="EN70" s="62">
        <f t="shared" si="74"/>
        <v>921.90267289246617</v>
      </c>
      <c r="EO70" s="62">
        <f ca="1">AVERAGE(OFFSET($EN$3,0,0,'Données projet'!$E$15+1,1))-AVERAGE(OFFSET($H$3,0,0,'Données projet'!$E$15+1,1))</f>
        <v>427.78067187784063</v>
      </c>
      <c r="EP70" s="62">
        <f t="shared" si="100"/>
        <v>464.22892523825118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13.777777777777779</v>
      </c>
      <c r="FE70" s="13">
        <f>IF('Données projet'!$A$218&gt;35,FE69+FD70-FM69,IF(A70&lt;'Données projet'!$A$218,$FB$205^A70,IF(A70='Données projet'!$A$218,'Données projet'!$B$218,FE69+FD70-FM69)))</f>
        <v>330.44444444444423</v>
      </c>
      <c r="FF70" s="18">
        <f>FE70*VLOOKUP('Données projet'!$B$16,Paramètres!$A$1:$I$89,3,0)*VLOOKUP('Données projet'!$B$16,Paramètres!$A$1:$I$89,5,0)</f>
        <v>283.52133333333319</v>
      </c>
      <c r="FG70" s="14">
        <f t="shared" si="101"/>
        <v>67.71062569759917</v>
      </c>
      <c r="FH70" s="22">
        <f t="shared" si="76"/>
        <v>611.72899531220708</v>
      </c>
      <c r="FI70" s="62">
        <f t="shared" si="77"/>
        <v>905.06232864554045</v>
      </c>
      <c r="FJ70" s="62">
        <f ca="1">AVERAGE(OFFSET($FI$3,0,0,'Données projet'!$E$16+1,1))-AVERAGE(OFFSET($H$3,0,0,'Données projet'!$E$16+1,1))</f>
        <v>448.44001099301806</v>
      </c>
      <c r="FK70" s="62">
        <f t="shared" si="102"/>
        <v>230.82970731138215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5.8974358974359005</v>
      </c>
      <c r="FZ70" s="13">
        <f>IF('Données projet'!$A$244&gt;35,FZ69+FY70-GH69,IF(A70&lt;'Données projet'!$A$244,$FW$205^A70,IF(A70='Données projet'!$A$244,'Données projet'!$B$244,FZ69+FY70-GH69)))</f>
        <v>331.02564102564082</v>
      </c>
      <c r="GA70" s="18">
        <f>FZ70*VLOOKUP('Données projet'!$B$17,Paramètres!$A$1:$I$89,3,0)*VLOOKUP('Données projet'!$B$17,Paramètres!$A$1:$I$89,5,0)</f>
        <v>222.05199999999985</v>
      </c>
      <c r="GB70" s="14">
        <f t="shared" si="103"/>
        <v>54.560636512710779</v>
      </c>
      <c r="GC70" s="22">
        <f t="shared" si="79"/>
        <v>481.76700859297108</v>
      </c>
      <c r="GD70" s="62">
        <f t="shared" si="80"/>
        <v>775.1003419263044</v>
      </c>
      <c r="GE70" s="62">
        <f ca="1">AVERAGE(OFFSET($GD$3,0,0,'Données projet'!$E$17+1,1))-AVERAGE(OFFSET($H$3,0,0,'Données projet'!$E$17+1,1))</f>
        <v>408.91016501484626</v>
      </c>
      <c r="GF70" s="62">
        <f t="shared" si="104"/>
        <v>354.22396807666433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8.1999999999999993</v>
      </c>
      <c r="GU70" s="13">
        <f>IF('Données projet'!$A$270&gt;35,GU69+GT70-HC69,IF(A70&lt;'Données projet'!$A$270,$GR$205^A70,IF(A70='Données projet'!$A$270,'Données projet'!$B$270,GU69+GT70-HC69)))</f>
        <v>277.39999999999998</v>
      </c>
      <c r="GV70" s="18">
        <f>GU70*VLOOKUP('Données projet'!$B$18,Paramètres!$A$1:$I$89,3,0)*VLOOKUP('Données projet'!$B$18,Paramètres!$A$1:$I$89,5,0)</f>
        <v>268.30127999999996</v>
      </c>
      <c r="GW70" s="14">
        <f t="shared" si="105"/>
        <v>64.488625713042012</v>
      </c>
      <c r="GX70" s="22">
        <f t="shared" si="82"/>
        <v>579.60908578354815</v>
      </c>
      <c r="GY70" s="62">
        <f t="shared" si="83"/>
        <v>872.94241911688141</v>
      </c>
      <c r="GZ70" s="62">
        <f ca="1">AVERAGE(OFFSET($GY$3,0,0,'Données projet'!$E$18+1,1))-AVERAGE(OFFSET($H$3,0,0,'Données projet'!$E$18+1,1))</f>
        <v>562.69380557620775</v>
      </c>
      <c r="HA70" s="62">
        <f t="shared" si="106"/>
        <v>294.45557293177131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529.25712986118265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8.6666666666666661</v>
      </c>
      <c r="AI71" s="14">
        <f>IF('Données projet'!$A$62&gt;35,AI70+AH71-AQ70,IF(A71&lt;'Données projet'!$A$62,$AF$205^A71,IF(A71='Données projet'!$A$62,'Données projet'!$B$62,AI70+AH71-AQ70)))</f>
        <v>319.33333333333343</v>
      </c>
      <c r="AJ71" s="14">
        <f>AI71*VLOOKUP('Données projet'!$B$10,Paramètres!$A$1:$I$89,3,0)*VLOOKUP('Données projet'!$B$10,Paramètres!$A$1:$I$89,5,0)</f>
        <v>249.08000000000007</v>
      </c>
      <c r="AK71" s="14">
        <f t="shared" si="89"/>
        <v>60.388894447487807</v>
      </c>
      <c r="AL71" s="22">
        <f t="shared" si="58"/>
        <v>538.99165782937473</v>
      </c>
      <c r="AM71" s="62">
        <f t="shared" si="59"/>
        <v>832.3249911627081</v>
      </c>
      <c r="AN71" s="62">
        <f ca="1">AVERAGE(OFFSET($AM$3,0,0,'Données projet'!$E$10+1,1))-AVERAGE(OFFSET($H$3,0,0,'Données projet'!$E$10+1,1))</f>
        <v>292.57482726862594</v>
      </c>
      <c r="AO71" s="62">
        <f t="shared" si="90"/>
        <v>283.48738729114024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371.59999999999968</v>
      </c>
      <c r="BE71" s="14">
        <f>BD71*VLOOKUP('Données projet'!$B$11,Paramètres!$A$1:$I$89,3,0)*VLOOKUP('Données projet'!$B$11,Paramètres!$A$1:$I$89,5,0)</f>
        <v>272.45711999999975</v>
      </c>
      <c r="BF71" s="14">
        <f t="shared" si="91"/>
        <v>65.37045690559151</v>
      </c>
      <c r="BG71" s="22">
        <f t="shared" si="61"/>
        <v>588.38302977723811</v>
      </c>
      <c r="BH71" s="62">
        <f t="shared" si="62"/>
        <v>881.71636311057136</v>
      </c>
      <c r="BI71" s="62">
        <f ca="1">AVERAGE(OFFSET($BH$3,0,0,'Données projet'!$E$11+1,1))-AVERAGE(OFFSET($H$3,0,0,'Données projet'!$E$11+1,1))</f>
        <v>397.24545766894346</v>
      </c>
      <c r="BJ71" s="62">
        <f t="shared" si="92"/>
        <v>431.44557882369696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4.8</v>
      </c>
      <c r="BY71" s="13">
        <f>IF('Données projet'!$A$114&gt;35,BY70+BX71-CG70,IF(A71&lt;'Données projet'!$A$114,$BV$205^A71,IF(A71='Données projet'!$A$114,'Données projet'!$B$114,BY70+BX71-CG70)))</f>
        <v>227.40000000000009</v>
      </c>
      <c r="BZ71" s="14">
        <f>BY71*VLOOKUP('Données projet'!$B$12,Paramètres!$A$1:$I$89,3,0)*VLOOKUP('Données projet'!$B$12,Paramètres!$A$1:$I$89,5,0)</f>
        <v>148.99248000000006</v>
      </c>
      <c r="CA71" s="14">
        <f t="shared" si="93"/>
        <v>38.349533355462334</v>
      </c>
      <c r="CB71" s="22">
        <f t="shared" si="64"/>
        <v>326.28733992743037</v>
      </c>
      <c r="CC71" s="62">
        <f t="shared" si="65"/>
        <v>619.62067326076362</v>
      </c>
      <c r="CD71" s="62">
        <f ca="1">AVERAGE(OFFSET($CC$3,0,0,'Données projet'!$E$12+1,1))-AVERAGE(OFFSET($H$3,0,0,'Données projet'!$E$12+1,1))</f>
        <v>277.27246253233807</v>
      </c>
      <c r="CE71" s="62">
        <f t="shared" si="94"/>
        <v>269.61868559913404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210.09456</v>
      </c>
      <c r="CV71" s="14">
        <f t="shared" si="95"/>
        <v>51.956248895959689</v>
      </c>
      <c r="CW71" s="22">
        <f t="shared" si="67"/>
        <v>456.40515882712975</v>
      </c>
      <c r="CX71" s="62">
        <f t="shared" si="68"/>
        <v>749.73849216046301</v>
      </c>
      <c r="CY71" s="62">
        <f ca="1">AVERAGE(OFFSET($CX$3,0,0,'Données projet'!$E$13+1,1))-AVERAGE(OFFSET($H$3,0,0,'Données projet'!$E$13+1,1))</f>
        <v>402.15128814037058</v>
      </c>
      <c r="CZ71" s="62">
        <f t="shared" si="96"/>
        <v>232.85411068442738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5.6410256410256352</v>
      </c>
      <c r="DO71" s="13">
        <f>IF('Données projet'!$A$166&gt;35,DO70+DN71-DW70,IF(A71&lt;'Données projet'!$A$166,$DL$205^A71,IF(A71='Données projet'!$A$166,'Données projet'!$B$166,DO70+DN71-DW70)))</f>
        <v>278.46153846153834</v>
      </c>
      <c r="DP71" s="18">
        <f>DO71*VLOOKUP('Données projet'!$B$14,Paramètres!$A$1:$I$89,3,0)*VLOOKUP('Données projet'!$B$14,Paramètres!$A$1:$I$89,5,0)</f>
        <v>264.98399999999987</v>
      </c>
      <c r="DQ71" s="14">
        <f t="shared" si="97"/>
        <v>63.783588466746281</v>
      </c>
      <c r="DR71" s="22">
        <f t="shared" si="70"/>
        <v>572.60354991291615</v>
      </c>
      <c r="DS71" s="62">
        <f t="shared" si="71"/>
        <v>865.93688324624941</v>
      </c>
      <c r="DT71" s="62">
        <f ca="1">AVERAGE(OFFSET($DS$3,0,0,'Données projet'!$E$14+1,1))-AVERAGE(OFFSET($H$3,0,0,'Données projet'!$E$14+1,1))</f>
        <v>485.18236169209541</v>
      </c>
      <c r="DU71" s="62">
        <f t="shared" si="98"/>
        <v>417.30339652956951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5.2</v>
      </c>
      <c r="EJ71" s="13">
        <f>IF('Données projet'!$A$192&gt;35,EJ70+EI71-ER70,IF(A71&lt;'Données projet'!$A$192,$EG$205^A71,IF(A71='Données projet'!$A$192,'Données projet'!$B$192,EJ70+EI71-ER70)))</f>
        <v>371.59999999999968</v>
      </c>
      <c r="EK71" s="18">
        <f>EJ71*VLOOKUP('Données projet'!$B$15,Paramètres!$A$1:$I$89,3,0)*VLOOKUP('Données projet'!$B$15,Paramètres!$A$1:$I$89,5,0)</f>
        <v>295.6449599999998</v>
      </c>
      <c r="EL71" s="14">
        <f t="shared" si="99"/>
        <v>70.26270425383828</v>
      </c>
      <c r="EM71" s="22">
        <f t="shared" si="73"/>
        <v>637.289181908768</v>
      </c>
      <c r="EN71" s="62">
        <f t="shared" si="74"/>
        <v>930.62251524210137</v>
      </c>
      <c r="EO71" s="62">
        <f ca="1">AVERAGE(OFFSET($EN$3,0,0,'Données projet'!$E$15+1,1))-AVERAGE(OFFSET($H$3,0,0,'Données projet'!$E$15+1,1))</f>
        <v>427.78067187784063</v>
      </c>
      <c r="EP71" s="62">
        <f t="shared" si="100"/>
        <v>464.22892523825118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13.777777777777779</v>
      </c>
      <c r="FE71" s="13">
        <f>IF('Données projet'!$A$218&gt;35,FE70+FD71-FM70,IF(A71&lt;'Données projet'!$A$218,$FB$205^A71,IF(A71='Données projet'!$A$218,'Données projet'!$B$218,FE70+FD71-FM70)))</f>
        <v>344.222222222222</v>
      </c>
      <c r="FF71" s="18">
        <f>FE71*VLOOKUP('Données projet'!$B$16,Paramètres!$A$1:$I$89,3,0)*VLOOKUP('Données projet'!$B$16,Paramètres!$A$1:$I$89,5,0)</f>
        <v>295.3426666666665</v>
      </c>
      <c r="FG71" s="14">
        <f t="shared" si="101"/>
        <v>70.199220220485287</v>
      </c>
      <c r="FH71" s="22">
        <f t="shared" si="76"/>
        <v>636.65211966178947</v>
      </c>
      <c r="FI71" s="62">
        <f t="shared" si="77"/>
        <v>929.98545299512284</v>
      </c>
      <c r="FJ71" s="62">
        <f ca="1">AVERAGE(OFFSET($FI$3,0,0,'Données projet'!$E$16+1,1))-AVERAGE(OFFSET($H$3,0,0,'Données projet'!$E$16+1,1))</f>
        <v>448.44001099301806</v>
      </c>
      <c r="FK71" s="62">
        <f t="shared" si="102"/>
        <v>230.82970731138215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5.8974358974359005</v>
      </c>
      <c r="FZ71" s="13">
        <f>IF('Données projet'!$A$244&gt;35,FZ70+FY71-GH70,IF(A71&lt;'Données projet'!$A$244,$FW$205^A71,IF(A71='Données projet'!$A$244,'Données projet'!$B$244,FZ70+FY71-GH70)))</f>
        <v>336.92307692307674</v>
      </c>
      <c r="GA71" s="18">
        <f>FZ71*VLOOKUP('Données projet'!$B$17,Paramètres!$A$1:$I$89,3,0)*VLOOKUP('Données projet'!$B$17,Paramètres!$A$1:$I$89,5,0)</f>
        <v>226.00799999999987</v>
      </c>
      <c r="GB71" s="14">
        <f t="shared" si="103"/>
        <v>55.418640189703332</v>
      </c>
      <c r="GC71" s="22">
        <f t="shared" si="79"/>
        <v>490.15139833039979</v>
      </c>
      <c r="GD71" s="62">
        <f t="shared" si="80"/>
        <v>783.4847316637331</v>
      </c>
      <c r="GE71" s="62">
        <f ca="1">AVERAGE(OFFSET($GD$3,0,0,'Données projet'!$E$17+1,1))-AVERAGE(OFFSET($H$3,0,0,'Données projet'!$E$17+1,1))</f>
        <v>408.91016501484626</v>
      </c>
      <c r="GF71" s="62">
        <f t="shared" si="104"/>
        <v>354.22396807666433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8.1999999999999993</v>
      </c>
      <c r="GU71" s="13">
        <f>IF('Données projet'!$A$270&gt;35,GU70+GT71-HC70,IF(A71&lt;'Données projet'!$A$270,$GR$205^A71,IF(A71='Données projet'!$A$270,'Données projet'!$B$270,GU70+GT71-HC70)))</f>
        <v>285.59999999999997</v>
      </c>
      <c r="GV71" s="18">
        <f>GU71*VLOOKUP('Données projet'!$B$18,Paramètres!$A$1:$I$89,3,0)*VLOOKUP('Données projet'!$B$18,Paramètres!$A$1:$I$89,5,0)</f>
        <v>276.23231999999996</v>
      </c>
      <c r="GW71" s="14">
        <f t="shared" si="105"/>
        <v>66.170163093943458</v>
      </c>
      <c r="GX71" s="22">
        <f t="shared" si="82"/>
        <v>596.35099138861813</v>
      </c>
      <c r="GY71" s="62">
        <f t="shared" si="83"/>
        <v>889.6843247219515</v>
      </c>
      <c r="GZ71" s="62">
        <f ca="1">AVERAGE(OFFSET($GY$3,0,0,'Données projet'!$E$18+1,1))-AVERAGE(OFFSET($H$3,0,0,'Données projet'!$E$18+1,1))</f>
        <v>562.69380557620775</v>
      </c>
      <c r="HA71" s="62">
        <f t="shared" si="106"/>
        <v>294.45557293177131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529.25712986118265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328</v>
      </c>
      <c r="AG72" s="13">
        <f>VLOOKUP(A72,'Données projet'!$A$61:$I$81,9,0)</f>
        <v>8.6666666666666661</v>
      </c>
      <c r="AH72" s="13">
        <f t="array" ref="AH72">INDEX(AG:AG,MIN(IF(ISNUMBER(AG72:AG268),ROW(AG72:AG268),"")))</f>
        <v>8.6666666666666661</v>
      </c>
      <c r="AI72" s="14">
        <f>IF('Données projet'!$A$62&gt;35,AI71+AH72-AQ71,IF(A72&lt;'Données projet'!$A$62,$AF$205^A72,IF(A72='Données projet'!$A$62,'Données projet'!$B$62,AI71+AH72-AQ71)))</f>
        <v>328.00000000000011</v>
      </c>
      <c r="AJ72" s="14">
        <f>AI72*VLOOKUP('Données projet'!$B$10,Paramètres!$A$1:$I$89,3,0)*VLOOKUP('Données projet'!$B$10,Paramètres!$A$1:$I$89,5,0)</f>
        <v>255.84000000000009</v>
      </c>
      <c r="AK72" s="14">
        <f t="shared" si="89"/>
        <v>61.834803371075836</v>
      </c>
      <c r="AL72" s="22">
        <f t="shared" si="58"/>
        <v>553.28361587129064</v>
      </c>
      <c r="AM72" s="62">
        <f t="shared" si="59"/>
        <v>846.61694920462401</v>
      </c>
      <c r="AN72" s="62">
        <f ca="1">AVERAGE(OFFSET($AM$3,0,0,'Données projet'!$E$10+1,1))-AVERAGE(OFFSET($H$3,0,0,'Données projet'!$E$10+1,1))</f>
        <v>292.57482726862594</v>
      </c>
      <c r="AO72" s="62">
        <f t="shared" si="90"/>
        <v>283.48738729114024</v>
      </c>
      <c r="AP72" s="16">
        <f>IF(ISNA(VLOOKUP(A72,'Données projet'!$A$61:$I$81,3,0)),0,VLOOKUP(A72,'Données projet'!$A$61:$I$81,3,0))</f>
        <v>7</v>
      </c>
      <c r="AQ72" s="16">
        <f>IF(ISNA(VLOOKUP(A72,'Données projet'!$A$61:$I$81,4,0)),0,VLOOKUP(A72,'Données projet'!$A$61:$I$81,4,0))</f>
        <v>328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376.79999999999967</v>
      </c>
      <c r="BE72" s="14">
        <f>BD72*VLOOKUP('Données projet'!$B$11,Paramètres!$A$1:$I$89,3,0)*VLOOKUP('Données projet'!$B$11,Paramètres!$A$1:$I$89,5,0)</f>
        <v>276.26975999999974</v>
      </c>
      <c r="BF72" s="14">
        <f t="shared" si="91"/>
        <v>66.17808766630985</v>
      </c>
      <c r="BG72" s="22">
        <f t="shared" si="61"/>
        <v>596.43000135215584</v>
      </c>
      <c r="BH72" s="62">
        <f t="shared" si="62"/>
        <v>889.7633346854891</v>
      </c>
      <c r="BI72" s="62">
        <f ca="1">AVERAGE(OFFSET($BH$3,0,0,'Données projet'!$E$11+1,1))-AVERAGE(OFFSET($H$3,0,0,'Données projet'!$E$11+1,1))</f>
        <v>397.24545766894346</v>
      </c>
      <c r="BJ72" s="62">
        <f t="shared" si="92"/>
        <v>431.44557882369696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4.8</v>
      </c>
      <c r="BY72" s="13">
        <f>IF('Données projet'!$A$114&gt;35,BY71+BX72-CG71,IF(A72&lt;'Données projet'!$A$114,$BV$205^A72,IF(A72='Données projet'!$A$114,'Données projet'!$B$114,BY71+BX72-CG71)))</f>
        <v>232.2000000000001</v>
      </c>
      <c r="BZ72" s="14">
        <f>BY72*VLOOKUP('Données projet'!$B$12,Paramètres!$A$1:$I$89,3,0)*VLOOKUP('Données projet'!$B$12,Paramètres!$A$1:$I$89,5,0)</f>
        <v>152.13744000000008</v>
      </c>
      <c r="CA72" s="14">
        <f t="shared" si="93"/>
        <v>39.063925813036128</v>
      </c>
      <c r="CB72" s="22">
        <f t="shared" si="64"/>
        <v>333.0090454577047</v>
      </c>
      <c r="CC72" s="62">
        <f t="shared" si="65"/>
        <v>626.34237879103807</v>
      </c>
      <c r="CD72" s="62">
        <f ca="1">AVERAGE(OFFSET($CC$3,0,0,'Données projet'!$E$12+1,1))-AVERAGE(OFFSET($H$3,0,0,'Données projet'!$E$12+1,1))</f>
        <v>277.27246253233807</v>
      </c>
      <c r="CE72" s="62">
        <f t="shared" si="94"/>
        <v>269.61868559913404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215.82287999999997</v>
      </c>
      <c r="CV72" s="14">
        <f t="shared" si="95"/>
        <v>53.205998928315829</v>
      </c>
      <c r="CW72" s="22">
        <f t="shared" si="67"/>
        <v>468.55863080015001</v>
      </c>
      <c r="CX72" s="62">
        <f t="shared" si="68"/>
        <v>761.89196413348327</v>
      </c>
      <c r="CY72" s="62">
        <f ca="1">AVERAGE(OFFSET($CX$3,0,0,'Données projet'!$E$13+1,1))-AVERAGE(OFFSET($H$3,0,0,'Données projet'!$E$13+1,1))</f>
        <v>402.15128814037058</v>
      </c>
      <c r="CZ72" s="62">
        <f t="shared" si="96"/>
        <v>232.85411068442738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5.6410256410256352</v>
      </c>
      <c r="DO72" s="13">
        <f>IF('Données projet'!$A$166&gt;35,DO71+DN72-DW71,IF(A72&lt;'Données projet'!$A$166,$DL$205^A72,IF(A72='Données projet'!$A$166,'Données projet'!$B$166,DO71+DN72-DW71)))</f>
        <v>284.10256410256397</v>
      </c>
      <c r="DP72" s="18">
        <f>DO72*VLOOKUP('Données projet'!$B$14,Paramètres!$A$1:$I$89,3,0)*VLOOKUP('Données projet'!$B$14,Paramètres!$A$1:$I$89,5,0)</f>
        <v>270.35199999999986</v>
      </c>
      <c r="DQ72" s="14">
        <f t="shared" si="97"/>
        <v>64.923966906317418</v>
      </c>
      <c r="DR72" s="22">
        <f t="shared" si="70"/>
        <v>583.93897569516923</v>
      </c>
      <c r="DS72" s="62">
        <f t="shared" si="71"/>
        <v>877.2723090285026</v>
      </c>
      <c r="DT72" s="62">
        <f ca="1">AVERAGE(OFFSET($DS$3,0,0,'Données projet'!$E$14+1,1))-AVERAGE(OFFSET($H$3,0,0,'Données projet'!$E$14+1,1))</f>
        <v>485.18236169209541</v>
      </c>
      <c r="DU72" s="62">
        <f t="shared" si="98"/>
        <v>417.30339652956951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5.2</v>
      </c>
      <c r="EJ72" s="13">
        <f>IF('Données projet'!$A$192&gt;35,EJ71+EI72-ER71,IF(A72&lt;'Données projet'!$A$192,$EG$205^A72,IF(A72='Données projet'!$A$192,'Données projet'!$B$192,EJ71+EI72-ER71)))</f>
        <v>376.79999999999967</v>
      </c>
      <c r="EK72" s="18">
        <f>EJ72*VLOOKUP('Données projet'!$B$15,Paramètres!$A$1:$I$89,3,0)*VLOOKUP('Données projet'!$B$15,Paramètres!$A$1:$I$89,5,0)</f>
        <v>299.78207999999978</v>
      </c>
      <c r="EL72" s="14">
        <f t="shared" si="99"/>
        <v>71.130777141390737</v>
      </c>
      <c r="EM72" s="22">
        <f t="shared" si="73"/>
        <v>646.0065595212551</v>
      </c>
      <c r="EN72" s="62">
        <f t="shared" si="74"/>
        <v>939.33989285458847</v>
      </c>
      <c r="EO72" s="62">
        <f ca="1">AVERAGE(OFFSET($EN$3,0,0,'Données projet'!$E$15+1,1))-AVERAGE(OFFSET($H$3,0,0,'Données projet'!$E$15+1,1))</f>
        <v>427.78067187784063</v>
      </c>
      <c r="EP72" s="62">
        <f t="shared" si="100"/>
        <v>464.22892523825118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>
        <f>VLOOKUP(A72,'Données projet'!$A$217:$I$237,2,0)</f>
        <v>358</v>
      </c>
      <c r="FC72" s="13">
        <f>VLOOKUP(A72,'Données projet'!$A$217:$I$237,9,0)</f>
        <v>13.777777777777779</v>
      </c>
      <c r="FD72" s="13">
        <f t="array" ref="FD72">INDEX(FC:FC,MIN(IF(ISNUMBER(FC72:FC268),ROW(FC72:FC268),"")))</f>
        <v>13.777777777777779</v>
      </c>
      <c r="FE72" s="13">
        <f>IF('Données projet'!$A$218&gt;35,FE71+FD72-FM71,IF(A72&lt;'Données projet'!$A$218,$FB$205^A72,IF(A72='Données projet'!$A$218,'Données projet'!$B$218,FE71+FD72-FM71)))</f>
        <v>357.99999999999977</v>
      </c>
      <c r="FF72" s="18">
        <f>FE72*VLOOKUP('Données projet'!$B$16,Paramètres!$A$1:$I$89,3,0)*VLOOKUP('Données projet'!$B$16,Paramètres!$A$1:$I$89,5,0)</f>
        <v>307.16399999999982</v>
      </c>
      <c r="FG72" s="14">
        <f t="shared" si="101"/>
        <v>72.676244071302918</v>
      </c>
      <c r="FH72" s="22">
        <f t="shared" si="76"/>
        <v>661.55509175751888</v>
      </c>
      <c r="FI72" s="62">
        <f t="shared" si="77"/>
        <v>954.88842509085225</v>
      </c>
      <c r="FJ72" s="62">
        <f ca="1">AVERAGE(OFFSET($FI$3,0,0,'Données projet'!$E$16+1,1))-AVERAGE(OFFSET($H$3,0,0,'Données projet'!$E$16+1,1))</f>
        <v>448.44001099301806</v>
      </c>
      <c r="FK72" s="62">
        <f t="shared" si="102"/>
        <v>230.82970731138215</v>
      </c>
      <c r="FL72" s="16">
        <f>IF(ISNA(VLOOKUP(A72,'Données projet'!$A$217:$I$237,3,0)),0,VLOOKUP(A72,'Données projet'!$A$217:$I$237,3,0))</f>
        <v>8</v>
      </c>
      <c r="FM72" s="16">
        <f>IF(ISNA(VLOOKUP(A72,'Données projet'!$A$217:$I$237,4,0)),0,VLOOKUP(A72,'Données projet'!$A$217:$I$237,4,0))</f>
        <v>84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5.8974358974359005</v>
      </c>
      <c r="FZ72" s="13">
        <f>IF('Données projet'!$A$244&gt;35,FZ71+FY72-GH71,IF(A72&lt;'Données projet'!$A$244,$FW$205^A72,IF(A72='Données projet'!$A$244,'Données projet'!$B$244,FZ71+FY72-GH71)))</f>
        <v>342.82051282051265</v>
      </c>
      <c r="GA72" s="18">
        <f>FZ72*VLOOKUP('Données projet'!$B$17,Paramètres!$A$1:$I$89,3,0)*VLOOKUP('Données projet'!$B$17,Paramètres!$A$1:$I$89,5,0)</f>
        <v>229.96399999999991</v>
      </c>
      <c r="GB72" s="14">
        <f t="shared" si="103"/>
        <v>56.274897418547475</v>
      </c>
      <c r="GC72" s="22">
        <f t="shared" si="79"/>
        <v>498.53274633730325</v>
      </c>
      <c r="GD72" s="62">
        <f t="shared" si="80"/>
        <v>791.86607967063651</v>
      </c>
      <c r="GE72" s="62">
        <f ca="1">AVERAGE(OFFSET($GD$3,0,0,'Données projet'!$E$17+1,1))-AVERAGE(OFFSET($H$3,0,0,'Données projet'!$E$17+1,1))</f>
        <v>408.91016501484626</v>
      </c>
      <c r="GF72" s="62">
        <f t="shared" si="104"/>
        <v>354.22396807666433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8.1999999999999993</v>
      </c>
      <c r="GU72" s="13">
        <f>IF('Données projet'!$A$270&gt;35,GU71+GT72-HC71,IF(A72&lt;'Données projet'!$A$270,$GR$205^A72,IF(A72='Données projet'!$A$270,'Données projet'!$B$270,GU71+GT72-HC71)))</f>
        <v>293.79999999999995</v>
      </c>
      <c r="GV72" s="18">
        <f>GU72*VLOOKUP('Données projet'!$B$18,Paramètres!$A$1:$I$89,3,0)*VLOOKUP('Données projet'!$B$18,Paramètres!$A$1:$I$89,5,0)</f>
        <v>284.16335999999995</v>
      </c>
      <c r="GW72" s="14">
        <f t="shared" si="105"/>
        <v>67.846089314219739</v>
      </c>
      <c r="GX72" s="22">
        <f t="shared" si="82"/>
        <v>613.08312422226595</v>
      </c>
      <c r="GY72" s="62">
        <f t="shared" si="83"/>
        <v>906.41645755559921</v>
      </c>
      <c r="GZ72" s="62">
        <f ca="1">AVERAGE(OFFSET($GY$3,0,0,'Données projet'!$E$18+1,1))-AVERAGE(OFFSET($H$3,0,0,'Données projet'!$E$18+1,1))</f>
        <v>562.69380557620775</v>
      </c>
      <c r="HA72" s="62">
        <f t="shared" si="106"/>
        <v>294.45557293177131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529.25712986118265</v>
      </c>
      <c r="T73" s="62">
        <f t="shared" si="88"/>
        <v>278.21741231699929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8.8675733422860506E-14</v>
      </c>
      <c r="AK73" s="14">
        <f t="shared" si="89"/>
        <v>1.3509285393066301E-12</v>
      </c>
      <c r="AL73" s="22">
        <f t="shared" si="58"/>
        <v>2.5073107750038623E-12</v>
      </c>
      <c r="AM73" s="62">
        <f t="shared" si="59"/>
        <v>293.33333333333582</v>
      </c>
      <c r="AN73" s="62">
        <f ca="1">AVERAGE(OFFSET($AM$3,0,0,'Données projet'!$E$10+1,1))-AVERAGE(OFFSET($H$3,0,0,'Données projet'!$E$10+1,1))</f>
        <v>292.57482726862594</v>
      </c>
      <c r="AO73" s="62">
        <f t="shared" si="90"/>
        <v>283.48738729114024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382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381.99999999999966</v>
      </c>
      <c r="BE73" s="14">
        <f>BD73*VLOOKUP('Données projet'!$B$11,Paramètres!$A$1:$I$89,3,0)*VLOOKUP('Données projet'!$B$11,Paramètres!$A$1:$I$89,5,0)</f>
        <v>280.08239999999972</v>
      </c>
      <c r="BF73" s="14">
        <f t="shared" si="91"/>
        <v>66.984422071611988</v>
      </c>
      <c r="BG73" s="22">
        <f t="shared" si="61"/>
        <v>604.47471510805701</v>
      </c>
      <c r="BH73" s="62">
        <f t="shared" si="62"/>
        <v>897.80804844139038</v>
      </c>
      <c r="BI73" s="62">
        <f ca="1">AVERAGE(OFFSET($BH$3,0,0,'Données projet'!$E$11+1,1))-AVERAGE(OFFSET($H$3,0,0,'Données projet'!$E$11+1,1))</f>
        <v>397.24545766894346</v>
      </c>
      <c r="BJ73" s="62">
        <f t="shared" si="92"/>
        <v>431.44557882369696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31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237</v>
      </c>
      <c r="BW73" s="13">
        <f>VLOOKUP(A73,'Données projet'!$A$113:$I$133,9,0)</f>
        <v>4.8</v>
      </c>
      <c r="BX73" s="13">
        <f t="array" ref="BX73">INDEX(BW:BW,MIN(IF(ISNUMBER(BW73:BW269),ROW(BW73:BW269),"")))</f>
        <v>4.8</v>
      </c>
      <c r="BY73" s="13">
        <f>IF('Données projet'!$A$114&gt;35,BY72+BX73-CG72,IF(A73&lt;'Données projet'!$A$114,$BV$205^A73,IF(A73='Données projet'!$A$114,'Données projet'!$B$114,BY72+BX73-CG72)))</f>
        <v>237.00000000000011</v>
      </c>
      <c r="BZ73" s="14">
        <f>BY73*VLOOKUP('Données projet'!$B$12,Paramètres!$A$1:$I$89,3,0)*VLOOKUP('Données projet'!$B$12,Paramètres!$A$1:$I$89,5,0)</f>
        <v>155.28240000000008</v>
      </c>
      <c r="CA73" s="14">
        <f t="shared" si="93"/>
        <v>39.776601235546444</v>
      </c>
      <c r="CB73" s="22">
        <f t="shared" si="64"/>
        <v>339.72776048524355</v>
      </c>
      <c r="CC73" s="62">
        <f t="shared" si="65"/>
        <v>633.06109381857686</v>
      </c>
      <c r="CD73" s="62">
        <f ca="1">AVERAGE(OFFSET($CC$3,0,0,'Données projet'!$E$12+1,1))-AVERAGE(OFFSET($H$3,0,0,'Données projet'!$E$12+1,1))</f>
        <v>277.27246253233807</v>
      </c>
      <c r="CE73" s="62">
        <f t="shared" si="94"/>
        <v>269.61868559913404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221.55119999999997</v>
      </c>
      <c r="CV73" s="14">
        <f t="shared" si="95"/>
        <v>54.451893386016494</v>
      </c>
      <c r="CW73" s="22">
        <f t="shared" si="67"/>
        <v>480.70538764731208</v>
      </c>
      <c r="CX73" s="62">
        <f t="shared" si="68"/>
        <v>774.03872098064539</v>
      </c>
      <c r="CY73" s="62">
        <f ca="1">AVERAGE(OFFSET($CX$3,0,0,'Données projet'!$E$13+1,1))-AVERAGE(OFFSET($H$3,0,0,'Données projet'!$E$13+1,1))</f>
        <v>402.15128814037058</v>
      </c>
      <c r="CZ73" s="62">
        <f t="shared" si="96"/>
        <v>232.85411068442738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289.74358974358972</v>
      </c>
      <c r="DM73" s="13">
        <f>VLOOKUP(A73,'Données projet'!$A$165:$I$185,9,0)</f>
        <v>5.6410256410256352</v>
      </c>
      <c r="DN73" s="13">
        <f t="array" ref="DN73">INDEX(DM:DM,MIN(IF(ISNUMBER(DM73:DM269),ROW(DM73:DM269),"")))</f>
        <v>5.6410256410256352</v>
      </c>
      <c r="DO73" s="13">
        <f>IF('Données projet'!$A$166&gt;35,DO72+DN73-DW72,IF(A73&lt;'Données projet'!$A$166,$DL$205^A73,IF(A73='Données projet'!$A$166,'Données projet'!$B$166,DO72+DN73-DW72)))</f>
        <v>289.74358974358961</v>
      </c>
      <c r="DP73" s="18">
        <f>DO73*VLOOKUP('Données projet'!$B$14,Paramètres!$A$1:$I$89,3,0)*VLOOKUP('Données projet'!$B$14,Paramètres!$A$1:$I$89,5,0)</f>
        <v>275.71999999999991</v>
      </c>
      <c r="DQ73" s="14">
        <f t="shared" si="97"/>
        <v>66.061712573633372</v>
      </c>
      <c r="DR73" s="22">
        <f t="shared" si="70"/>
        <v>595.26981606574464</v>
      </c>
      <c r="DS73" s="62">
        <f t="shared" si="71"/>
        <v>888.60314939907789</v>
      </c>
      <c r="DT73" s="62">
        <f ca="1">AVERAGE(OFFSET($DS$3,0,0,'Données projet'!$E$14+1,1))-AVERAGE(OFFSET($H$3,0,0,'Données projet'!$E$14+1,1))</f>
        <v>485.18236169209541</v>
      </c>
      <c r="DU73" s="62">
        <f t="shared" si="98"/>
        <v>417.30339652956951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39.102564102564102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382</v>
      </c>
      <c r="EH73" s="13">
        <f>VLOOKUP(A73,'Données projet'!$A$191:$I$211,9,0)</f>
        <v>5.2</v>
      </c>
      <c r="EI73" s="13">
        <f t="array" ref="EI73">INDEX(EH:EH,MIN(IF(ISNUMBER(EH73:EH269),ROW(EH73:EH269),"")))</f>
        <v>5.2</v>
      </c>
      <c r="EJ73" s="13">
        <f>IF('Données projet'!$A$192&gt;35,EJ72+EI73-ER72,IF(A73&lt;'Données projet'!$A$192,$EG$205^A73,IF(A73='Données projet'!$A$192,'Données projet'!$B$192,EJ72+EI73-ER72)))</f>
        <v>381.99999999999966</v>
      </c>
      <c r="EK73" s="18">
        <f>EJ73*VLOOKUP('Données projet'!$B$15,Paramètres!$A$1:$I$89,3,0)*VLOOKUP('Données projet'!$B$15,Paramètres!$A$1:$I$89,5,0)</f>
        <v>303.91919999999976</v>
      </c>
      <c r="EL73" s="14">
        <f t="shared" si="99"/>
        <v>71.997456655827293</v>
      </c>
      <c r="EM73" s="22">
        <f t="shared" si="73"/>
        <v>654.72151034223214</v>
      </c>
      <c r="EN73" s="62">
        <f t="shared" si="74"/>
        <v>948.05484367556551</v>
      </c>
      <c r="EO73" s="62">
        <f ca="1">AVERAGE(OFFSET($EN$3,0,0,'Données projet'!$E$15+1,1))-AVERAGE(OFFSET($H$3,0,0,'Données projet'!$E$15+1,1))</f>
        <v>427.78067187784063</v>
      </c>
      <c r="EP73" s="62">
        <f t="shared" si="100"/>
        <v>464.22892523825118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31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12.555555555555555</v>
      </c>
      <c r="FE73" s="13">
        <f>IF('Données projet'!$A$218&gt;35,FE72+FD73-FM72,IF(A73&lt;'Données projet'!$A$218,$FB$205^A73,IF(A73='Données projet'!$A$218,'Données projet'!$B$218,FE72+FD73-FM72)))</f>
        <v>286.55555555555532</v>
      </c>
      <c r="FF73" s="18">
        <f>FE73*VLOOKUP('Données projet'!$B$16,Paramètres!$A$1:$I$89,3,0)*VLOOKUP('Données projet'!$B$16,Paramètres!$A$1:$I$89,5,0)</f>
        <v>245.86466666666649</v>
      </c>
      <c r="FG73" s="14">
        <f t="shared" si="101"/>
        <v>59.699563669987469</v>
      </c>
      <c r="FH73" s="22">
        <f t="shared" si="76"/>
        <v>532.19103450300565</v>
      </c>
      <c r="FI73" s="62">
        <f t="shared" si="77"/>
        <v>825.52436783633902</v>
      </c>
      <c r="FJ73" s="62">
        <f ca="1">AVERAGE(OFFSET($FI$3,0,0,'Données projet'!$E$16+1,1))-AVERAGE(OFFSET($H$3,0,0,'Données projet'!$E$16+1,1))</f>
        <v>448.44001099301806</v>
      </c>
      <c r="FK73" s="62">
        <f t="shared" si="102"/>
        <v>230.82970731138215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348.71794871794873</v>
      </c>
      <c r="FX73" s="13">
        <f>VLOOKUP(A73,'Données projet'!$A$243:$I$263,9,0)</f>
        <v>5.8974358974359005</v>
      </c>
      <c r="FY73" s="13">
        <f t="array" ref="FY73">INDEX(FX:FX,MIN(IF(ISNUMBER(FX73:FX269),ROW(FX73:FX269),"")))</f>
        <v>5.8974358974359005</v>
      </c>
      <c r="FZ73" s="13">
        <f>IF('Données projet'!$A$244&gt;35,FZ72+FY73-GH72,IF(A73&lt;'Données projet'!$A$244,$FW$205^A73,IF(A73='Données projet'!$A$244,'Données projet'!$B$244,FZ72+FY73-GH72)))</f>
        <v>348.71794871794856</v>
      </c>
      <c r="GA73" s="18">
        <f>FZ73*VLOOKUP('Données projet'!$B$17,Paramètres!$A$1:$I$89,3,0)*VLOOKUP('Données projet'!$B$17,Paramètres!$A$1:$I$89,5,0)</f>
        <v>233.91999999999987</v>
      </c>
      <c r="GB73" s="14">
        <f t="shared" si="103"/>
        <v>57.129441709703194</v>
      </c>
      <c r="GC73" s="22">
        <f t="shared" si="79"/>
        <v>506.91111097773273</v>
      </c>
      <c r="GD73" s="62">
        <f t="shared" si="80"/>
        <v>800.24444431106599</v>
      </c>
      <c r="GE73" s="62">
        <f ca="1">AVERAGE(OFFSET($GD$3,0,0,'Données projet'!$E$17+1,1))-AVERAGE(OFFSET($H$3,0,0,'Données projet'!$E$17+1,1))</f>
        <v>408.91016501484626</v>
      </c>
      <c r="GF73" s="62">
        <f t="shared" si="104"/>
        <v>354.22396807666433</v>
      </c>
      <c r="GG73" s="16">
        <f>IF(ISNA(VLOOKUP(A73,'Données projet'!$A$243:$I$263,3,0)),0,VLOOKUP(A73,'Données projet'!$A$243:$I$263,3,0))</f>
        <v>6</v>
      </c>
      <c r="GH73" s="16">
        <f>IF(ISNA(VLOOKUP(A73,'Données projet'!$A$243:$I$263,4,0)),0,VLOOKUP(A73,'Données projet'!$A$243:$I$263,4,0))</f>
        <v>35.256410256410255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302</v>
      </c>
      <c r="GS73" s="13">
        <f>VLOOKUP(A73,'Données projet'!$A$269:$I$289,9,0)</f>
        <v>8.1999999999999993</v>
      </c>
      <c r="GT73" s="13">
        <f t="array" ref="GT73">INDEX(GS:GS,MIN(IF(ISNUMBER(GS73:GS269),ROW(GS73:GS269),"")))</f>
        <v>8.1999999999999993</v>
      </c>
      <c r="GU73" s="13">
        <f>IF('Données projet'!$A$270&gt;35,GU72+GT73-HC72,IF(A73&lt;'Données projet'!$A$270,$GR$205^A73,IF(A73='Données projet'!$A$270,'Données projet'!$B$270,GU72+GT73-HC72)))</f>
        <v>301.99999999999994</v>
      </c>
      <c r="GV73" s="18">
        <f>GU73*VLOOKUP('Données projet'!$B$18,Paramètres!$A$1:$I$89,3,0)*VLOOKUP('Données projet'!$B$18,Paramètres!$A$1:$I$89,5,0)</f>
        <v>292.09439999999995</v>
      </c>
      <c r="GW73" s="14">
        <f t="shared" si="105"/>
        <v>69.516578973599849</v>
      </c>
      <c r="GX73" s="22">
        <f t="shared" si="82"/>
        <v>629.80578837901965</v>
      </c>
      <c r="GY73" s="62">
        <f t="shared" si="83"/>
        <v>923.13912171235302</v>
      </c>
      <c r="GZ73" s="62">
        <f ca="1">AVERAGE(OFFSET($GY$3,0,0,'Données projet'!$E$18+1,1))-AVERAGE(OFFSET($H$3,0,0,'Données projet'!$E$18+1,1))</f>
        <v>562.69380557620775</v>
      </c>
      <c r="HA73" s="62">
        <f t="shared" si="106"/>
        <v>294.45557293177131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2">
        <f t="shared" si="55"/>
        <v>897.90020079058013</v>
      </c>
      <c r="S74" s="62">
        <f ca="1">AVERAGE(OFFSET($R$3,0,0,'Données projet'!$E$9+1,1))-AVERAGE(OFFSET($H$3,0,0,'Données projet'!$E$9+1,1))</f>
        <v>529.25712986118265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8.8675733422860506E-14</v>
      </c>
      <c r="AK74" s="14">
        <f t="shared" si="89"/>
        <v>1.3509285393066301E-12</v>
      </c>
      <c r="AL74" s="22">
        <f t="shared" si="58"/>
        <v>2.5073107750038623E-12</v>
      </c>
      <c r="AM74" s="62">
        <f t="shared" si="59"/>
        <v>293.33333333333582</v>
      </c>
      <c r="AN74" s="62">
        <f ca="1">AVERAGE(OFFSET($AM$3,0,0,'Données projet'!$E$10+1,1))-AVERAGE(OFFSET($H$3,0,0,'Données projet'!$E$10+1,1))</f>
        <v>292.57482726862594</v>
      </c>
      <c r="AO74" s="62">
        <f t="shared" si="90"/>
        <v>283.48738729114024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4.8</v>
      </c>
      <c r="BD74" s="13">
        <f>IF('Données projet'!$A$88&gt;35,BD73+BC74-BL73,IF(A74&lt;'Données projet'!$A$88,$BA$205^A74,IF(A74='Données projet'!$A$88,'Données projet'!$B$88,BD73+BC74-BL73)))</f>
        <v>355.79999999999967</v>
      </c>
      <c r="BE74" s="14">
        <f>BD74*VLOOKUP('Données projet'!$B$11,Paramètres!$A$1:$I$89,3,0)*VLOOKUP('Données projet'!$B$11,Paramètres!$A$1:$I$89,5,0)</f>
        <v>260.87255999999974</v>
      </c>
      <c r="BF74" s="14">
        <f t="shared" si="91"/>
        <v>62.908336204200786</v>
      </c>
      <c r="BG74" s="22">
        <f t="shared" si="61"/>
        <v>563.9183942223159</v>
      </c>
      <c r="BH74" s="62">
        <f t="shared" si="62"/>
        <v>857.25172755564927</v>
      </c>
      <c r="BI74" s="62">
        <f ca="1">AVERAGE(OFFSET($BH$3,0,0,'Données projet'!$E$11+1,1))-AVERAGE(OFFSET($H$3,0,0,'Données projet'!$E$11+1,1))</f>
        <v>397.24545766894346</v>
      </c>
      <c r="BJ74" s="62">
        <f t="shared" si="92"/>
        <v>431.44557882369696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4.5999999999999996</v>
      </c>
      <c r="BY74" s="13">
        <f>IF('Données projet'!$A$114&gt;35,BY73+BX74-CG73,IF(A74&lt;'Données projet'!$A$114,$BV$205^A74,IF(A74='Données projet'!$A$114,'Données projet'!$B$114,BY73+BX74-CG73)))</f>
        <v>241.60000000000011</v>
      </c>
      <c r="BZ74" s="14">
        <f>BY74*VLOOKUP('Données projet'!$B$12,Paramètres!$A$1:$I$89,3,0)*VLOOKUP('Données projet'!$B$12,Paramètres!$A$1:$I$89,5,0)</f>
        <v>158.29632000000007</v>
      </c>
      <c r="CA74" s="14">
        <f t="shared" si="93"/>
        <v>40.458006540983739</v>
      </c>
      <c r="CB74" s="22">
        <f t="shared" si="64"/>
        <v>346.16378539221341</v>
      </c>
      <c r="CC74" s="62">
        <f t="shared" si="65"/>
        <v>639.49711872554667</v>
      </c>
      <c r="CD74" s="62">
        <f ca="1">AVERAGE(OFFSET($CC$3,0,0,'Données projet'!$E$12+1,1))-AVERAGE(OFFSET($H$3,0,0,'Données projet'!$E$12+1,1))</f>
        <v>277.27246253233807</v>
      </c>
      <c r="CE74" s="62">
        <f t="shared" si="94"/>
        <v>269.61868559913404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191.39327999999998</v>
      </c>
      <c r="CV74" s="14">
        <f t="shared" si="95"/>
        <v>47.847856170442952</v>
      </c>
      <c r="CW74" s="22">
        <f t="shared" si="67"/>
        <v>416.67831216352141</v>
      </c>
      <c r="CX74" s="62">
        <f t="shared" si="68"/>
        <v>710.01164549685473</v>
      </c>
      <c r="CY74" s="62">
        <f ca="1">AVERAGE(OFFSET($CX$3,0,0,'Données projet'!$E$13+1,1))-AVERAGE(OFFSET($H$3,0,0,'Données projet'!$E$13+1,1))</f>
        <v>402.15128814037058</v>
      </c>
      <c r="CZ74" s="62">
        <f t="shared" si="96"/>
        <v>232.85411068442738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5.3846153846153815</v>
      </c>
      <c r="DO74" s="13">
        <f>IF('Données projet'!$A$166&gt;35,DO73+DN74-DW73,IF(A74&lt;'Données projet'!$A$166,$DL$205^A74,IF(A74='Données projet'!$A$166,'Données projet'!$B$166,DO73+DN74-DW73)))</f>
        <v>256.02564102564088</v>
      </c>
      <c r="DP74" s="18">
        <f>DO74*VLOOKUP('Données projet'!$B$14,Paramètres!$A$1:$I$89,3,0)*VLOOKUP('Données projet'!$B$14,Paramètres!$A$1:$I$89,5,0)</f>
        <v>243.63399999999987</v>
      </c>
      <c r="DQ74" s="14">
        <f t="shared" si="97"/>
        <v>59.220718114984116</v>
      </c>
      <c r="DR74" s="22">
        <f t="shared" si="70"/>
        <v>527.47196738359719</v>
      </c>
      <c r="DS74" s="62">
        <f t="shared" si="71"/>
        <v>820.80530071693056</v>
      </c>
      <c r="DT74" s="62">
        <f ca="1">AVERAGE(OFFSET($DS$3,0,0,'Données projet'!$E$14+1,1))-AVERAGE(OFFSET($H$3,0,0,'Données projet'!$E$14+1,1))</f>
        <v>485.18236169209541</v>
      </c>
      <c r="DU74" s="62">
        <f t="shared" si="98"/>
        <v>417.30339652956951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4.8</v>
      </c>
      <c r="EJ74" s="13">
        <f>IF('Données projet'!$A$192&gt;35,EJ73+EI74-ER73,IF(A74&lt;'Données projet'!$A$192,$EG$205^A74,IF(A74='Données projet'!$A$192,'Données projet'!$B$192,EJ73+EI74-ER73)))</f>
        <v>355.79999999999967</v>
      </c>
      <c r="EK74" s="18">
        <f>EJ74*VLOOKUP('Données projet'!$B$15,Paramètres!$A$1:$I$89,3,0)*VLOOKUP('Données projet'!$B$15,Paramètres!$A$1:$I$89,5,0)</f>
        <v>283.07447999999977</v>
      </c>
      <c r="EL74" s="14">
        <f t="shared" si="99"/>
        <v>67.616321363645156</v>
      </c>
      <c r="EM74" s="22">
        <f t="shared" si="73"/>
        <v>610.78647904168156</v>
      </c>
      <c r="EN74" s="62">
        <f t="shared" si="74"/>
        <v>904.11981237501482</v>
      </c>
      <c r="EO74" s="62">
        <f ca="1">AVERAGE(OFFSET($EN$3,0,0,'Données projet'!$E$15+1,1))-AVERAGE(OFFSET($H$3,0,0,'Données projet'!$E$15+1,1))</f>
        <v>427.78067187784063</v>
      </c>
      <c r="EP74" s="62">
        <f t="shared" si="100"/>
        <v>464.22892523825118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12.555555555555555</v>
      </c>
      <c r="FE74" s="13">
        <f>IF('Données projet'!$A$218&gt;35,FE73+FD74-FM73,IF(A74&lt;'Données projet'!$A$218,$FB$205^A74,IF(A74='Données projet'!$A$218,'Données projet'!$B$218,FE73+FD74-FM73)))</f>
        <v>299.11111111111086</v>
      </c>
      <c r="FF74" s="18">
        <f>FE74*VLOOKUP('Données projet'!$B$16,Paramètres!$A$1:$I$89,3,0)*VLOOKUP('Données projet'!$B$16,Paramètres!$A$1:$I$89,5,0)</f>
        <v>256.63733333333312</v>
      </c>
      <c r="FG74" s="14">
        <f t="shared" si="101"/>
        <v>62.005051158458208</v>
      </c>
      <c r="FH74" s="22">
        <f t="shared" si="76"/>
        <v>554.96881965653654</v>
      </c>
      <c r="FI74" s="62">
        <f t="shared" si="77"/>
        <v>848.30215298986991</v>
      </c>
      <c r="FJ74" s="62">
        <f ca="1">AVERAGE(OFFSET($FI$3,0,0,'Données projet'!$E$16+1,1))-AVERAGE(OFFSET($H$3,0,0,'Données projet'!$E$16+1,1))</f>
        <v>448.44001099301806</v>
      </c>
      <c r="FK74" s="62">
        <f t="shared" si="102"/>
        <v>230.82970731138215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5.5128205128205083</v>
      </c>
      <c r="FZ74" s="13">
        <f>IF('Données projet'!$A$244&gt;35,FZ73+FY74-GH73,IF(A74&lt;'Données projet'!$A$244,$FW$205^A74,IF(A74='Données projet'!$A$244,'Données projet'!$B$244,FZ73+FY74-GH73)))</f>
        <v>318.97435897435878</v>
      </c>
      <c r="GA74" s="18">
        <f>FZ74*VLOOKUP('Données projet'!$B$17,Paramètres!$A$1:$I$89,3,0)*VLOOKUP('Données projet'!$B$17,Paramètres!$A$1:$I$89,5,0)</f>
        <v>213.96799999999985</v>
      </c>
      <c r="GB74" s="14">
        <f t="shared" si="103"/>
        <v>52.801746609520308</v>
      </c>
      <c r="GC74" s="22">
        <f t="shared" si="79"/>
        <v>464.62397534491424</v>
      </c>
      <c r="GD74" s="62">
        <f t="shared" si="80"/>
        <v>757.9573086782475</v>
      </c>
      <c r="GE74" s="62">
        <f ca="1">AVERAGE(OFFSET($GD$3,0,0,'Données projet'!$E$17+1,1))-AVERAGE(OFFSET($H$3,0,0,'Données projet'!$E$17+1,1))</f>
        <v>408.91016501484626</v>
      </c>
      <c r="GF74" s="62">
        <f t="shared" si="104"/>
        <v>354.22396807666433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7.6</v>
      </c>
      <c r="GU74" s="13">
        <f>IF('Données projet'!$A$270&gt;35,GU73+GT74-HC73,IF(A74&lt;'Données projet'!$A$270,$GR$205^A74,IF(A74='Données projet'!$A$270,'Données projet'!$B$270,GU73+GT74-HC73)))</f>
        <v>309.59999999999997</v>
      </c>
      <c r="GV74" s="18">
        <f>GU74*VLOOKUP('Données projet'!$B$18,Paramètres!$A$1:$I$89,3,0)*VLOOKUP('Données projet'!$B$18,Paramètres!$A$1:$I$89,5,0)</f>
        <v>299.44511999999997</v>
      </c>
      <c r="GW74" s="14">
        <f t="shared" si="105"/>
        <v>71.060126783970659</v>
      </c>
      <c r="GX74" s="22">
        <f t="shared" si="82"/>
        <v>645.2966381487488</v>
      </c>
      <c r="GY74" s="62">
        <f t="shared" si="83"/>
        <v>938.62997148208206</v>
      </c>
      <c r="GZ74" s="62">
        <f ca="1">AVERAGE(OFFSET($GY$3,0,0,'Données projet'!$E$18+1,1))-AVERAGE(OFFSET($H$3,0,0,'Données projet'!$E$18+1,1))</f>
        <v>562.69380557620775</v>
      </c>
      <c r="HA74" s="62">
        <f t="shared" si="106"/>
        <v>294.45557293177131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2">
        <f t="shared" si="55"/>
        <v>912.40400733040633</v>
      </c>
      <c r="S75" s="62">
        <f ca="1">AVERAGE(OFFSET($R$3,0,0,'Données projet'!$E$9+1,1))-AVERAGE(OFFSET($H$3,0,0,'Données projet'!$E$9+1,1))</f>
        <v>529.25712986118265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8.8675733422860506E-14</v>
      </c>
      <c r="AK75" s="14">
        <f t="shared" si="89"/>
        <v>1.3509285393066301E-12</v>
      </c>
      <c r="AL75" s="22">
        <f t="shared" si="58"/>
        <v>2.5073107750038623E-12</v>
      </c>
      <c r="AM75" s="62">
        <f t="shared" si="59"/>
        <v>293.33333333333582</v>
      </c>
      <c r="AN75" s="62">
        <f ca="1">AVERAGE(OFFSET($AM$3,0,0,'Données projet'!$E$10+1,1))-AVERAGE(OFFSET($H$3,0,0,'Données projet'!$E$10+1,1))</f>
        <v>292.57482726862594</v>
      </c>
      <c r="AO75" s="62">
        <f t="shared" si="90"/>
        <v>283.48738729114024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4.8</v>
      </c>
      <c r="BD75" s="13">
        <f>IF('Données projet'!$A$88&gt;35,BD74+BC75-BL74,IF(A75&lt;'Données projet'!$A$88,$BA$205^A75,IF(A75='Données projet'!$A$88,'Données projet'!$B$88,BD74+BC75-BL74)))</f>
        <v>360.59999999999968</v>
      </c>
      <c r="BE75" s="14">
        <f>BD75*VLOOKUP('Données projet'!$B$11,Paramètres!$A$1:$I$89,3,0)*VLOOKUP('Données projet'!$B$11,Paramètres!$A$1:$I$89,5,0)</f>
        <v>264.39191999999974</v>
      </c>
      <c r="BF75" s="14">
        <f t="shared" si="91"/>
        <v>63.657643181110089</v>
      </c>
      <c r="BG75" s="22">
        <f t="shared" si="61"/>
        <v>571.35298920709954</v>
      </c>
      <c r="BH75" s="62">
        <f t="shared" si="62"/>
        <v>864.68632254043291</v>
      </c>
      <c r="BI75" s="62">
        <f ca="1">AVERAGE(OFFSET($BH$3,0,0,'Données projet'!$E$11+1,1))-AVERAGE(OFFSET($H$3,0,0,'Données projet'!$E$11+1,1))</f>
        <v>397.24545766894346</v>
      </c>
      <c r="BJ75" s="62">
        <f t="shared" si="92"/>
        <v>431.44557882369696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4.5999999999999996</v>
      </c>
      <c r="BY75" s="13">
        <f>IF('Données projet'!$A$114&gt;35,BY74+BX75-CG74,IF(A75&lt;'Données projet'!$A$114,$BV$205^A75,IF(A75='Données projet'!$A$114,'Données projet'!$B$114,BY74+BX75-CG74)))</f>
        <v>246.2000000000001</v>
      </c>
      <c r="BZ75" s="14">
        <f>BY75*VLOOKUP('Données projet'!$B$12,Paramètres!$A$1:$I$89,3,0)*VLOOKUP('Données projet'!$B$12,Paramètres!$A$1:$I$89,5,0)</f>
        <v>161.31024000000008</v>
      </c>
      <c r="CA75" s="14">
        <f t="shared" si="93"/>
        <v>41.137903274661141</v>
      </c>
      <c r="CB75" s="22">
        <f t="shared" si="64"/>
        <v>352.59718287003494</v>
      </c>
      <c r="CC75" s="62">
        <f t="shared" si="65"/>
        <v>645.93051620336826</v>
      </c>
      <c r="CD75" s="62">
        <f ca="1">AVERAGE(OFFSET($CC$3,0,0,'Données projet'!$E$12+1,1))-AVERAGE(OFFSET($H$3,0,0,'Données projet'!$E$12+1,1))</f>
        <v>277.27246253233807</v>
      </c>
      <c r="CE75" s="62">
        <f t="shared" si="94"/>
        <v>269.61868559913404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196.61615999999995</v>
      </c>
      <c r="CV75" s="14">
        <f t="shared" si="95"/>
        <v>48.999765174076551</v>
      </c>
      <c r="CW75" s="22">
        <f t="shared" si="67"/>
        <v>427.7810696781832</v>
      </c>
      <c r="CX75" s="62">
        <f t="shared" si="68"/>
        <v>721.11440301151652</v>
      </c>
      <c r="CY75" s="62">
        <f ca="1">AVERAGE(OFFSET($CX$3,0,0,'Données projet'!$E$13+1,1))-AVERAGE(OFFSET($H$3,0,0,'Données projet'!$E$13+1,1))</f>
        <v>402.15128814037058</v>
      </c>
      <c r="CZ75" s="62">
        <f t="shared" si="96"/>
        <v>232.85411068442738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5.3846153846153815</v>
      </c>
      <c r="DO75" s="13">
        <f>IF('Données projet'!$A$166&gt;35,DO74+DN75-DW74,IF(A75&lt;'Données projet'!$A$166,$DL$205^A75,IF(A75='Données projet'!$A$166,'Données projet'!$B$166,DO74+DN75-DW74)))</f>
        <v>261.41025641025624</v>
      </c>
      <c r="DP75" s="18">
        <f>DO75*VLOOKUP('Données projet'!$B$14,Paramètres!$A$1:$I$89,3,0)*VLOOKUP('Données projet'!$B$14,Paramètres!$A$1:$I$89,5,0)</f>
        <v>248.75799999999984</v>
      </c>
      <c r="DQ75" s="14">
        <f t="shared" si="97"/>
        <v>60.319908204947659</v>
      </c>
      <c r="DR75" s="22">
        <f t="shared" si="70"/>
        <v>538.31069012361684</v>
      </c>
      <c r="DS75" s="62">
        <f t="shared" si="71"/>
        <v>831.64402345695021</v>
      </c>
      <c r="DT75" s="62">
        <f ca="1">AVERAGE(OFFSET($DS$3,0,0,'Données projet'!$E$14+1,1))-AVERAGE(OFFSET($H$3,0,0,'Données projet'!$E$14+1,1))</f>
        <v>485.18236169209541</v>
      </c>
      <c r="DU75" s="62">
        <f t="shared" si="98"/>
        <v>417.30339652956951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4.8</v>
      </c>
      <c r="EJ75" s="13">
        <f>IF('Données projet'!$A$192&gt;35,EJ74+EI75-ER74,IF(A75&lt;'Données projet'!$A$192,$EG$205^A75,IF(A75='Données projet'!$A$192,'Données projet'!$B$192,EJ74+EI75-ER74)))</f>
        <v>360.59999999999968</v>
      </c>
      <c r="EK75" s="18">
        <f>EJ75*VLOOKUP('Données projet'!$B$15,Paramètres!$A$1:$I$89,3,0)*VLOOKUP('Données projet'!$B$15,Paramètres!$A$1:$I$89,5,0)</f>
        <v>286.89335999999975</v>
      </c>
      <c r="EL75" s="14">
        <f t="shared" si="99"/>
        <v>68.421705584684744</v>
      </c>
      <c r="EM75" s="22">
        <f t="shared" si="73"/>
        <v>618.84040589332551</v>
      </c>
      <c r="EN75" s="62">
        <f t="shared" si="74"/>
        <v>912.17373922665888</v>
      </c>
      <c r="EO75" s="62">
        <f ca="1">AVERAGE(OFFSET($EN$3,0,0,'Données projet'!$E$15+1,1))-AVERAGE(OFFSET($H$3,0,0,'Données projet'!$E$15+1,1))</f>
        <v>427.78067187784063</v>
      </c>
      <c r="EP75" s="62">
        <f t="shared" si="100"/>
        <v>464.22892523825118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12.555555555555555</v>
      </c>
      <c r="FE75" s="13">
        <f>IF('Données projet'!$A$218&gt;35,FE74+FD75-FM74,IF(A75&lt;'Données projet'!$A$218,$FB$205^A75,IF(A75='Données projet'!$A$218,'Données projet'!$B$218,FE74+FD75-FM74)))</f>
        <v>311.6666666666664</v>
      </c>
      <c r="FF75" s="18">
        <f>FE75*VLOOKUP('Données projet'!$B$16,Paramètres!$A$1:$I$89,3,0)*VLOOKUP('Données projet'!$B$16,Paramètres!$A$1:$I$89,5,0)</f>
        <v>267.4099999999998</v>
      </c>
      <c r="FG75" s="14">
        <f t="shared" si="101"/>
        <v>64.299297948636735</v>
      </c>
      <c r="FH75" s="22">
        <f t="shared" si="76"/>
        <v>577.72702726054183</v>
      </c>
      <c r="FI75" s="62">
        <f t="shared" si="77"/>
        <v>871.0603605938752</v>
      </c>
      <c r="FJ75" s="62">
        <f ca="1">AVERAGE(OFFSET($FI$3,0,0,'Données projet'!$E$16+1,1))-AVERAGE(OFFSET($H$3,0,0,'Données projet'!$E$16+1,1))</f>
        <v>448.44001099301806</v>
      </c>
      <c r="FK75" s="62">
        <f t="shared" si="102"/>
        <v>230.82970731138215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5.5128205128205083</v>
      </c>
      <c r="FZ75" s="13">
        <f>IF('Données projet'!$A$244&gt;35,FZ74+FY75-GH74,IF(A75&lt;'Données projet'!$A$244,$FW$205^A75,IF(A75='Données projet'!$A$244,'Données projet'!$B$244,FZ74+FY75-GH74)))</f>
        <v>324.48717948717928</v>
      </c>
      <c r="GA75" s="18">
        <f>FZ75*VLOOKUP('Données projet'!$B$17,Paramètres!$A$1:$I$89,3,0)*VLOOKUP('Données projet'!$B$17,Paramètres!$A$1:$I$89,5,0)</f>
        <v>217.66599999999988</v>
      </c>
      <c r="GB75" s="14">
        <f t="shared" si="103"/>
        <v>53.607287887196676</v>
      </c>
      <c r="GC75" s="22">
        <f t="shared" si="79"/>
        <v>472.46764307020067</v>
      </c>
      <c r="GD75" s="62">
        <f t="shared" si="80"/>
        <v>765.80097640353392</v>
      </c>
      <c r="GE75" s="62">
        <f ca="1">AVERAGE(OFFSET($GD$3,0,0,'Données projet'!$E$17+1,1))-AVERAGE(OFFSET($H$3,0,0,'Données projet'!$E$17+1,1))</f>
        <v>408.91016501484626</v>
      </c>
      <c r="GF75" s="62">
        <f t="shared" si="104"/>
        <v>354.22396807666433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7.6</v>
      </c>
      <c r="GU75" s="13">
        <f>IF('Données projet'!$A$270&gt;35,GU74+GT75-HC74,IF(A75&lt;'Données projet'!$A$270,$GR$205^A75,IF(A75='Données projet'!$A$270,'Données projet'!$B$270,GU74+GT75-HC74)))</f>
        <v>317.2</v>
      </c>
      <c r="GV75" s="18">
        <f>GU75*VLOOKUP('Données projet'!$B$18,Paramètres!$A$1:$I$89,3,0)*VLOOKUP('Données projet'!$B$18,Paramètres!$A$1:$I$89,5,0)</f>
        <v>306.79584</v>
      </c>
      <c r="GW75" s="14">
        <f t="shared" si="105"/>
        <v>72.599269943528554</v>
      </c>
      <c r="GX75" s="22">
        <f t="shared" si="82"/>
        <v>660.77981648497882</v>
      </c>
      <c r="GY75" s="62">
        <f t="shared" si="83"/>
        <v>954.11314981831219</v>
      </c>
      <c r="GZ75" s="62">
        <f ca="1">AVERAGE(OFFSET($GY$3,0,0,'Données projet'!$E$18+1,1))-AVERAGE(OFFSET($H$3,0,0,'Données projet'!$E$18+1,1))</f>
        <v>562.69380557620775</v>
      </c>
      <c r="HA75" s="62">
        <f t="shared" si="106"/>
        <v>294.45557293177131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2">
        <f t="shared" si="55"/>
        <v>926.90077466569664</v>
      </c>
      <c r="S76" s="62">
        <f ca="1">AVERAGE(OFFSET($R$3,0,0,'Données projet'!$E$9+1,1))-AVERAGE(OFFSET($H$3,0,0,'Données projet'!$E$9+1,1))</f>
        <v>529.25712986118265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8.8675733422860506E-14</v>
      </c>
      <c r="AK76" s="14">
        <f t="shared" si="89"/>
        <v>1.3509285393066301E-12</v>
      </c>
      <c r="AL76" s="22">
        <f t="shared" si="58"/>
        <v>2.5073107750038623E-12</v>
      </c>
      <c r="AM76" s="62">
        <f t="shared" si="59"/>
        <v>293.33333333333582</v>
      </c>
      <c r="AN76" s="62">
        <f ca="1">AVERAGE(OFFSET($AM$3,0,0,'Données projet'!$E$10+1,1))-AVERAGE(OFFSET($H$3,0,0,'Données projet'!$E$10+1,1))</f>
        <v>292.57482726862594</v>
      </c>
      <c r="AO76" s="62">
        <f t="shared" si="90"/>
        <v>283.48738729114024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4.8</v>
      </c>
      <c r="BD76" s="13">
        <f>IF('Données projet'!$A$88&gt;35,BD75+BC76-BL75,IF(A76&lt;'Données projet'!$A$88,$BA$205^A76,IF(A76='Données projet'!$A$88,'Données projet'!$B$88,BD75+BC76-BL75)))</f>
        <v>365.39999999999969</v>
      </c>
      <c r="BE76" s="14">
        <f>BD76*VLOOKUP('Données projet'!$B$11,Paramètres!$A$1:$I$89,3,0)*VLOOKUP('Données projet'!$B$11,Paramètres!$A$1:$I$89,5,0)</f>
        <v>267.91127999999981</v>
      </c>
      <c r="BF76" s="14">
        <f t="shared" si="91"/>
        <v>64.405790031310872</v>
      </c>
      <c r="BG76" s="22">
        <f t="shared" si="61"/>
        <v>578.78556363786606</v>
      </c>
      <c r="BH76" s="62">
        <f t="shared" si="62"/>
        <v>872.11889697119932</v>
      </c>
      <c r="BI76" s="62">
        <f ca="1">AVERAGE(OFFSET($BH$3,0,0,'Données projet'!$E$11+1,1))-AVERAGE(OFFSET($H$3,0,0,'Données projet'!$E$11+1,1))</f>
        <v>397.24545766894346</v>
      </c>
      <c r="BJ76" s="62">
        <f t="shared" si="92"/>
        <v>431.44557882369696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4.5999999999999996</v>
      </c>
      <c r="BY76" s="13">
        <f>IF('Données projet'!$A$114&gt;35,BY75+BX76-CG75,IF(A76&lt;'Données projet'!$A$114,$BV$205^A76,IF(A76='Données projet'!$A$114,'Données projet'!$B$114,BY75+BX76-CG75)))</f>
        <v>250.8000000000001</v>
      </c>
      <c r="BZ76" s="14">
        <f>BY76*VLOOKUP('Données projet'!$B$12,Paramètres!$A$1:$I$89,3,0)*VLOOKUP('Données projet'!$B$12,Paramètres!$A$1:$I$89,5,0)</f>
        <v>164.32416000000006</v>
      </c>
      <c r="CA76" s="14">
        <f t="shared" si="93"/>
        <v>41.816322873092751</v>
      </c>
      <c r="CB76" s="22">
        <f t="shared" si="64"/>
        <v>359.02800767063667</v>
      </c>
      <c r="CC76" s="62">
        <f t="shared" si="65"/>
        <v>652.36134100396998</v>
      </c>
      <c r="CD76" s="62">
        <f ca="1">AVERAGE(OFFSET($CC$3,0,0,'Données projet'!$E$12+1,1))-AVERAGE(OFFSET($H$3,0,0,'Données projet'!$E$12+1,1))</f>
        <v>277.27246253233807</v>
      </c>
      <c r="CE76" s="62">
        <f t="shared" si="94"/>
        <v>269.61868559913404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201.83903999999995</v>
      </c>
      <c r="CV76" s="14">
        <f t="shared" si="95"/>
        <v>50.148117498343801</v>
      </c>
      <c r="CW76" s="22">
        <f t="shared" si="67"/>
        <v>438.87763264294864</v>
      </c>
      <c r="CX76" s="62">
        <f t="shared" si="68"/>
        <v>732.21096597628195</v>
      </c>
      <c r="CY76" s="62">
        <f ca="1">AVERAGE(OFFSET($CX$3,0,0,'Données projet'!$E$13+1,1))-AVERAGE(OFFSET($H$3,0,0,'Données projet'!$E$13+1,1))</f>
        <v>402.15128814037058</v>
      </c>
      <c r="CZ76" s="62">
        <f t="shared" si="96"/>
        <v>232.85411068442738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5.3846153846153815</v>
      </c>
      <c r="DO76" s="13">
        <f>IF('Données projet'!$A$166&gt;35,DO75+DN76-DW75,IF(A76&lt;'Données projet'!$A$166,$DL$205^A76,IF(A76='Données projet'!$A$166,'Données projet'!$B$166,DO75+DN76-DW75)))</f>
        <v>266.7948717948716</v>
      </c>
      <c r="DP76" s="18">
        <f>DO76*VLOOKUP('Données projet'!$B$14,Paramètres!$A$1:$I$89,3,0)*VLOOKUP('Données projet'!$B$14,Paramètres!$A$1:$I$89,5,0)</f>
        <v>253.88199999999981</v>
      </c>
      <c r="DQ76" s="14">
        <f t="shared" si="97"/>
        <v>61.416465786453074</v>
      </c>
      <c r="DR76" s="22">
        <f t="shared" si="70"/>
        <v>549.1448279114054</v>
      </c>
      <c r="DS76" s="62">
        <f t="shared" si="71"/>
        <v>842.47816124473866</v>
      </c>
      <c r="DT76" s="62">
        <f ca="1">AVERAGE(OFFSET($DS$3,0,0,'Données projet'!$E$14+1,1))-AVERAGE(OFFSET($H$3,0,0,'Données projet'!$E$14+1,1))</f>
        <v>485.18236169209541</v>
      </c>
      <c r="DU76" s="62">
        <f t="shared" si="98"/>
        <v>417.30339652956951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4.8</v>
      </c>
      <c r="EJ76" s="13">
        <f>IF('Données projet'!$A$192&gt;35,EJ75+EI76-ER75,IF(A76&lt;'Données projet'!$A$192,$EG$205^A76,IF(A76='Données projet'!$A$192,'Données projet'!$B$192,EJ75+EI76-ER75)))</f>
        <v>365.39999999999969</v>
      </c>
      <c r="EK76" s="18">
        <f>EJ76*VLOOKUP('Données projet'!$B$15,Paramètres!$A$1:$I$89,3,0)*VLOOKUP('Données projet'!$B$15,Paramètres!$A$1:$I$89,5,0)</f>
        <v>290.71223999999978</v>
      </c>
      <c r="EL76" s="14">
        <f t="shared" si="99"/>
        <v>69.225842856510994</v>
      </c>
      <c r="EM76" s="22">
        <f t="shared" si="73"/>
        <v>626.89216097508961</v>
      </c>
      <c r="EN76" s="62">
        <f t="shared" si="74"/>
        <v>920.22549430842287</v>
      </c>
      <c r="EO76" s="62">
        <f ca="1">AVERAGE(OFFSET($EN$3,0,0,'Données projet'!$E$15+1,1))-AVERAGE(OFFSET($H$3,0,0,'Données projet'!$E$15+1,1))</f>
        <v>427.78067187784063</v>
      </c>
      <c r="EP76" s="62">
        <f t="shared" si="100"/>
        <v>464.22892523825118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12.555555555555555</v>
      </c>
      <c r="FE76" s="13">
        <f>IF('Données projet'!$A$218&gt;35,FE75+FD76-FM75,IF(A76&lt;'Données projet'!$A$218,$FB$205^A76,IF(A76='Données projet'!$A$218,'Données projet'!$B$218,FE75+FD76-FM75)))</f>
        <v>324.22222222222194</v>
      </c>
      <c r="FF76" s="18">
        <f>FE76*VLOOKUP('Données projet'!$B$16,Paramètres!$A$1:$I$89,3,0)*VLOOKUP('Données projet'!$B$16,Paramètres!$A$1:$I$89,5,0)</f>
        <v>278.18266666666648</v>
      </c>
      <c r="FG76" s="14">
        <f t="shared" si="101"/>
        <v>66.582808678967709</v>
      </c>
      <c r="FH76" s="22">
        <f t="shared" si="76"/>
        <v>600.46653622697943</v>
      </c>
      <c r="FI76" s="62">
        <f t="shared" si="77"/>
        <v>893.7998695603128</v>
      </c>
      <c r="FJ76" s="62">
        <f ca="1">AVERAGE(OFFSET($FI$3,0,0,'Données projet'!$E$16+1,1))-AVERAGE(OFFSET($H$3,0,0,'Données projet'!$E$16+1,1))</f>
        <v>448.44001099301806</v>
      </c>
      <c r="FK76" s="62">
        <f t="shared" si="102"/>
        <v>230.82970731138215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5.5128205128205083</v>
      </c>
      <c r="FZ76" s="13">
        <f>IF('Données projet'!$A$244&gt;35,FZ75+FY76-GH75,IF(A76&lt;'Données projet'!$A$244,$FW$205^A76,IF(A76='Données projet'!$A$244,'Données projet'!$B$244,FZ75+FY76-GH75)))</f>
        <v>329.99999999999977</v>
      </c>
      <c r="GA76" s="18">
        <f>FZ76*VLOOKUP('Données projet'!$B$17,Paramètres!$A$1:$I$89,3,0)*VLOOKUP('Données projet'!$B$17,Paramètres!$A$1:$I$89,5,0)</f>
        <v>221.36399999999983</v>
      </c>
      <c r="GB76" s="14">
        <f t="shared" si="103"/>
        <v>54.411237653200743</v>
      </c>
      <c r="GC76" s="22">
        <f t="shared" si="79"/>
        <v>480.3085389126577</v>
      </c>
      <c r="GD76" s="62">
        <f t="shared" si="80"/>
        <v>773.64187224599095</v>
      </c>
      <c r="GE76" s="62">
        <f ca="1">AVERAGE(OFFSET($GD$3,0,0,'Données projet'!$E$17+1,1))-AVERAGE(OFFSET($H$3,0,0,'Données projet'!$E$17+1,1))</f>
        <v>408.91016501484626</v>
      </c>
      <c r="GF76" s="62">
        <f t="shared" si="104"/>
        <v>354.22396807666433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7.6</v>
      </c>
      <c r="GU76" s="13">
        <f>IF('Données projet'!$A$270&gt;35,GU75+GT76-HC75,IF(A76&lt;'Données projet'!$A$270,$GR$205^A76,IF(A76='Données projet'!$A$270,'Données projet'!$B$270,GU75+GT76-HC75)))</f>
        <v>324.8</v>
      </c>
      <c r="GV76" s="18">
        <f>GU76*VLOOKUP('Données projet'!$B$18,Paramètres!$A$1:$I$89,3,0)*VLOOKUP('Données projet'!$B$18,Paramètres!$A$1:$I$89,5,0)</f>
        <v>314.14656000000002</v>
      </c>
      <c r="GW76" s="14">
        <f t="shared" si="105"/>
        <v>74.134126128922034</v>
      </c>
      <c r="GX76" s="22">
        <f t="shared" si="82"/>
        <v>676.25552834120583</v>
      </c>
      <c r="GY76" s="62">
        <f t="shared" si="83"/>
        <v>969.5888616745392</v>
      </c>
      <c r="GZ76" s="62">
        <f ca="1">AVERAGE(OFFSET($GY$3,0,0,'Données projet'!$E$18+1,1))-AVERAGE(OFFSET($H$3,0,0,'Données projet'!$E$18+1,1))</f>
        <v>562.69380557620775</v>
      </c>
      <c r="HA76" s="62">
        <f t="shared" si="106"/>
        <v>294.45557293177131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2">
        <f t="shared" si="55"/>
        <v>941.39068646288956</v>
      </c>
      <c r="S77" s="62">
        <f ca="1">AVERAGE(OFFSET($R$3,0,0,'Données projet'!$E$9+1,1))-AVERAGE(OFFSET($H$3,0,0,'Données projet'!$E$9+1,1))</f>
        <v>529.25712986118265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8.8675733422860506E-14</v>
      </c>
      <c r="AK77" s="14">
        <f t="shared" si="89"/>
        <v>1.3509285393066301E-12</v>
      </c>
      <c r="AL77" s="22">
        <f t="shared" si="58"/>
        <v>2.5073107750038623E-12</v>
      </c>
      <c r="AM77" s="62">
        <f t="shared" si="59"/>
        <v>293.33333333333582</v>
      </c>
      <c r="AN77" s="62">
        <f ca="1">AVERAGE(OFFSET($AM$3,0,0,'Données projet'!$E$10+1,1))-AVERAGE(OFFSET($H$3,0,0,'Données projet'!$E$10+1,1))</f>
        <v>292.57482726862594</v>
      </c>
      <c r="AO77" s="62">
        <f t="shared" si="90"/>
        <v>283.48738729114024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4.8</v>
      </c>
      <c r="BD77" s="13">
        <f>IF('Données projet'!$A$88&gt;35,BD76+BC77-BL76,IF(A77&lt;'Données projet'!$A$88,$BA$205^A77,IF(A77='Données projet'!$A$88,'Données projet'!$B$88,BD76+BC77-BL76)))</f>
        <v>370.1999999999997</v>
      </c>
      <c r="BE77" s="14">
        <f>BD77*VLOOKUP('Données projet'!$B$11,Paramètres!$A$1:$I$89,3,0)*VLOOKUP('Données projet'!$B$11,Paramètres!$A$1:$I$89,5,0)</f>
        <v>271.43063999999981</v>
      </c>
      <c r="BF77" s="14">
        <f t="shared" si="91"/>
        <v>65.152793756453633</v>
      </c>
      <c r="BG77" s="22">
        <f t="shared" si="61"/>
        <v>586.21614712582311</v>
      </c>
      <c r="BH77" s="62">
        <f t="shared" si="62"/>
        <v>879.54948045915648</v>
      </c>
      <c r="BI77" s="62">
        <f ca="1">AVERAGE(OFFSET($BH$3,0,0,'Données projet'!$E$11+1,1))-AVERAGE(OFFSET($H$3,0,0,'Données projet'!$E$11+1,1))</f>
        <v>397.24545766894346</v>
      </c>
      <c r="BJ77" s="62">
        <f t="shared" si="92"/>
        <v>431.44557882369696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4.5999999999999996</v>
      </c>
      <c r="BY77" s="13">
        <f>IF('Données projet'!$A$114&gt;35,BY76+BX77-CG76,IF(A77&lt;'Données projet'!$A$114,$BV$205^A77,IF(A77='Données projet'!$A$114,'Données projet'!$B$114,BY76+BX77-CG76)))</f>
        <v>255.40000000000009</v>
      </c>
      <c r="BZ77" s="14">
        <f>BY77*VLOOKUP('Données projet'!$B$12,Paramètres!$A$1:$I$89,3,0)*VLOOKUP('Données projet'!$B$12,Paramètres!$A$1:$I$89,5,0)</f>
        <v>167.33808000000005</v>
      </c>
      <c r="CA77" s="14">
        <f t="shared" si="93"/>
        <v>42.493295553601513</v>
      </c>
      <c r="CB77" s="22">
        <f t="shared" si="64"/>
        <v>365.45631242252267</v>
      </c>
      <c r="CC77" s="62">
        <f t="shared" si="65"/>
        <v>658.78964575585599</v>
      </c>
      <c r="CD77" s="62">
        <f ca="1">AVERAGE(OFFSET($CC$3,0,0,'Données projet'!$E$12+1,1))-AVERAGE(OFFSET($H$3,0,0,'Données projet'!$E$12+1,1))</f>
        <v>277.27246253233807</v>
      </c>
      <c r="CE77" s="62">
        <f t="shared" si="94"/>
        <v>269.61868559913404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207.06191999999993</v>
      </c>
      <c r="CV77" s="14">
        <f t="shared" si="95"/>
        <v>51.293015758902222</v>
      </c>
      <c r="CW77" s="22">
        <f t="shared" si="67"/>
        <v>449.96817978008789</v>
      </c>
      <c r="CX77" s="62">
        <f t="shared" si="68"/>
        <v>743.30151311342115</v>
      </c>
      <c r="CY77" s="62">
        <f ca="1">AVERAGE(OFFSET($CX$3,0,0,'Données projet'!$E$13+1,1))-AVERAGE(OFFSET($H$3,0,0,'Données projet'!$E$13+1,1))</f>
        <v>402.15128814037058</v>
      </c>
      <c r="CZ77" s="62">
        <f t="shared" si="96"/>
        <v>232.85411068442738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5.3846153846153815</v>
      </c>
      <c r="DO77" s="13">
        <f>IF('Données projet'!$A$166&gt;35,DO76+DN77-DW76,IF(A77&lt;'Données projet'!$A$166,$DL$205^A77,IF(A77='Données projet'!$A$166,'Données projet'!$B$166,DO76+DN77-DW76)))</f>
        <v>272.17948717948696</v>
      </c>
      <c r="DP77" s="18">
        <f>DO77*VLOOKUP('Données projet'!$B$14,Paramètres!$A$1:$I$89,3,0)*VLOOKUP('Données projet'!$B$14,Paramètres!$A$1:$I$89,5,0)</f>
        <v>259.0059999999998</v>
      </c>
      <c r="DQ77" s="14">
        <f t="shared" si="97"/>
        <v>62.510450113312153</v>
      </c>
      <c r="DR77" s="22">
        <f t="shared" si="70"/>
        <v>559.9744839473517</v>
      </c>
      <c r="DS77" s="62">
        <f t="shared" si="71"/>
        <v>853.30781728068496</v>
      </c>
      <c r="DT77" s="62">
        <f ca="1">AVERAGE(OFFSET($DS$3,0,0,'Données projet'!$E$14+1,1))-AVERAGE(OFFSET($H$3,0,0,'Données projet'!$E$14+1,1))</f>
        <v>485.18236169209541</v>
      </c>
      <c r="DU77" s="62">
        <f t="shared" si="98"/>
        <v>417.30339652956951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4.8</v>
      </c>
      <c r="EJ77" s="13">
        <f>IF('Données projet'!$A$192&gt;35,EJ76+EI77-ER76,IF(A77&lt;'Données projet'!$A$192,$EG$205^A77,IF(A77='Données projet'!$A$192,'Données projet'!$B$192,EJ76+EI77-ER76)))</f>
        <v>370.1999999999997</v>
      </c>
      <c r="EK77" s="18">
        <f>EJ77*VLOOKUP('Données projet'!$B$15,Paramètres!$A$1:$I$89,3,0)*VLOOKUP('Données projet'!$B$15,Paramètres!$A$1:$I$89,5,0)</f>
        <v>294.53111999999976</v>
      </c>
      <c r="EL77" s="14">
        <f t="shared" si="99"/>
        <v>70.028751453157682</v>
      </c>
      <c r="EM77" s="22">
        <f t="shared" si="73"/>
        <v>634.94177611424914</v>
      </c>
      <c r="EN77" s="62">
        <f t="shared" si="74"/>
        <v>928.27510944758251</v>
      </c>
      <c r="EO77" s="62">
        <f ca="1">AVERAGE(OFFSET($EN$3,0,0,'Données projet'!$E$15+1,1))-AVERAGE(OFFSET($H$3,0,0,'Données projet'!$E$15+1,1))</f>
        <v>427.78067187784063</v>
      </c>
      <c r="EP77" s="62">
        <f t="shared" si="100"/>
        <v>464.22892523825118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12.555555555555555</v>
      </c>
      <c r="FE77" s="13">
        <f>IF('Données projet'!$A$218&gt;35,FE76+FD77-FM76,IF(A77&lt;'Données projet'!$A$218,$FB$205^A77,IF(A77='Données projet'!$A$218,'Données projet'!$B$218,FE76+FD77-FM76)))</f>
        <v>336.77777777777749</v>
      </c>
      <c r="FF77" s="18">
        <f>FE77*VLOOKUP('Données projet'!$B$16,Paramètres!$A$1:$I$89,3,0)*VLOOKUP('Données projet'!$B$16,Paramètres!$A$1:$I$89,5,0)</f>
        <v>288.95533333333316</v>
      </c>
      <c r="FG77" s="14">
        <f t="shared" si="101"/>
        <v>68.856046690289261</v>
      </c>
      <c r="FH77" s="22">
        <f t="shared" si="76"/>
        <v>623.18815354114236</v>
      </c>
      <c r="FI77" s="62">
        <f t="shared" si="77"/>
        <v>916.52148687447561</v>
      </c>
      <c r="FJ77" s="62">
        <f ca="1">AVERAGE(OFFSET($FI$3,0,0,'Données projet'!$E$16+1,1))-AVERAGE(OFFSET($H$3,0,0,'Données projet'!$E$16+1,1))</f>
        <v>448.44001099301806</v>
      </c>
      <c r="FK77" s="62">
        <f t="shared" si="102"/>
        <v>230.82970731138215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5.5128205128205083</v>
      </c>
      <c r="FZ77" s="13">
        <f>IF('Données projet'!$A$244&gt;35,FZ76+FY77-GH76,IF(A77&lt;'Données projet'!$A$244,$FW$205^A77,IF(A77='Données projet'!$A$244,'Données projet'!$B$244,FZ76+FY77-GH76)))</f>
        <v>335.51282051282027</v>
      </c>
      <c r="GA77" s="18">
        <f>FZ77*VLOOKUP('Données projet'!$B$17,Paramètres!$A$1:$I$89,3,0)*VLOOKUP('Données projet'!$B$17,Paramètres!$A$1:$I$89,5,0)</f>
        <v>225.06199999999984</v>
      </c>
      <c r="GB77" s="14">
        <f t="shared" si="103"/>
        <v>55.213625563226806</v>
      </c>
      <c r="GC77" s="22">
        <f t="shared" si="79"/>
        <v>488.14671452261973</v>
      </c>
      <c r="GD77" s="62">
        <f t="shared" si="80"/>
        <v>781.48004785595299</v>
      </c>
      <c r="GE77" s="62">
        <f ca="1">AVERAGE(OFFSET($GD$3,0,0,'Données projet'!$E$17+1,1))-AVERAGE(OFFSET($H$3,0,0,'Données projet'!$E$17+1,1))</f>
        <v>408.91016501484626</v>
      </c>
      <c r="GF77" s="62">
        <f t="shared" si="104"/>
        <v>354.22396807666433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7.6</v>
      </c>
      <c r="GU77" s="13">
        <f>IF('Données projet'!$A$270&gt;35,GU76+GT77-HC76,IF(A77&lt;'Données projet'!$A$270,$GR$205^A77,IF(A77='Données projet'!$A$270,'Données projet'!$B$270,GU76+GT77-HC76)))</f>
        <v>332.40000000000003</v>
      </c>
      <c r="GV77" s="18">
        <f>GU77*VLOOKUP('Données projet'!$B$18,Paramètres!$A$1:$I$89,3,0)*VLOOKUP('Données projet'!$B$18,Paramètres!$A$1:$I$89,5,0)</f>
        <v>321.49728000000005</v>
      </c>
      <c r="GW77" s="14">
        <f t="shared" si="105"/>
        <v>75.664807195585155</v>
      </c>
      <c r="GX77" s="22">
        <f t="shared" si="82"/>
        <v>691.72396853231078</v>
      </c>
      <c r="GY77" s="62">
        <f t="shared" si="83"/>
        <v>985.05730186564415</v>
      </c>
      <c r="GZ77" s="62">
        <f ca="1">AVERAGE(OFFSET($GY$3,0,0,'Données projet'!$E$18+1,1))-AVERAGE(OFFSET($H$3,0,0,'Données projet'!$E$18+1,1))</f>
        <v>562.69380557620775</v>
      </c>
      <c r="HA77" s="62">
        <f t="shared" si="106"/>
        <v>294.45557293177131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2">
        <f t="shared" si="55"/>
        <v>955.87391751040263</v>
      </c>
      <c r="S78" s="62">
        <f ca="1">AVERAGE(OFFSET($R$3,0,0,'Données projet'!$E$9+1,1))-AVERAGE(OFFSET($H$3,0,0,'Données projet'!$E$9+1,1))</f>
        <v>529.25712986118265</v>
      </c>
      <c r="T78" s="62">
        <f t="shared" si="88"/>
        <v>278.21741231699929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8.8675733422860506E-14</v>
      </c>
      <c r="AK78" s="14">
        <f t="shared" si="89"/>
        <v>1.3509285393066301E-12</v>
      </c>
      <c r="AL78" s="22">
        <f t="shared" si="58"/>
        <v>2.5073107750038623E-12</v>
      </c>
      <c r="AM78" s="62">
        <f t="shared" si="59"/>
        <v>293.33333333333582</v>
      </c>
      <c r="AN78" s="62">
        <f ca="1">AVERAGE(OFFSET($AM$3,0,0,'Données projet'!$E$10+1,1))-AVERAGE(OFFSET($H$3,0,0,'Données projet'!$E$10+1,1))</f>
        <v>292.57482726862594</v>
      </c>
      <c r="AO78" s="62">
        <f t="shared" si="90"/>
        <v>283.48738729114024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375</v>
      </c>
      <c r="BB78" s="13">
        <f>VLOOKUP(A78,'Données projet'!$A$87:$I$107,9,0)</f>
        <v>4.8</v>
      </c>
      <c r="BC78" s="13">
        <f t="array" ref="BC78">INDEX(BB:BB,MIN(IF(ISNUMBER(BB78:BB274),ROW(BB78:BB274),"")))</f>
        <v>4.8</v>
      </c>
      <c r="BD78" s="13">
        <f>IF('Données projet'!$A$88&gt;35,BD77+BC78-BL77,IF(A78&lt;'Données projet'!$A$88,$BA$205^A78,IF(A78='Données projet'!$A$88,'Données projet'!$B$88,BD77+BC78-BL77)))</f>
        <v>374.99999999999972</v>
      </c>
      <c r="BE78" s="14">
        <f>BD78*VLOOKUP('Données projet'!$B$11,Paramètres!$A$1:$I$89,3,0)*VLOOKUP('Données projet'!$B$11,Paramètres!$A$1:$I$89,5,0)</f>
        <v>274.94999999999976</v>
      </c>
      <c r="BF78" s="14">
        <f t="shared" si="91"/>
        <v>65.898670891956897</v>
      </c>
      <c r="BG78" s="22">
        <f t="shared" si="61"/>
        <v>593.64476847015783</v>
      </c>
      <c r="BH78" s="62">
        <f t="shared" si="62"/>
        <v>886.9781018034912</v>
      </c>
      <c r="BI78" s="62">
        <f ca="1">AVERAGE(OFFSET($BH$3,0,0,'Données projet'!$E$11+1,1))-AVERAGE(OFFSET($H$3,0,0,'Données projet'!$E$11+1,1))</f>
        <v>397.24545766894346</v>
      </c>
      <c r="BJ78" s="62">
        <f t="shared" si="92"/>
        <v>431.44557882369696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260</v>
      </c>
      <c r="BW78" s="13">
        <f>VLOOKUP(A78,'Données projet'!$A$113:$I$133,9,0)</f>
        <v>4.5999999999999996</v>
      </c>
      <c r="BX78" s="13">
        <f t="array" ref="BX78">INDEX(BW:BW,MIN(IF(ISNUMBER(BW78:BW274),ROW(BW78:BW274),"")))</f>
        <v>4.5999999999999996</v>
      </c>
      <c r="BY78" s="13">
        <f>IF('Données projet'!$A$114&gt;35,BY77+BX78-CG77,IF(A78&lt;'Données projet'!$A$114,$BV$205^A78,IF(A78='Données projet'!$A$114,'Données projet'!$B$114,BY77+BX78-CG77)))</f>
        <v>260.00000000000011</v>
      </c>
      <c r="BZ78" s="14">
        <f>BY78*VLOOKUP('Données projet'!$B$12,Paramètres!$A$1:$I$89,3,0)*VLOOKUP('Données projet'!$B$12,Paramètres!$A$1:$I$89,5,0)</f>
        <v>170.35200000000009</v>
      </c>
      <c r="CA78" s="14">
        <f t="shared" si="93"/>
        <v>43.168850382694487</v>
      </c>
      <c r="CB78" s="22">
        <f t="shared" si="64"/>
        <v>371.88214774985971</v>
      </c>
      <c r="CC78" s="62">
        <f t="shared" si="65"/>
        <v>665.21548108319303</v>
      </c>
      <c r="CD78" s="62">
        <f ca="1">AVERAGE(OFFSET($CC$3,0,0,'Données projet'!$E$12+1,1))-AVERAGE(OFFSET($H$3,0,0,'Données projet'!$E$12+1,1))</f>
        <v>277.27246253233807</v>
      </c>
      <c r="CE78" s="62">
        <f t="shared" si="94"/>
        <v>269.61868559913404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37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212.28479999999993</v>
      </c>
      <c r="CV78" s="14">
        <f t="shared" si="95"/>
        <v>52.434557099704143</v>
      </c>
      <c r="CW78" s="22">
        <f t="shared" si="67"/>
        <v>461.05288028198464</v>
      </c>
      <c r="CX78" s="62">
        <f t="shared" si="68"/>
        <v>754.38621361531796</v>
      </c>
      <c r="CY78" s="62">
        <f ca="1">AVERAGE(OFFSET($CX$3,0,0,'Données projet'!$E$13+1,1))-AVERAGE(OFFSET($H$3,0,0,'Données projet'!$E$13+1,1))</f>
        <v>402.15128814037058</v>
      </c>
      <c r="CZ78" s="62">
        <f t="shared" si="96"/>
        <v>232.85411068442738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277.56410256410254</v>
      </c>
      <c r="DM78" s="13">
        <f>VLOOKUP(A78,'Données projet'!$A$165:$I$185,9,0)</f>
        <v>5.3846153846153815</v>
      </c>
      <c r="DN78" s="13">
        <f t="array" ref="DN78">INDEX(DM:DM,MIN(IF(ISNUMBER(DM78:DM274),ROW(DM78:DM274),"")))</f>
        <v>5.3846153846153815</v>
      </c>
      <c r="DO78" s="13">
        <f>IF('Données projet'!$A$166&gt;35,DO77+DN78-DW77,IF(A78&lt;'Données projet'!$A$166,$DL$205^A78,IF(A78='Données projet'!$A$166,'Données projet'!$B$166,DO77+DN78-DW77)))</f>
        <v>277.56410256410231</v>
      </c>
      <c r="DP78" s="18">
        <f>DO78*VLOOKUP('Données projet'!$B$14,Paramètres!$A$1:$I$89,3,0)*VLOOKUP('Données projet'!$B$14,Paramètres!$A$1:$I$89,5,0)</f>
        <v>264.12999999999977</v>
      </c>
      <c r="DQ78" s="14">
        <f t="shared" si="97"/>
        <v>63.601917960783041</v>
      </c>
      <c r="DR78" s="22">
        <f t="shared" si="70"/>
        <v>570.79975711503005</v>
      </c>
      <c r="DS78" s="62">
        <f t="shared" si="71"/>
        <v>864.13309044836342</v>
      </c>
      <c r="DT78" s="62">
        <f ca="1">AVERAGE(OFFSET($DS$3,0,0,'Données projet'!$E$14+1,1))-AVERAGE(OFFSET($H$3,0,0,'Données projet'!$E$14+1,1))</f>
        <v>485.18236169209541</v>
      </c>
      <c r="DU78" s="62">
        <f t="shared" si="98"/>
        <v>417.30339652956951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375</v>
      </c>
      <c r="EH78" s="13">
        <f>VLOOKUP(A78,'Données projet'!$A$191:$I$211,9,0)</f>
        <v>4.8</v>
      </c>
      <c r="EI78" s="13">
        <f t="array" ref="EI78">INDEX(EH:EH,MIN(IF(ISNUMBER(EH78:EH274),ROW(EH78:EH274),"")))</f>
        <v>4.8</v>
      </c>
      <c r="EJ78" s="13">
        <f>IF('Données projet'!$A$192&gt;35,EJ77+EI78-ER77,IF(A78&lt;'Données projet'!$A$192,$EG$205^A78,IF(A78='Données projet'!$A$192,'Données projet'!$B$192,EJ77+EI78-ER77)))</f>
        <v>374.99999999999972</v>
      </c>
      <c r="EK78" s="18">
        <f>EJ78*VLOOKUP('Données projet'!$B$15,Paramètres!$A$1:$I$89,3,0)*VLOOKUP('Données projet'!$B$15,Paramètres!$A$1:$I$89,5,0)</f>
        <v>298.3499999999998</v>
      </c>
      <c r="EL78" s="14">
        <f t="shared" si="99"/>
        <v>70.83044914753448</v>
      </c>
      <c r="EM78" s="22">
        <f t="shared" si="73"/>
        <v>642.98928226528881</v>
      </c>
      <c r="EN78" s="62">
        <f t="shared" si="74"/>
        <v>936.32261559862218</v>
      </c>
      <c r="EO78" s="62">
        <f ca="1">AVERAGE(OFFSET($EN$3,0,0,'Données projet'!$E$15+1,1))-AVERAGE(OFFSET($H$3,0,0,'Données projet'!$E$15+1,1))</f>
        <v>427.78067187784063</v>
      </c>
      <c r="EP78" s="62">
        <f t="shared" si="100"/>
        <v>464.22892523825118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12.555555555555555</v>
      </c>
      <c r="FE78" s="13">
        <f>IF('Données projet'!$A$218&gt;35,FE77+FD78-FM77,IF(A78&lt;'Données projet'!$A$218,$FB$205^A78,IF(A78='Données projet'!$A$218,'Données projet'!$B$218,FE77+FD78-FM77)))</f>
        <v>349.33333333333303</v>
      </c>
      <c r="FF78" s="18">
        <f>FE78*VLOOKUP('Données projet'!$B$16,Paramètres!$A$1:$I$89,3,0)*VLOOKUP('Données projet'!$B$16,Paramètres!$A$1:$I$89,5,0)</f>
        <v>299.72799999999978</v>
      </c>
      <c r="FG78" s="14">
        <f t="shared" si="101"/>
        <v>71.119438818118951</v>
      </c>
      <c r="FH78" s="22">
        <f t="shared" si="76"/>
        <v>645.89262260822341</v>
      </c>
      <c r="FI78" s="62">
        <f t="shared" si="77"/>
        <v>939.22595594155678</v>
      </c>
      <c r="FJ78" s="62">
        <f ca="1">AVERAGE(OFFSET($FI$3,0,0,'Données projet'!$E$16+1,1))-AVERAGE(OFFSET($H$3,0,0,'Données projet'!$E$16+1,1))</f>
        <v>448.44001099301806</v>
      </c>
      <c r="FK78" s="62">
        <f t="shared" si="102"/>
        <v>230.82970731138215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341.02564102564099</v>
      </c>
      <c r="FX78" s="13">
        <f>VLOOKUP(A78,'Données projet'!$A$243:$I$263,9,0)</f>
        <v>5.5128205128205083</v>
      </c>
      <c r="FY78" s="13">
        <f t="array" ref="FY78">INDEX(FX:FX,MIN(IF(ISNUMBER(FX78:FX274),ROW(FX78:FX274),"")))</f>
        <v>5.5128205128205083</v>
      </c>
      <c r="FZ78" s="13">
        <f>IF('Données projet'!$A$244&gt;35,FZ77+FY78-GH77,IF(A78&lt;'Données projet'!$A$244,$FW$205^A78,IF(A78='Données projet'!$A$244,'Données projet'!$B$244,FZ77+FY78-GH77)))</f>
        <v>341.02564102564077</v>
      </c>
      <c r="GA78" s="18">
        <f>FZ78*VLOOKUP('Données projet'!$B$17,Paramètres!$A$1:$I$89,3,0)*VLOOKUP('Données projet'!$B$17,Paramètres!$A$1:$I$89,5,0)</f>
        <v>228.75999999999982</v>
      </c>
      <c r="GB78" s="14">
        <f t="shared" si="103"/>
        <v>56.01448024255054</v>
      </c>
      <c r="GC78" s="22">
        <f t="shared" si="79"/>
        <v>495.98221975577513</v>
      </c>
      <c r="GD78" s="62">
        <f t="shared" si="80"/>
        <v>789.31555308910845</v>
      </c>
      <c r="GE78" s="62">
        <f ca="1">AVERAGE(OFFSET($GD$3,0,0,'Données projet'!$E$17+1,1))-AVERAGE(OFFSET($H$3,0,0,'Données projet'!$E$17+1,1))</f>
        <v>408.91016501484626</v>
      </c>
      <c r="GF78" s="62">
        <f t="shared" si="104"/>
        <v>354.22396807666433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340</v>
      </c>
      <c r="GS78" s="13">
        <f>VLOOKUP(A78,'Données projet'!$A$269:$I$289,9,0)</f>
        <v>7.6</v>
      </c>
      <c r="GT78" s="13">
        <f t="array" ref="GT78">INDEX(GS:GS,MIN(IF(ISNUMBER(GS78:GS274),ROW(GS78:GS274),"")))</f>
        <v>7.6</v>
      </c>
      <c r="GU78" s="13">
        <f>IF('Données projet'!$A$270&gt;35,GU77+GT78-HC77,IF(A78&lt;'Données projet'!$A$270,$GR$205^A78,IF(A78='Données projet'!$A$270,'Données projet'!$B$270,GU77+GT78-HC77)))</f>
        <v>340.00000000000006</v>
      </c>
      <c r="GV78" s="18">
        <f>GU78*VLOOKUP('Données projet'!$B$18,Paramètres!$A$1:$I$89,3,0)*VLOOKUP('Données projet'!$B$18,Paramètres!$A$1:$I$89,5,0)</f>
        <v>328.84800000000007</v>
      </c>
      <c r="GW78" s="14">
        <f t="shared" si="105"/>
        <v>77.191419592112595</v>
      </c>
      <c r="GX78" s="22">
        <f t="shared" si="82"/>
        <v>707.18532245626284</v>
      </c>
      <c r="GY78" s="62">
        <f t="shared" si="83"/>
        <v>1000.5186557895961</v>
      </c>
      <c r="GZ78" s="62">
        <f ca="1">AVERAGE(OFFSET($GY$3,0,0,'Données projet'!$E$18+1,1))-AVERAGE(OFFSET($H$3,0,0,'Données projet'!$E$18+1,1))</f>
        <v>562.69380557620775</v>
      </c>
      <c r="HA78" s="62">
        <f t="shared" si="106"/>
        <v>294.45557293177131</v>
      </c>
      <c r="HB78" s="16">
        <f>IF(ISNA(VLOOKUP(A78,'Données projet'!$A$269:$I$289,3,0)),0,VLOOKUP(A78,'Données projet'!$A$269:$I$289,3,0))</f>
        <v>6</v>
      </c>
      <c r="HC78" s="16">
        <f>IF(ISNA(VLOOKUP(A78,'Données projet'!$A$269:$I$289,4,0)),0,VLOOKUP(A78,'Données projet'!$A$269:$I$289,4,0))</f>
        <v>56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529.25712986118265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8.8675733422860506E-14</v>
      </c>
      <c r="AK79" s="14">
        <f t="shared" si="89"/>
        <v>1.3509285393066301E-12</v>
      </c>
      <c r="AL79" s="22">
        <f t="shared" si="58"/>
        <v>2.5073107750038623E-12</v>
      </c>
      <c r="AM79" s="62">
        <f t="shared" si="59"/>
        <v>293.33333333333582</v>
      </c>
      <c r="AN79" s="62">
        <f ca="1">AVERAGE(OFFSET($AM$3,0,0,'Données projet'!$E$10+1,1))-AVERAGE(OFFSET($H$3,0,0,'Données projet'!$E$10+1,1))</f>
        <v>292.57482726862594</v>
      </c>
      <c r="AO79" s="62">
        <f t="shared" si="90"/>
        <v>283.48738729114024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4.2</v>
      </c>
      <c r="BD79" s="13">
        <f>IF('Données projet'!$A$88&gt;35,BD78+BC79-BL78,IF(A79&lt;'Données projet'!$A$88,$BA$205^A79,IF(A79='Données projet'!$A$88,'Données projet'!$B$88,BD78+BC79-BL78)))</f>
        <v>379.1999999999997</v>
      </c>
      <c r="BE79" s="14">
        <f>BD79*VLOOKUP('Données projet'!$B$11,Paramètres!$A$1:$I$89,3,0)*VLOOKUP('Données projet'!$B$11,Paramètres!$A$1:$I$89,5,0)</f>
        <v>278.02943999999979</v>
      </c>
      <c r="BF79" s="14">
        <f t="shared" si="91"/>
        <v>66.550401887742893</v>
      </c>
      <c r="BG79" s="22">
        <f t="shared" si="61"/>
        <v>600.14322462115194</v>
      </c>
      <c r="BH79" s="62">
        <f t="shared" si="62"/>
        <v>893.47655795448532</v>
      </c>
      <c r="BI79" s="62">
        <f ca="1">AVERAGE(OFFSET($BH$3,0,0,'Données projet'!$E$11+1,1))-AVERAGE(OFFSET($H$3,0,0,'Données projet'!$E$11+1,1))</f>
        <v>397.24545766894346</v>
      </c>
      <c r="BJ79" s="62">
        <f t="shared" si="92"/>
        <v>431.44557882369696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4.2</v>
      </c>
      <c r="BY79" s="13">
        <f>IF('Données projet'!$A$114&gt;35,BY78+BX79-CG78,IF(A79&lt;'Données projet'!$A$114,$BV$205^A79,IF(A79='Données projet'!$A$114,'Données projet'!$B$114,BY78+BX79-CG78)))</f>
        <v>227.2000000000001</v>
      </c>
      <c r="BZ79" s="14">
        <f>BY79*VLOOKUP('Données projet'!$B$12,Paramètres!$A$1:$I$89,3,0)*VLOOKUP('Données projet'!$B$12,Paramètres!$A$1:$I$89,5,0)</f>
        <v>148.86144000000007</v>
      </c>
      <c r="CA79" s="14">
        <f t="shared" si="93"/>
        <v>38.319729148991954</v>
      </c>
      <c r="CB79" s="22">
        <f t="shared" si="64"/>
        <v>326.00720293449439</v>
      </c>
      <c r="CC79" s="62">
        <f t="shared" si="65"/>
        <v>619.3405362678277</v>
      </c>
      <c r="CD79" s="62">
        <f ca="1">AVERAGE(OFFSET($CC$3,0,0,'Données projet'!$E$12+1,1))-AVERAGE(OFFSET($H$3,0,0,'Données projet'!$E$12+1,1))</f>
        <v>277.27246253233807</v>
      </c>
      <c r="CE79" s="62">
        <f t="shared" si="94"/>
        <v>269.61868559913404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217.33919999999992</v>
      </c>
      <c r="CV79" s="14">
        <f t="shared" si="95"/>
        <v>53.536165068020416</v>
      </c>
      <c r="CW79" s="22">
        <f t="shared" si="67"/>
        <v>471.77459416013545</v>
      </c>
      <c r="CX79" s="62">
        <f t="shared" si="68"/>
        <v>765.10792749346876</v>
      </c>
      <c r="CY79" s="62">
        <f ca="1">AVERAGE(OFFSET($CX$3,0,0,'Données projet'!$E$13+1,1))-AVERAGE(OFFSET($H$3,0,0,'Données projet'!$E$13+1,1))</f>
        <v>402.15128814037058</v>
      </c>
      <c r="CZ79" s="62">
        <f t="shared" si="96"/>
        <v>232.85411068442738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5</v>
      </c>
      <c r="DO79" s="13">
        <f>IF('Données projet'!$A$166&gt;35,DO78+DN79-DW78,IF(A79&lt;'Données projet'!$A$166,$DL$205^A79,IF(A79='Données projet'!$A$166,'Données projet'!$B$166,DO78+DN79-DW78)))</f>
        <v>282.56410256410231</v>
      </c>
      <c r="DP79" s="18">
        <f>DO79*VLOOKUP('Données projet'!$B$14,Paramètres!$A$1:$I$89,3,0)*VLOOKUP('Données projet'!$B$14,Paramètres!$A$1:$I$89,5,0)</f>
        <v>268.88799999999975</v>
      </c>
      <c r="DQ79" s="14">
        <f t="shared" si="97"/>
        <v>64.613218168606437</v>
      </c>
      <c r="DR79" s="22">
        <f t="shared" si="70"/>
        <v>580.84795497698917</v>
      </c>
      <c r="DS79" s="62">
        <f t="shared" si="71"/>
        <v>874.18128831032254</v>
      </c>
      <c r="DT79" s="62">
        <f ca="1">AVERAGE(OFFSET($DS$3,0,0,'Données projet'!$E$14+1,1))-AVERAGE(OFFSET($H$3,0,0,'Données projet'!$E$14+1,1))</f>
        <v>485.18236169209541</v>
      </c>
      <c r="DU79" s="62">
        <f t="shared" si="98"/>
        <v>417.30339652956951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4.2</v>
      </c>
      <c r="EJ79" s="13">
        <f>IF('Données projet'!$A$192&gt;35,EJ78+EI79-ER78,IF(A79&lt;'Données projet'!$A$192,$EG$205^A79,IF(A79='Données projet'!$A$192,'Données projet'!$B$192,EJ78+EI79-ER78)))</f>
        <v>379.1999999999997</v>
      </c>
      <c r="EK79" s="18">
        <f>EJ79*VLOOKUP('Données projet'!$B$15,Paramètres!$A$1:$I$89,3,0)*VLOOKUP('Données projet'!$B$15,Paramètres!$A$1:$I$89,5,0)</f>
        <v>301.6915199999998</v>
      </c>
      <c r="EL79" s="14">
        <f t="shared" si="99"/>
        <v>71.530954916923548</v>
      </c>
      <c r="EM79" s="22">
        <f t="shared" si="73"/>
        <v>650.02914381364155</v>
      </c>
      <c r="EN79" s="62">
        <f t="shared" si="74"/>
        <v>943.36247714697492</v>
      </c>
      <c r="EO79" s="62">
        <f ca="1">AVERAGE(OFFSET($EN$3,0,0,'Données projet'!$E$15+1,1))-AVERAGE(OFFSET($H$3,0,0,'Données projet'!$E$15+1,1))</f>
        <v>427.78067187784063</v>
      </c>
      <c r="EP79" s="62">
        <f t="shared" si="100"/>
        <v>464.22892523825118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12.555555555555555</v>
      </c>
      <c r="FE79" s="13">
        <f>IF('Données projet'!$A$218&gt;35,FE78+FD79-FM78,IF(A79&lt;'Données projet'!$A$218,$FB$205^A79,IF(A79='Données projet'!$A$218,'Données projet'!$B$218,FE78+FD79-FM78)))</f>
        <v>361.88888888888857</v>
      </c>
      <c r="FF79" s="18">
        <f>FE79*VLOOKUP('Données projet'!$B$16,Paramètres!$A$1:$I$89,3,0)*VLOOKUP('Données projet'!$B$16,Paramètres!$A$1:$I$89,5,0)</f>
        <v>310.5006666666664</v>
      </c>
      <c r="FG79" s="14">
        <f t="shared" si="101"/>
        <v>73.373379476611461</v>
      </c>
      <c r="FH79" s="22">
        <f t="shared" si="76"/>
        <v>668.58063036620888</v>
      </c>
      <c r="FI79" s="62">
        <f t="shared" si="77"/>
        <v>961.91396369954214</v>
      </c>
      <c r="FJ79" s="62">
        <f ca="1">AVERAGE(OFFSET($FI$3,0,0,'Données projet'!$E$16+1,1))-AVERAGE(OFFSET($H$3,0,0,'Données projet'!$E$16+1,1))</f>
        <v>448.44001099301806</v>
      </c>
      <c r="FK79" s="62">
        <f t="shared" si="102"/>
        <v>230.82970731138215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5.3846153846153921</v>
      </c>
      <c r="FZ79" s="13">
        <f>IF('Données projet'!$A$244&gt;35,FZ78+FY79-GH78,IF(A79&lt;'Données projet'!$A$244,$FW$205^A79,IF(A79='Données projet'!$A$244,'Données projet'!$B$244,FZ78+FY79-GH78)))</f>
        <v>346.41025641025618</v>
      </c>
      <c r="GA79" s="18">
        <f>FZ79*VLOOKUP('Données projet'!$B$17,Paramètres!$A$1:$I$89,3,0)*VLOOKUP('Données projet'!$B$17,Paramètres!$A$1:$I$89,5,0)</f>
        <v>232.37199999999984</v>
      </c>
      <c r="GB79" s="14">
        <f t="shared" si="103"/>
        <v>56.795256722044932</v>
      </c>
      <c r="GC79" s="22">
        <f t="shared" si="79"/>
        <v>503.63297212422799</v>
      </c>
      <c r="GD79" s="62">
        <f t="shared" si="80"/>
        <v>796.96630545756125</v>
      </c>
      <c r="GE79" s="62">
        <f ca="1">AVERAGE(OFFSET($GD$3,0,0,'Données projet'!$E$17+1,1))-AVERAGE(OFFSET($H$3,0,0,'Données projet'!$E$17+1,1))</f>
        <v>408.91016501484626</v>
      </c>
      <c r="GF79" s="62">
        <f t="shared" si="104"/>
        <v>354.22396807666433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7.2</v>
      </c>
      <c r="GU79" s="13">
        <f>IF('Données projet'!$A$270&gt;35,GU78+GT79-HC78,IF(A79&lt;'Données projet'!$A$270,$GR$205^A79,IF(A79='Données projet'!$A$270,'Données projet'!$B$270,GU78+GT79-HC78)))</f>
        <v>291.20000000000005</v>
      </c>
      <c r="GV79" s="18">
        <f>GU79*VLOOKUP('Données projet'!$B$18,Paramètres!$A$1:$I$89,3,0)*VLOOKUP('Données projet'!$B$18,Paramètres!$A$1:$I$89,5,0)</f>
        <v>281.64864000000006</v>
      </c>
      <c r="GW79" s="14">
        <f t="shared" si="105"/>
        <v>67.315294774697747</v>
      </c>
      <c r="GX79" s="22">
        <f t="shared" si="82"/>
        <v>607.77885306593191</v>
      </c>
      <c r="GY79" s="62">
        <f t="shared" si="83"/>
        <v>901.11218639926528</v>
      </c>
      <c r="GZ79" s="62">
        <f ca="1">AVERAGE(OFFSET($GY$3,0,0,'Données projet'!$E$18+1,1))-AVERAGE(OFFSET($H$3,0,0,'Données projet'!$E$18+1,1))</f>
        <v>562.69380557620775</v>
      </c>
      <c r="HA79" s="62">
        <f t="shared" si="106"/>
        <v>294.45557293177131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529.25712986118265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8.8675733422860506E-14</v>
      </c>
      <c r="AK80" s="14">
        <f t="shared" si="89"/>
        <v>1.3509285393066301E-12</v>
      </c>
      <c r="AL80" s="22">
        <f t="shared" si="58"/>
        <v>2.5073107750038623E-12</v>
      </c>
      <c r="AM80" s="62">
        <f t="shared" si="59"/>
        <v>293.33333333333582</v>
      </c>
      <c r="AN80" s="62">
        <f ca="1">AVERAGE(OFFSET($AM$3,0,0,'Données projet'!$E$10+1,1))-AVERAGE(OFFSET($H$3,0,0,'Données projet'!$E$10+1,1))</f>
        <v>292.57482726862594</v>
      </c>
      <c r="AO80" s="62">
        <f t="shared" si="90"/>
        <v>283.48738729114024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4.2</v>
      </c>
      <c r="BD80" s="13">
        <f>IF('Données projet'!$A$88&gt;35,BD79+BC80-BL79,IF(A80&lt;'Données projet'!$A$88,$BA$205^A80,IF(A80='Données projet'!$A$88,'Données projet'!$B$88,BD79+BC80-BL79)))</f>
        <v>383.39999999999969</v>
      </c>
      <c r="BE80" s="14">
        <f>BD80*VLOOKUP('Données projet'!$B$11,Paramètres!$A$1:$I$89,3,0)*VLOOKUP('Données projet'!$B$11,Paramètres!$A$1:$I$89,5,0)</f>
        <v>281.10887999999977</v>
      </c>
      <c r="BF80" s="14">
        <f t="shared" si="91"/>
        <v>67.201293168774569</v>
      </c>
      <c r="BG80" s="22">
        <f t="shared" si="61"/>
        <v>606.64021826894862</v>
      </c>
      <c r="BH80" s="62">
        <f t="shared" si="62"/>
        <v>899.97355160228199</v>
      </c>
      <c r="BI80" s="62">
        <f ca="1">AVERAGE(OFFSET($BH$3,0,0,'Données projet'!$E$11+1,1))-AVERAGE(OFFSET($H$3,0,0,'Données projet'!$E$11+1,1))</f>
        <v>397.24545766894346</v>
      </c>
      <c r="BJ80" s="62">
        <f t="shared" si="92"/>
        <v>431.44557882369696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4.2</v>
      </c>
      <c r="BY80" s="13">
        <f>IF('Données projet'!$A$114&gt;35,BY79+BX80-CG79,IF(A80&lt;'Données projet'!$A$114,$BV$205^A80,IF(A80='Données projet'!$A$114,'Données projet'!$B$114,BY79+BX80-CG79)))</f>
        <v>231.40000000000009</v>
      </c>
      <c r="BZ80" s="14">
        <f>BY80*VLOOKUP('Données projet'!$B$12,Paramètres!$A$1:$I$89,3,0)*VLOOKUP('Données projet'!$B$12,Paramètres!$A$1:$I$89,5,0)</f>
        <v>151.61328000000006</v>
      </c>
      <c r="CA80" s="14">
        <f t="shared" si="93"/>
        <v>38.944980714143632</v>
      </c>
      <c r="CB80" s="22">
        <f t="shared" si="64"/>
        <v>331.88897074380026</v>
      </c>
      <c r="CC80" s="62">
        <f t="shared" si="65"/>
        <v>625.22230407713357</v>
      </c>
      <c r="CD80" s="62">
        <f ca="1">AVERAGE(OFFSET($CC$3,0,0,'Données projet'!$E$12+1,1))-AVERAGE(OFFSET($H$3,0,0,'Données projet'!$E$12+1,1))</f>
        <v>277.27246253233807</v>
      </c>
      <c r="CE80" s="62">
        <f t="shared" si="94"/>
        <v>269.61868559913404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222.39359999999994</v>
      </c>
      <c r="CV80" s="14">
        <f t="shared" si="95"/>
        <v>54.634794757949287</v>
      </c>
      <c r="CW80" s="22">
        <f t="shared" si="67"/>
        <v>482.4911208700949</v>
      </c>
      <c r="CX80" s="62">
        <f t="shared" si="68"/>
        <v>775.82445420342822</v>
      </c>
      <c r="CY80" s="62">
        <f ca="1">AVERAGE(OFFSET($CX$3,0,0,'Données projet'!$E$13+1,1))-AVERAGE(OFFSET($H$3,0,0,'Données projet'!$E$13+1,1))</f>
        <v>402.15128814037058</v>
      </c>
      <c r="CZ80" s="62">
        <f t="shared" si="96"/>
        <v>232.85411068442738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5</v>
      </c>
      <c r="DO80" s="13">
        <f>IF('Données projet'!$A$166&gt;35,DO79+DN80-DW79,IF(A80&lt;'Données projet'!$A$166,$DL$205^A80,IF(A80='Données projet'!$A$166,'Données projet'!$B$166,DO79+DN80-DW79)))</f>
        <v>287.56410256410231</v>
      </c>
      <c r="DP80" s="18">
        <f>DO80*VLOOKUP('Données projet'!$B$14,Paramètres!$A$1:$I$89,3,0)*VLOOKUP('Données projet'!$B$14,Paramètres!$A$1:$I$89,5,0)</f>
        <v>273.64599999999979</v>
      </c>
      <c r="DQ80" s="14">
        <f t="shared" si="97"/>
        <v>65.622437420556338</v>
      </c>
      <c r="DR80" s="22">
        <f t="shared" si="70"/>
        <v>590.89252850746846</v>
      </c>
      <c r="DS80" s="62">
        <f t="shared" si="71"/>
        <v>884.22586184080183</v>
      </c>
      <c r="DT80" s="62">
        <f ca="1">AVERAGE(OFFSET($DS$3,0,0,'Données projet'!$E$14+1,1))-AVERAGE(OFFSET($H$3,0,0,'Données projet'!$E$14+1,1))</f>
        <v>485.18236169209541</v>
      </c>
      <c r="DU80" s="62">
        <f t="shared" si="98"/>
        <v>417.30339652956951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4.2</v>
      </c>
      <c r="EJ80" s="13">
        <f>IF('Données projet'!$A$192&gt;35,EJ79+EI80-ER79,IF(A80&lt;'Données projet'!$A$192,$EG$205^A80,IF(A80='Données projet'!$A$192,'Données projet'!$B$192,EJ79+EI80-ER79)))</f>
        <v>383.39999999999969</v>
      </c>
      <c r="EK80" s="18">
        <f>EJ80*VLOOKUP('Données projet'!$B$15,Paramètres!$A$1:$I$89,3,0)*VLOOKUP('Données projet'!$B$15,Paramètres!$A$1:$I$89,5,0)</f>
        <v>305.0330399999998</v>
      </c>
      <c r="EL80" s="14">
        <f t="shared" si="99"/>
        <v>72.230558128303628</v>
      </c>
      <c r="EM80" s="22">
        <f t="shared" si="73"/>
        <v>657.06743340679509</v>
      </c>
      <c r="EN80" s="62">
        <f t="shared" si="74"/>
        <v>950.40076674012835</v>
      </c>
      <c r="EO80" s="62">
        <f ca="1">AVERAGE(OFFSET($EN$3,0,0,'Données projet'!$E$15+1,1))-AVERAGE(OFFSET($H$3,0,0,'Données projet'!$E$15+1,1))</f>
        <v>427.78067187784063</v>
      </c>
      <c r="EP80" s="62">
        <f t="shared" si="100"/>
        <v>464.22892523825118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12.555555555555555</v>
      </c>
      <c r="FE80" s="13">
        <f>IF('Données projet'!$A$218&gt;35,FE79+FD80-FM79,IF(A80&lt;'Données projet'!$A$218,$FB$205^A80,IF(A80='Données projet'!$A$218,'Données projet'!$B$218,FE79+FD80-FM79)))</f>
        <v>374.44444444444412</v>
      </c>
      <c r="FF80" s="18">
        <f>FE80*VLOOKUP('Données projet'!$B$16,Paramètres!$A$1:$I$89,3,0)*VLOOKUP('Données projet'!$B$16,Paramètres!$A$1:$I$89,5,0)</f>
        <v>321.27333333333308</v>
      </c>
      <c r="FG80" s="14">
        <f t="shared" si="101"/>
        <v>75.618234159828049</v>
      </c>
      <c r="FH80" s="22">
        <f t="shared" si="76"/>
        <v>691.25281338392233</v>
      </c>
      <c r="FI80" s="62">
        <f t="shared" si="77"/>
        <v>984.58614671725559</v>
      </c>
      <c r="FJ80" s="62">
        <f ca="1">AVERAGE(OFFSET($FI$3,0,0,'Données projet'!$E$16+1,1))-AVERAGE(OFFSET($H$3,0,0,'Données projet'!$E$16+1,1))</f>
        <v>448.44001099301806</v>
      </c>
      <c r="FK80" s="62">
        <f t="shared" si="102"/>
        <v>230.82970731138215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5.3846153846153921</v>
      </c>
      <c r="FZ80" s="13">
        <f>IF('Données projet'!$A$244&gt;35,FZ79+FY80-GH79,IF(A80&lt;'Données projet'!$A$244,$FW$205^A80,IF(A80='Données projet'!$A$244,'Données projet'!$B$244,FZ79+FY80-GH79)))</f>
        <v>351.7948717948716</v>
      </c>
      <c r="GA80" s="18">
        <f>FZ80*VLOOKUP('Données projet'!$B$17,Paramètres!$A$1:$I$89,3,0)*VLOOKUP('Données projet'!$B$17,Paramètres!$A$1:$I$89,5,0)</f>
        <v>235.98399999999987</v>
      </c>
      <c r="GB80" s="14">
        <f t="shared" si="103"/>
        <v>57.574621739155759</v>
      </c>
      <c r="GC80" s="22">
        <f t="shared" si="79"/>
        <v>511.28126619569599</v>
      </c>
      <c r="GD80" s="62">
        <f t="shared" si="80"/>
        <v>804.61459952902931</v>
      </c>
      <c r="GE80" s="62">
        <f ca="1">AVERAGE(OFFSET($GD$3,0,0,'Données projet'!$E$17+1,1))-AVERAGE(OFFSET($H$3,0,0,'Données projet'!$E$17+1,1))</f>
        <v>408.91016501484626</v>
      </c>
      <c r="GF80" s="62">
        <f t="shared" si="104"/>
        <v>354.22396807666433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7.2</v>
      </c>
      <c r="GU80" s="13">
        <f>IF('Données projet'!$A$270&gt;35,GU79+GT80-HC79,IF(A80&lt;'Données projet'!$A$270,$GR$205^A80,IF(A80='Données projet'!$A$270,'Données projet'!$B$270,GU79+GT80-HC79)))</f>
        <v>298.40000000000003</v>
      </c>
      <c r="GV80" s="18">
        <f>GU80*VLOOKUP('Données projet'!$B$18,Paramètres!$A$1:$I$89,3,0)*VLOOKUP('Données projet'!$B$18,Paramètres!$A$1:$I$89,5,0)</f>
        <v>288.61248000000001</v>
      </c>
      <c r="GW80" s="14">
        <f t="shared" si="105"/>
        <v>68.783851967051476</v>
      </c>
      <c r="GX80" s="22">
        <f t="shared" si="82"/>
        <v>622.4652781759479</v>
      </c>
      <c r="GY80" s="62">
        <f t="shared" si="83"/>
        <v>915.79861150928127</v>
      </c>
      <c r="GZ80" s="62">
        <f ca="1">AVERAGE(OFFSET($GY$3,0,0,'Données projet'!$E$18+1,1))-AVERAGE(OFFSET($H$3,0,0,'Données projet'!$E$18+1,1))</f>
        <v>562.69380557620775</v>
      </c>
      <c r="HA80" s="62">
        <f t="shared" si="106"/>
        <v>294.45557293177131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529.25712986118265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8.8675733422860506E-14</v>
      </c>
      <c r="AK81" s="14">
        <f t="shared" si="89"/>
        <v>1.3509285393066301E-12</v>
      </c>
      <c r="AL81" s="22">
        <f t="shared" si="58"/>
        <v>2.5073107750038623E-12</v>
      </c>
      <c r="AM81" s="62">
        <f t="shared" si="59"/>
        <v>293.33333333333582</v>
      </c>
      <c r="AN81" s="62">
        <f ca="1">AVERAGE(OFFSET($AM$3,0,0,'Données projet'!$E$10+1,1))-AVERAGE(OFFSET($H$3,0,0,'Données projet'!$E$10+1,1))</f>
        <v>292.57482726862594</v>
      </c>
      <c r="AO81" s="62">
        <f t="shared" si="90"/>
        <v>283.48738729114024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4.2</v>
      </c>
      <c r="BD81" s="13">
        <f>IF('Données projet'!$A$88&gt;35,BD80+BC81-BL80,IF(A81&lt;'Données projet'!$A$88,$BA$205^A81,IF(A81='Données projet'!$A$88,'Données projet'!$B$88,BD80+BC81-BL80)))</f>
        <v>387.59999999999968</v>
      </c>
      <c r="BE81" s="14">
        <f>BD81*VLOOKUP('Données projet'!$B$11,Paramètres!$A$1:$I$89,3,0)*VLOOKUP('Données projet'!$B$11,Paramètres!$A$1:$I$89,5,0)</f>
        <v>284.18831999999975</v>
      </c>
      <c r="BF81" s="14">
        <f t="shared" si="91"/>
        <v>67.851354998408041</v>
      </c>
      <c r="BG81" s="22">
        <f t="shared" si="61"/>
        <v>613.13576728889359</v>
      </c>
      <c r="BH81" s="62">
        <f t="shared" si="62"/>
        <v>906.46910062222696</v>
      </c>
      <c r="BI81" s="62">
        <f ca="1">AVERAGE(OFFSET($BH$3,0,0,'Données projet'!$E$11+1,1))-AVERAGE(OFFSET($H$3,0,0,'Données projet'!$E$11+1,1))</f>
        <v>397.24545766894346</v>
      </c>
      <c r="BJ81" s="62">
        <f t="shared" si="92"/>
        <v>431.44557882369696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4.2</v>
      </c>
      <c r="BY81" s="13">
        <f>IF('Données projet'!$A$114&gt;35,BY80+BX81-CG80,IF(A81&lt;'Données projet'!$A$114,$BV$205^A81,IF(A81='Données projet'!$A$114,'Données projet'!$B$114,BY80+BX81-CG80)))</f>
        <v>235.60000000000008</v>
      </c>
      <c r="BZ81" s="14">
        <f>BY81*VLOOKUP('Données projet'!$B$12,Paramètres!$A$1:$I$89,3,0)*VLOOKUP('Données projet'!$B$12,Paramètres!$A$1:$I$89,5,0)</f>
        <v>154.36512000000005</v>
      </c>
      <c r="CA81" s="14">
        <f t="shared" si="93"/>
        <v>39.568912624848309</v>
      </c>
      <c r="CB81" s="22">
        <f t="shared" si="64"/>
        <v>337.76844015494419</v>
      </c>
      <c r="CC81" s="62">
        <f t="shared" si="65"/>
        <v>631.10177348827756</v>
      </c>
      <c r="CD81" s="62">
        <f ca="1">AVERAGE(OFFSET($CC$3,0,0,'Données projet'!$E$12+1,1))-AVERAGE(OFFSET($H$3,0,0,'Données projet'!$E$12+1,1))</f>
        <v>277.27246253233807</v>
      </c>
      <c r="CE81" s="62">
        <f t="shared" si="94"/>
        <v>269.61868559913404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227.44799999999995</v>
      </c>
      <c r="CV81" s="14">
        <f t="shared" si="95"/>
        <v>55.730521649800686</v>
      </c>
      <c r="CW81" s="22">
        <f t="shared" si="67"/>
        <v>493.20259187340275</v>
      </c>
      <c r="CX81" s="62">
        <f t="shared" si="68"/>
        <v>786.53592520673601</v>
      </c>
      <c r="CY81" s="62">
        <f ca="1">AVERAGE(OFFSET($CX$3,0,0,'Données projet'!$E$13+1,1))-AVERAGE(OFFSET($H$3,0,0,'Données projet'!$E$13+1,1))</f>
        <v>402.15128814037058</v>
      </c>
      <c r="CZ81" s="62">
        <f t="shared" si="96"/>
        <v>232.85411068442738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5</v>
      </c>
      <c r="DO81" s="13">
        <f>IF('Données projet'!$A$166&gt;35,DO80+DN81-DW80,IF(A81&lt;'Données projet'!$A$166,$DL$205^A81,IF(A81='Données projet'!$A$166,'Données projet'!$B$166,DO80+DN81-DW80)))</f>
        <v>292.56410256410231</v>
      </c>
      <c r="DP81" s="18">
        <f>DO81*VLOOKUP('Données projet'!$B$14,Paramètres!$A$1:$I$89,3,0)*VLOOKUP('Données projet'!$B$14,Paramètres!$A$1:$I$89,5,0)</f>
        <v>278.40399999999977</v>
      </c>
      <c r="DQ81" s="14">
        <f t="shared" si="97"/>
        <v>66.629616073991542</v>
      </c>
      <c r="DR81" s="22">
        <f t="shared" si="70"/>
        <v>600.93354799553492</v>
      </c>
      <c r="DS81" s="62">
        <f t="shared" si="71"/>
        <v>894.26688132886829</v>
      </c>
      <c r="DT81" s="62">
        <f ca="1">AVERAGE(OFFSET($DS$3,0,0,'Données projet'!$E$14+1,1))-AVERAGE(OFFSET($H$3,0,0,'Données projet'!$E$14+1,1))</f>
        <v>485.18236169209541</v>
      </c>
      <c r="DU81" s="62">
        <f t="shared" si="98"/>
        <v>417.30339652956951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4.2</v>
      </c>
      <c r="EJ81" s="13">
        <f>IF('Données projet'!$A$192&gt;35,EJ80+EI81-ER80,IF(A81&lt;'Données projet'!$A$192,$EG$205^A81,IF(A81='Données projet'!$A$192,'Données projet'!$B$192,EJ80+EI81-ER80)))</f>
        <v>387.59999999999968</v>
      </c>
      <c r="EK81" s="18">
        <f>EJ81*VLOOKUP('Données projet'!$B$15,Paramètres!$A$1:$I$89,3,0)*VLOOKUP('Données projet'!$B$15,Paramètres!$A$1:$I$89,5,0)</f>
        <v>308.37455999999975</v>
      </c>
      <c r="EL81" s="14">
        <f t="shared" si="99"/>
        <v>72.929269813127945</v>
      </c>
      <c r="EM81" s="22">
        <f t="shared" si="73"/>
        <v>664.10417025786398</v>
      </c>
      <c r="EN81" s="62">
        <f t="shared" si="74"/>
        <v>957.43750359119736</v>
      </c>
      <c r="EO81" s="62">
        <f ca="1">AVERAGE(OFFSET($EN$3,0,0,'Données projet'!$E$15+1,1))-AVERAGE(OFFSET($H$3,0,0,'Données projet'!$E$15+1,1))</f>
        <v>427.78067187784063</v>
      </c>
      <c r="EP81" s="62">
        <f t="shared" si="100"/>
        <v>464.22892523825118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>
        <f>VLOOKUP(A81,'Données projet'!$A$217:$I$237,2,0)</f>
        <v>387</v>
      </c>
      <c r="FC81" s="13">
        <f>VLOOKUP(A81,'Données projet'!$A$217:$I$237,9,0)</f>
        <v>12.555555555555555</v>
      </c>
      <c r="FD81" s="13">
        <f t="array" ref="FD81">INDEX(FC:FC,MIN(IF(ISNUMBER(FC81:FC277),ROW(FC81:FC277),"")))</f>
        <v>12.555555555555555</v>
      </c>
      <c r="FE81" s="13">
        <f>IF('Données projet'!$A$218&gt;35,FE80+FD81-FM80,IF(A81&lt;'Données projet'!$A$218,$FB$205^A81,IF(A81='Données projet'!$A$218,'Données projet'!$B$218,FE80+FD81-FM80)))</f>
        <v>386.99999999999966</v>
      </c>
      <c r="FF81" s="18">
        <f>FE81*VLOOKUP('Données projet'!$B$16,Paramètres!$A$1:$I$89,3,0)*VLOOKUP('Données projet'!$B$16,Paramètres!$A$1:$I$89,5,0)</f>
        <v>332.04599999999971</v>
      </c>
      <c r="FG81" s="14">
        <f t="shared" si="101"/>
        <v>77.854342460208571</v>
      </c>
      <c r="FH81" s="22">
        <f t="shared" si="76"/>
        <v>713.90976311819611</v>
      </c>
      <c r="FI81" s="62">
        <f t="shared" si="77"/>
        <v>1007.2430964515295</v>
      </c>
      <c r="FJ81" s="62">
        <f ca="1">AVERAGE(OFFSET($FI$3,0,0,'Données projet'!$E$16+1,1))-AVERAGE(OFFSET($H$3,0,0,'Données projet'!$E$16+1,1))</f>
        <v>448.44001099301806</v>
      </c>
      <c r="FK81" s="62">
        <f t="shared" si="102"/>
        <v>230.82970731138215</v>
      </c>
      <c r="FL81" s="16">
        <f>IF(ISNA(VLOOKUP(A81,'Données projet'!$A$217:$I$237,3,0)),0,VLOOKUP(A81,'Données projet'!$A$217:$I$237,3,0))</f>
        <v>9</v>
      </c>
      <c r="FM81" s="16">
        <f>IF(ISNA(VLOOKUP(A81,'Données projet'!$A$217:$I$237,4,0)),0,VLOOKUP(A81,'Données projet'!$A$217:$I$237,4,0))</f>
        <v>39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5.3846153846153921</v>
      </c>
      <c r="FZ81" s="13">
        <f>IF('Données projet'!$A$244&gt;35,FZ80+FY81-GH80,IF(A81&lt;'Données projet'!$A$244,$FW$205^A81,IF(A81='Données projet'!$A$244,'Données projet'!$B$244,FZ80+FY81-GH80)))</f>
        <v>357.17948717948701</v>
      </c>
      <c r="GA81" s="18">
        <f>FZ81*VLOOKUP('Données projet'!$B$17,Paramètres!$A$1:$I$89,3,0)*VLOOKUP('Données projet'!$B$17,Paramètres!$A$1:$I$89,5,0)</f>
        <v>239.59599999999989</v>
      </c>
      <c r="GB81" s="14">
        <f t="shared" si="103"/>
        <v>58.352599393028875</v>
      </c>
      <c r="GC81" s="22">
        <f t="shared" si="79"/>
        <v>518.92714394285838</v>
      </c>
      <c r="GD81" s="62">
        <f t="shared" si="80"/>
        <v>812.26047727619175</v>
      </c>
      <c r="GE81" s="62">
        <f ca="1">AVERAGE(OFFSET($GD$3,0,0,'Données projet'!$E$17+1,1))-AVERAGE(OFFSET($H$3,0,0,'Données projet'!$E$17+1,1))</f>
        <v>408.91016501484626</v>
      </c>
      <c r="GF81" s="62">
        <f t="shared" si="104"/>
        <v>354.22396807666433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7.2</v>
      </c>
      <c r="GU81" s="13">
        <f>IF('Données projet'!$A$270&gt;35,GU80+GT81-HC80,IF(A81&lt;'Données projet'!$A$270,$GR$205^A81,IF(A81='Données projet'!$A$270,'Données projet'!$B$270,GU80+GT81-HC80)))</f>
        <v>305.60000000000002</v>
      </c>
      <c r="GV81" s="18">
        <f>GU81*VLOOKUP('Données projet'!$B$18,Paramètres!$A$1:$I$89,3,0)*VLOOKUP('Données projet'!$B$18,Paramètres!$A$1:$I$89,5,0)</f>
        <v>295.57632000000001</v>
      </c>
      <c r="GW81" s="14">
        <f t="shared" si="105"/>
        <v>70.24828996461811</v>
      </c>
      <c r="GX81" s="22">
        <f t="shared" si="82"/>
        <v>637.1445290217099</v>
      </c>
      <c r="GY81" s="62">
        <f t="shared" si="83"/>
        <v>930.47786235504327</v>
      </c>
      <c r="GZ81" s="62">
        <f ca="1">AVERAGE(OFFSET($GY$3,0,0,'Données projet'!$E$18+1,1))-AVERAGE(OFFSET($H$3,0,0,'Données projet'!$E$18+1,1))</f>
        <v>562.69380557620775</v>
      </c>
      <c r="HA81" s="62">
        <f t="shared" si="106"/>
        <v>294.45557293177131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529.25712986118265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8.8675733422860506E-14</v>
      </c>
      <c r="AK82" s="14">
        <f t="shared" si="89"/>
        <v>1.3509285393066301E-12</v>
      </c>
      <c r="AL82" s="22">
        <f t="shared" si="58"/>
        <v>2.5073107750038623E-12</v>
      </c>
      <c r="AM82" s="62">
        <f t="shared" si="59"/>
        <v>293.33333333333582</v>
      </c>
      <c r="AN82" s="62">
        <f ca="1">AVERAGE(OFFSET($AM$3,0,0,'Données projet'!$E$10+1,1))-AVERAGE(OFFSET($H$3,0,0,'Données projet'!$E$10+1,1))</f>
        <v>292.57482726862594</v>
      </c>
      <c r="AO82" s="62">
        <f t="shared" si="90"/>
        <v>283.48738729114024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4.2</v>
      </c>
      <c r="BD82" s="13">
        <f>IF('Données projet'!$A$88&gt;35,BD81+BC82-BL81,IF(A82&lt;'Données projet'!$A$88,$BA$205^A82,IF(A82='Données projet'!$A$88,'Données projet'!$B$88,BD81+BC82-BL81)))</f>
        <v>391.79999999999967</v>
      </c>
      <c r="BE82" s="14">
        <f>BD82*VLOOKUP('Données projet'!$B$11,Paramètres!$A$1:$I$89,3,0)*VLOOKUP('Données projet'!$B$11,Paramètres!$A$1:$I$89,5,0)</f>
        <v>287.26775999999978</v>
      </c>
      <c r="BF82" s="14">
        <f t="shared" si="91"/>
        <v>68.500597404763155</v>
      </c>
      <c r="BG82" s="22">
        <f t="shared" si="61"/>
        <v>619.62988914662867</v>
      </c>
      <c r="BH82" s="62">
        <f t="shared" si="62"/>
        <v>912.96322247996204</v>
      </c>
      <c r="BI82" s="62">
        <f ca="1">AVERAGE(OFFSET($BH$3,0,0,'Données projet'!$E$11+1,1))-AVERAGE(OFFSET($H$3,0,0,'Données projet'!$E$11+1,1))</f>
        <v>397.24545766894346</v>
      </c>
      <c r="BJ82" s="62">
        <f t="shared" si="92"/>
        <v>431.44557882369696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4.2</v>
      </c>
      <c r="BY82" s="13">
        <f>IF('Données projet'!$A$114&gt;35,BY81+BX82-CG81,IF(A82&lt;'Données projet'!$A$114,$BV$205^A82,IF(A82='Données projet'!$A$114,'Données projet'!$B$114,BY81+BX82-CG81)))</f>
        <v>239.80000000000007</v>
      </c>
      <c r="BZ82" s="14">
        <f>BY82*VLOOKUP('Données projet'!$B$12,Paramètres!$A$1:$I$89,3,0)*VLOOKUP('Données projet'!$B$12,Paramètres!$A$1:$I$89,5,0)</f>
        <v>157.11696000000003</v>
      </c>
      <c r="CA82" s="14">
        <f t="shared" si="93"/>
        <v>40.191551120265856</v>
      </c>
      <c r="CB82" s="22">
        <f t="shared" si="64"/>
        <v>343.6456568677965</v>
      </c>
      <c r="CC82" s="62">
        <f t="shared" si="65"/>
        <v>636.97899020112982</v>
      </c>
      <c r="CD82" s="62">
        <f ca="1">AVERAGE(OFFSET($CC$3,0,0,'Données projet'!$E$12+1,1))-AVERAGE(OFFSET($H$3,0,0,'Données projet'!$E$12+1,1))</f>
        <v>277.27246253233807</v>
      </c>
      <c r="CE82" s="62">
        <f t="shared" si="94"/>
        <v>269.61868559913404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232.50239999999991</v>
      </c>
      <c r="CV82" s="14">
        <f t="shared" si="95"/>
        <v>56.823417677671891</v>
      </c>
      <c r="CW82" s="22">
        <f t="shared" si="67"/>
        <v>503.90913245527832</v>
      </c>
      <c r="CX82" s="62">
        <f t="shared" si="68"/>
        <v>797.24246578861164</v>
      </c>
      <c r="CY82" s="62">
        <f ca="1">AVERAGE(OFFSET($CX$3,0,0,'Données projet'!$E$13+1,1))-AVERAGE(OFFSET($H$3,0,0,'Données projet'!$E$13+1,1))</f>
        <v>402.15128814037058</v>
      </c>
      <c r="CZ82" s="62">
        <f t="shared" si="96"/>
        <v>232.85411068442738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5</v>
      </c>
      <c r="DO82" s="13">
        <f>IF('Données projet'!$A$166&gt;35,DO81+DN82-DW81,IF(A82&lt;'Données projet'!$A$166,$DL$205^A82,IF(A82='Données projet'!$A$166,'Données projet'!$B$166,DO81+DN82-DW81)))</f>
        <v>297.56410256410231</v>
      </c>
      <c r="DP82" s="18">
        <f>DO82*VLOOKUP('Données projet'!$B$14,Paramètres!$A$1:$I$89,3,0)*VLOOKUP('Données projet'!$B$14,Paramètres!$A$1:$I$89,5,0)</f>
        <v>283.16199999999975</v>
      </c>
      <c r="DQ82" s="14">
        <f t="shared" si="97"/>
        <v>67.634793027789954</v>
      </c>
      <c r="DR82" s="22">
        <f t="shared" si="70"/>
        <v>610.97108119006703</v>
      </c>
      <c r="DS82" s="62">
        <f t="shared" si="71"/>
        <v>904.30441452340028</v>
      </c>
      <c r="DT82" s="62">
        <f ca="1">AVERAGE(OFFSET($DS$3,0,0,'Données projet'!$E$14+1,1))-AVERAGE(OFFSET($H$3,0,0,'Données projet'!$E$14+1,1))</f>
        <v>485.18236169209541</v>
      </c>
      <c r="DU82" s="62">
        <f t="shared" si="98"/>
        <v>417.30339652956951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4.2</v>
      </c>
      <c r="EJ82" s="13">
        <f>IF('Données projet'!$A$192&gt;35,EJ81+EI82-ER81,IF(A82&lt;'Données projet'!$A$192,$EG$205^A82,IF(A82='Données projet'!$A$192,'Données projet'!$B$192,EJ81+EI82-ER81)))</f>
        <v>391.79999999999967</v>
      </c>
      <c r="EK82" s="18">
        <f>EJ82*VLOOKUP('Données projet'!$B$15,Paramètres!$A$1:$I$89,3,0)*VLOOKUP('Données projet'!$B$15,Paramètres!$A$1:$I$89,5,0)</f>
        <v>311.71607999999975</v>
      </c>
      <c r="EL82" s="14">
        <f t="shared" si="99"/>
        <v>73.627100750009134</v>
      </c>
      <c r="EM82" s="22">
        <f t="shared" si="73"/>
        <v>671.13937313959877</v>
      </c>
      <c r="EN82" s="62">
        <f t="shared" si="74"/>
        <v>964.47270647293203</v>
      </c>
      <c r="EO82" s="62">
        <f ca="1">AVERAGE(OFFSET($EN$3,0,0,'Données projet'!$E$15+1,1))-AVERAGE(OFFSET($H$3,0,0,'Données projet'!$E$15+1,1))</f>
        <v>427.78067187784063</v>
      </c>
      <c r="EP82" s="62">
        <f t="shared" si="100"/>
        <v>464.22892523825118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12</v>
      </c>
      <c r="FE82" s="13">
        <f>IF('Données projet'!$A$218&gt;35,FE81+FD82-FM81,IF(A82&lt;'Données projet'!$A$218,$FB$205^A82,IF(A82='Données projet'!$A$218,'Données projet'!$B$218,FE81+FD82-FM81)))</f>
        <v>359.99999999999966</v>
      </c>
      <c r="FF82" s="18">
        <f>FE82*VLOOKUP('Données projet'!$B$16,Paramètres!$A$1:$I$89,3,0)*VLOOKUP('Données projet'!$B$16,Paramètres!$A$1:$I$89,5,0)</f>
        <v>308.87999999999977</v>
      </c>
      <c r="FG82" s="14">
        <f t="shared" si="101"/>
        <v>73.034880345800715</v>
      </c>
      <c r="FH82" s="22">
        <f t="shared" si="76"/>
        <v>665.16841660226919</v>
      </c>
      <c r="FI82" s="62">
        <f t="shared" si="77"/>
        <v>958.50174993560245</v>
      </c>
      <c r="FJ82" s="62">
        <f ca="1">AVERAGE(OFFSET($FI$3,0,0,'Données projet'!$E$16+1,1))-AVERAGE(OFFSET($H$3,0,0,'Données projet'!$E$16+1,1))</f>
        <v>448.44001099301806</v>
      </c>
      <c r="FK82" s="62">
        <f t="shared" si="102"/>
        <v>230.82970731138215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5.3846153846153921</v>
      </c>
      <c r="FZ82" s="13">
        <f>IF('Données projet'!$A$244&gt;35,FZ81+FY82-GH81,IF(A82&lt;'Données projet'!$A$244,$FW$205^A82,IF(A82='Données projet'!$A$244,'Données projet'!$B$244,FZ81+FY82-GH81)))</f>
        <v>362.56410256410243</v>
      </c>
      <c r="GA82" s="18">
        <f>FZ82*VLOOKUP('Données projet'!$B$17,Paramètres!$A$1:$I$89,3,0)*VLOOKUP('Données projet'!$B$17,Paramètres!$A$1:$I$89,5,0)</f>
        <v>243.20799999999991</v>
      </c>
      <c r="GB82" s="14">
        <f t="shared" si="103"/>
        <v>59.129213014501673</v>
      </c>
      <c r="GC82" s="22">
        <f t="shared" si="79"/>
        <v>526.57064600025694</v>
      </c>
      <c r="GD82" s="62">
        <f t="shared" si="80"/>
        <v>819.90397933359031</v>
      </c>
      <c r="GE82" s="62">
        <f ca="1">AVERAGE(OFFSET($GD$3,0,0,'Données projet'!$E$17+1,1))-AVERAGE(OFFSET($H$3,0,0,'Données projet'!$E$17+1,1))</f>
        <v>408.91016501484626</v>
      </c>
      <c r="GF82" s="62">
        <f t="shared" si="104"/>
        <v>354.22396807666433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7.2</v>
      </c>
      <c r="GU82" s="13">
        <f>IF('Données projet'!$A$270&gt;35,GU81+GT82-HC81,IF(A82&lt;'Données projet'!$A$270,$GR$205^A82,IF(A82='Données projet'!$A$270,'Données projet'!$B$270,GU81+GT82-HC81)))</f>
        <v>312.8</v>
      </c>
      <c r="GV82" s="18">
        <f>GU82*VLOOKUP('Données projet'!$B$18,Paramètres!$A$1:$I$89,3,0)*VLOOKUP('Données projet'!$B$18,Paramètres!$A$1:$I$89,5,0)</f>
        <v>302.54016000000001</v>
      </c>
      <c r="GW82" s="14">
        <f t="shared" si="105"/>
        <v>71.708716984815311</v>
      </c>
      <c r="GX82" s="22">
        <f t="shared" si="82"/>
        <v>651.81679408188654</v>
      </c>
      <c r="GY82" s="62">
        <f t="shared" si="83"/>
        <v>945.15012741521991</v>
      </c>
      <c r="GZ82" s="62">
        <f ca="1">AVERAGE(OFFSET($GY$3,0,0,'Données projet'!$E$18+1,1))-AVERAGE(OFFSET($H$3,0,0,'Données projet'!$E$18+1,1))</f>
        <v>562.69380557620775</v>
      </c>
      <c r="HA82" s="62">
        <f t="shared" si="106"/>
        <v>294.45557293177131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529.25712986118265</v>
      </c>
      <c r="T83" s="62">
        <f t="shared" si="88"/>
        <v>278.21741231699929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8.8675733422860506E-14</v>
      </c>
      <c r="AK83" s="14">
        <f t="shared" si="89"/>
        <v>1.3509285393066301E-12</v>
      </c>
      <c r="AL83" s="22">
        <f t="shared" si="58"/>
        <v>2.5073107750038623E-12</v>
      </c>
      <c r="AM83" s="62">
        <f t="shared" si="59"/>
        <v>293.33333333333582</v>
      </c>
      <c r="AN83" s="62">
        <f ca="1">AVERAGE(OFFSET($AM$3,0,0,'Données projet'!$E$10+1,1))-AVERAGE(OFFSET($H$3,0,0,'Données projet'!$E$10+1,1))</f>
        <v>292.57482726862594</v>
      </c>
      <c r="AO83" s="62">
        <f t="shared" si="90"/>
        <v>283.48738729114024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396</v>
      </c>
      <c r="BB83" s="13">
        <f>VLOOKUP(A83,'Données projet'!$A$87:$I$107,9,0)</f>
        <v>4.2</v>
      </c>
      <c r="BC83" s="13">
        <f t="array" ref="BC83">INDEX(BB:BB,MIN(IF(ISNUMBER(BB83:BB279),ROW(BB83:BB279),"")))</f>
        <v>4.2</v>
      </c>
      <c r="BD83" s="13">
        <f>IF('Données projet'!$A$88&gt;35,BD82+BC83-BL82,IF(A83&lt;'Données projet'!$A$88,$BA$205^A83,IF(A83='Données projet'!$A$88,'Données projet'!$B$88,BD82+BC83-BL82)))</f>
        <v>395.99999999999966</v>
      </c>
      <c r="BE83" s="14">
        <f>BD83*VLOOKUP('Données projet'!$B$11,Paramètres!$A$1:$I$89,3,0)*VLOOKUP('Données projet'!$B$11,Paramètres!$A$1:$I$89,5,0)</f>
        <v>290.34719999999976</v>
      </c>
      <c r="BF83" s="14">
        <f t="shared" si="91"/>
        <v>69.149030188577811</v>
      </c>
      <c r="BG83" s="22">
        <f t="shared" si="61"/>
        <v>626.12260091177257</v>
      </c>
      <c r="BH83" s="62">
        <f t="shared" si="62"/>
        <v>919.45593424510594</v>
      </c>
      <c r="BI83" s="62">
        <f ca="1">AVERAGE(OFFSET($BH$3,0,0,'Données projet'!$E$11+1,1))-AVERAGE(OFFSET($H$3,0,0,'Données projet'!$E$11+1,1))</f>
        <v>397.24545766894346</v>
      </c>
      <c r="BJ83" s="62">
        <f t="shared" si="92"/>
        <v>431.44557882369696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396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244</v>
      </c>
      <c r="BW83" s="13">
        <f>VLOOKUP(A83,'Données projet'!$A$113:$I$133,9,0)</f>
        <v>4.2</v>
      </c>
      <c r="BX83" s="13">
        <f t="array" ref="BX83">INDEX(BW:BW,MIN(IF(ISNUMBER(BW83:BW279),ROW(BW83:BW279),"")))</f>
        <v>4.2</v>
      </c>
      <c r="BY83" s="13">
        <f>IF('Données projet'!$A$114&gt;35,BY82+BX83-CG82,IF(A83&lt;'Données projet'!$A$114,$BV$205^A83,IF(A83='Données projet'!$A$114,'Données projet'!$B$114,BY82+BX83-CG82)))</f>
        <v>244.00000000000006</v>
      </c>
      <c r="BZ83" s="14">
        <f>BY83*VLOOKUP('Données projet'!$B$12,Paramètres!$A$1:$I$89,3,0)*VLOOKUP('Données projet'!$B$12,Paramètres!$A$1:$I$89,5,0)</f>
        <v>159.86880000000002</v>
      </c>
      <c r="CA83" s="14">
        <f t="shared" si="93"/>
        <v>40.812921467768035</v>
      </c>
      <c r="CB83" s="22">
        <f t="shared" si="64"/>
        <v>349.52066488969604</v>
      </c>
      <c r="CC83" s="62">
        <f t="shared" si="65"/>
        <v>642.85399822302929</v>
      </c>
      <c r="CD83" s="62">
        <f ca="1">AVERAGE(OFFSET($CC$3,0,0,'Données projet'!$E$12+1,1))-AVERAGE(OFFSET($H$3,0,0,'Données projet'!$E$12+1,1))</f>
        <v>277.27246253233807</v>
      </c>
      <c r="CE83" s="62">
        <f t="shared" si="94"/>
        <v>269.61868559913404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237.55679999999992</v>
      </c>
      <c r="CV83" s="14">
        <f t="shared" si="95"/>
        <v>57.913551469467308</v>
      </c>
      <c r="CW83" s="22">
        <f t="shared" si="67"/>
        <v>514.61086214265538</v>
      </c>
      <c r="CX83" s="62">
        <f t="shared" si="68"/>
        <v>807.94419547598864</v>
      </c>
      <c r="CY83" s="62">
        <f ca="1">AVERAGE(OFFSET($CX$3,0,0,'Données projet'!$E$13+1,1))-AVERAGE(OFFSET($H$3,0,0,'Données projet'!$E$13+1,1))</f>
        <v>402.15128814037058</v>
      </c>
      <c r="CZ83" s="62">
        <f t="shared" si="96"/>
        <v>232.85411068442738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302.56410256410254</v>
      </c>
      <c r="DM83" s="13">
        <f>VLOOKUP(A83,'Données projet'!$A$165:$I$185,9,0)</f>
        <v>5</v>
      </c>
      <c r="DN83" s="13">
        <f t="array" ref="DN83">INDEX(DM:DM,MIN(IF(ISNUMBER(DM83:DM279),ROW(DM83:DM279),"")))</f>
        <v>5</v>
      </c>
      <c r="DO83" s="13">
        <f>IF('Données projet'!$A$166&gt;35,DO82+DN83-DW82,IF(A83&lt;'Données projet'!$A$166,$DL$205^A83,IF(A83='Données projet'!$A$166,'Données projet'!$B$166,DO82+DN83-DW82)))</f>
        <v>302.56410256410231</v>
      </c>
      <c r="DP83" s="18">
        <f>DO83*VLOOKUP('Données projet'!$B$14,Paramètres!$A$1:$I$89,3,0)*VLOOKUP('Données projet'!$B$14,Paramètres!$A$1:$I$89,5,0)</f>
        <v>287.91999999999973</v>
      </c>
      <c r="DQ83" s="14">
        <f t="shared" si="97"/>
        <v>68.638005798661553</v>
      </c>
      <c r="DR83" s="22">
        <f t="shared" si="70"/>
        <v>621.00519343266831</v>
      </c>
      <c r="DS83" s="62">
        <f t="shared" si="71"/>
        <v>914.33852676600168</v>
      </c>
      <c r="DT83" s="62">
        <f ca="1">AVERAGE(OFFSET($DS$3,0,0,'Données projet'!$E$14+1,1))-AVERAGE(OFFSET($H$3,0,0,'Données projet'!$E$14+1,1))</f>
        <v>485.18236169209541</v>
      </c>
      <c r="DU83" s="62">
        <f t="shared" si="98"/>
        <v>417.30339652956951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36.53846153846154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396</v>
      </c>
      <c r="EH83" s="13">
        <f>VLOOKUP(A83,'Données projet'!$A$191:$I$211,9,0)</f>
        <v>4.2</v>
      </c>
      <c r="EI83" s="13">
        <f t="array" ref="EI83">INDEX(EH:EH,MIN(IF(ISNUMBER(EH83:EH279),ROW(EH83:EH279),"")))</f>
        <v>4.2</v>
      </c>
      <c r="EJ83" s="13">
        <f>IF('Données projet'!$A$192&gt;35,EJ82+EI83-ER82,IF(A83&lt;'Données projet'!$A$192,$EG$205^A83,IF(A83='Données projet'!$A$192,'Données projet'!$B$192,EJ82+EI83-ER82)))</f>
        <v>395.99999999999966</v>
      </c>
      <c r="EK83" s="18">
        <f>EJ83*VLOOKUP('Données projet'!$B$15,Paramètres!$A$1:$I$89,3,0)*VLOOKUP('Données projet'!$B$15,Paramètres!$A$1:$I$89,5,0)</f>
        <v>315.05759999999975</v>
      </c>
      <c r="EL83" s="14">
        <f t="shared" si="99"/>
        <v>74.324061473160583</v>
      </c>
      <c r="EM83" s="22">
        <f t="shared" si="73"/>
        <v>678.17306039908749</v>
      </c>
      <c r="EN83" s="62">
        <f t="shared" si="74"/>
        <v>971.50639373242075</v>
      </c>
      <c r="EO83" s="62">
        <f ca="1">AVERAGE(OFFSET($EN$3,0,0,'Données projet'!$E$15+1,1))-AVERAGE(OFFSET($H$3,0,0,'Données projet'!$E$15+1,1))</f>
        <v>427.78067187784063</v>
      </c>
      <c r="EP83" s="62">
        <f t="shared" si="100"/>
        <v>464.22892523825118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396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12</v>
      </c>
      <c r="FE83" s="13">
        <f>IF('Données projet'!$A$218&gt;35,FE82+FD83-FM82,IF(A83&lt;'Données projet'!$A$218,$FB$205^A83,IF(A83='Données projet'!$A$218,'Données projet'!$B$218,FE82+FD83-FM82)))</f>
        <v>371.99999999999966</v>
      </c>
      <c r="FF83" s="18">
        <f>FE83*VLOOKUP('Données projet'!$B$16,Paramètres!$A$1:$I$89,3,0)*VLOOKUP('Données projet'!$B$16,Paramètres!$A$1:$I$89,5,0)</f>
        <v>319.17599999999976</v>
      </c>
      <c r="FG83" s="14">
        <f t="shared" si="101"/>
        <v>75.181878718947615</v>
      </c>
      <c r="FH83" s="22">
        <f t="shared" si="76"/>
        <v>686.8399721021666</v>
      </c>
      <c r="FI83" s="62">
        <f t="shared" si="77"/>
        <v>980.17330543549997</v>
      </c>
      <c r="FJ83" s="62">
        <f ca="1">AVERAGE(OFFSET($FI$3,0,0,'Données projet'!$E$16+1,1))-AVERAGE(OFFSET($H$3,0,0,'Données projet'!$E$16+1,1))</f>
        <v>448.44001099301806</v>
      </c>
      <c r="FK83" s="62">
        <f t="shared" si="102"/>
        <v>230.82970731138215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367.94871794871796</v>
      </c>
      <c r="FX83" s="13">
        <f>VLOOKUP(A83,'Données projet'!$A$243:$I$263,9,0)</f>
        <v>5.3846153846153921</v>
      </c>
      <c r="FY83" s="13">
        <f t="array" ref="FY83">INDEX(FX:FX,MIN(IF(ISNUMBER(FX83:FX279),ROW(FX83:FX279),"")))</f>
        <v>5.3846153846153921</v>
      </c>
      <c r="FZ83" s="13">
        <f>IF('Données projet'!$A$244&gt;35,FZ82+FY83-GH82,IF(A83&lt;'Données projet'!$A$244,$FW$205^A83,IF(A83='Données projet'!$A$244,'Données projet'!$B$244,FZ82+FY83-GH82)))</f>
        <v>367.94871794871784</v>
      </c>
      <c r="GA83" s="18">
        <f>FZ83*VLOOKUP('Données projet'!$B$17,Paramètres!$A$1:$I$89,3,0)*VLOOKUP('Données projet'!$B$17,Paramètres!$A$1:$I$89,5,0)</f>
        <v>246.81999999999994</v>
      </c>
      <c r="GB83" s="14">
        <f t="shared" si="103"/>
        <v>59.904485201637151</v>
      </c>
      <c r="GC83" s="22">
        <f t="shared" si="79"/>
        <v>534.21181172618469</v>
      </c>
      <c r="GD83" s="62">
        <f t="shared" si="80"/>
        <v>827.54514505951806</v>
      </c>
      <c r="GE83" s="62">
        <f ca="1">AVERAGE(OFFSET($GD$3,0,0,'Données projet'!$E$17+1,1))-AVERAGE(OFFSET($H$3,0,0,'Données projet'!$E$17+1,1))</f>
        <v>408.91016501484626</v>
      </c>
      <c r="GF83" s="62">
        <f t="shared" si="104"/>
        <v>354.22396807666433</v>
      </c>
      <c r="GG83" s="16">
        <f>IF(ISNA(VLOOKUP(A83,'Données projet'!$A$243:$I$263,3,0)),0,VLOOKUP(A83,'Données projet'!$A$243:$I$263,3,0))</f>
        <v>7</v>
      </c>
      <c r="GH83" s="16">
        <f>IF(ISNA(VLOOKUP(A83,'Données projet'!$A$243:$I$263,4,0)),0,VLOOKUP(A83,'Données projet'!$A$243:$I$263,4,0))</f>
        <v>32.051282051282051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320</v>
      </c>
      <c r="GS83" s="13">
        <f>VLOOKUP(A83,'Données projet'!$A$269:$I$289,9,0)</f>
        <v>7.2</v>
      </c>
      <c r="GT83" s="13">
        <f t="array" ref="GT83">INDEX(GS:GS,MIN(IF(ISNUMBER(GS83:GS279),ROW(GS83:GS279),"")))</f>
        <v>7.2</v>
      </c>
      <c r="GU83" s="13">
        <f>IF('Données projet'!$A$270&gt;35,GU82+GT83-HC82,IF(A83&lt;'Données projet'!$A$270,$GR$205^A83,IF(A83='Données projet'!$A$270,'Données projet'!$B$270,GU82+GT83-HC82)))</f>
        <v>320</v>
      </c>
      <c r="GV83" s="18">
        <f>GU83*VLOOKUP('Données projet'!$B$18,Paramètres!$A$1:$I$89,3,0)*VLOOKUP('Données projet'!$B$18,Paramètres!$A$1:$I$89,5,0)</f>
        <v>309.50400000000002</v>
      </c>
      <c r="GW83" s="14">
        <f t="shared" si="105"/>
        <v>73.165235978896504</v>
      </c>
      <c r="GX83" s="22">
        <f t="shared" si="82"/>
        <v>666.48225266324471</v>
      </c>
      <c r="GY83" s="62">
        <f t="shared" si="83"/>
        <v>959.81558599657797</v>
      </c>
      <c r="GZ83" s="62">
        <f ca="1">AVERAGE(OFFSET($GY$3,0,0,'Données projet'!$E$18+1,1))-AVERAGE(OFFSET($H$3,0,0,'Données projet'!$E$18+1,1))</f>
        <v>562.69380557620775</v>
      </c>
      <c r="HA83" s="62">
        <f t="shared" si="106"/>
        <v>294.45557293177131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6.6</v>
      </c>
      <c r="N84" s="14">
        <f>IF('Données projet'!$A$36&gt;35,N83+M84-V83,IF(A84&lt;'Données projet'!$A$36,$K$205^A84,IF(A84='Données projet'!$A$36,'Données projet'!$B$36,N83+M84-V83)))</f>
        <v>326.60000000000002</v>
      </c>
      <c r="O84" s="14">
        <f>N84*VLOOKUP('Données projet'!$B$9,Paramètres!$A$1:$I$89,3,0)*VLOOKUP('Données projet'!$B$9,Paramètres!$A$1:$I$89,5,0)</f>
        <v>295.50767999999999</v>
      </c>
      <c r="P84" s="14">
        <f t="shared" si="87"/>
        <v>70.233875285761272</v>
      </c>
      <c r="Q84" s="22">
        <f t="shared" si="54"/>
        <v>636.99987545603415</v>
      </c>
      <c r="R84" s="62">
        <f t="shared" si="55"/>
        <v>930.33320878936752</v>
      </c>
      <c r="S84" s="62">
        <f ca="1">AVERAGE(OFFSET($R$3,0,0,'Données projet'!$E$9+1,1))-AVERAGE(OFFSET($H$3,0,0,'Données projet'!$E$9+1,1))</f>
        <v>529.25712986118265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8.8675733422860506E-14</v>
      </c>
      <c r="AK84" s="14">
        <f t="shared" si="89"/>
        <v>1.3509285393066301E-12</v>
      </c>
      <c r="AL84" s="22">
        <f t="shared" si="58"/>
        <v>2.5073107750038623E-12</v>
      </c>
      <c r="AM84" s="62">
        <f t="shared" si="59"/>
        <v>293.33333333333582</v>
      </c>
      <c r="AN84" s="62">
        <f ca="1">AVERAGE(OFFSET($AM$3,0,0,'Données projet'!$E$10+1,1))-AVERAGE(OFFSET($H$3,0,0,'Données projet'!$E$10+1,1))</f>
        <v>292.57482726862594</v>
      </c>
      <c r="AO84" s="62">
        <f t="shared" si="90"/>
        <v>283.48738729114024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-3.4106051316484809E-13</v>
      </c>
      <c r="BE84" s="14">
        <f>BD84*VLOOKUP('Données projet'!$B$11,Paramètres!$A$1:$I$89,3,0)*VLOOKUP('Données projet'!$B$11,Paramètres!$A$1:$I$89,5,0)</f>
        <v>-2.5006556825246659E-13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397.24545766894346</v>
      </c>
      <c r="BJ84" s="62">
        <f t="shared" si="92"/>
        <v>431.44557882369696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3.8</v>
      </c>
      <c r="BY84" s="13">
        <f>IF('Données projet'!$A$114&gt;35,BY83+BX84-CG83,IF(A84&lt;'Données projet'!$A$114,$BV$205^A84,IF(A84='Données projet'!$A$114,'Données projet'!$B$114,BY83+BX84-CG83)))</f>
        <v>247.80000000000007</v>
      </c>
      <c r="BZ84" s="14">
        <f>BY84*VLOOKUP('Données projet'!$B$12,Paramètres!$A$1:$I$89,3,0)*VLOOKUP('Données projet'!$B$12,Paramètres!$A$1:$I$89,5,0)</f>
        <v>162.35856000000004</v>
      </c>
      <c r="CA84" s="14">
        <f t="shared" si="93"/>
        <v>41.374041283105448</v>
      </c>
      <c r="CB84" s="22">
        <f t="shared" si="64"/>
        <v>354.83428056807537</v>
      </c>
      <c r="CC84" s="62">
        <f t="shared" si="65"/>
        <v>648.16761390140869</v>
      </c>
      <c r="CD84" s="62">
        <f ca="1">AVERAGE(OFFSET($CC$3,0,0,'Données projet'!$E$12+1,1))-AVERAGE(OFFSET($H$3,0,0,'Données projet'!$E$12+1,1))</f>
        <v>277.27246253233807</v>
      </c>
      <c r="CE84" s="62">
        <f t="shared" si="94"/>
        <v>269.61868559913404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206.89343999999994</v>
      </c>
      <c r="CV84" s="14">
        <f t="shared" si="95"/>
        <v>51.256136462199102</v>
      </c>
      <c r="CW84" s="22">
        <f t="shared" si="67"/>
        <v>449.61051233832995</v>
      </c>
      <c r="CX84" s="62">
        <f t="shared" si="68"/>
        <v>742.94384567166321</v>
      </c>
      <c r="CY84" s="62">
        <f ca="1">AVERAGE(OFFSET($CX$3,0,0,'Données projet'!$E$13+1,1))-AVERAGE(OFFSET($H$3,0,0,'Données projet'!$E$13+1,1))</f>
        <v>402.15128814037058</v>
      </c>
      <c r="CZ84" s="62">
        <f t="shared" si="96"/>
        <v>232.85411068442738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4.8717948717948731</v>
      </c>
      <c r="DO84" s="13">
        <f>IF('Données projet'!$A$166&gt;35,DO83+DN84-DW83,IF(A84&lt;'Données projet'!$A$166,$DL$205^A84,IF(A84='Données projet'!$A$166,'Données projet'!$B$166,DO83+DN84-DW83)))</f>
        <v>270.89743589743563</v>
      </c>
      <c r="DP84" s="18">
        <f>DO84*VLOOKUP('Données projet'!$B$14,Paramètres!$A$1:$I$89,3,0)*VLOOKUP('Données projet'!$B$14,Paramètres!$A$1:$I$89,5,0)</f>
        <v>257.78599999999977</v>
      </c>
      <c r="DQ84" s="14">
        <f t="shared" si="97"/>
        <v>62.250207992439108</v>
      </c>
      <c r="DR84" s="22">
        <f t="shared" si="70"/>
        <v>557.39639558683109</v>
      </c>
      <c r="DS84" s="62">
        <f t="shared" si="71"/>
        <v>850.72972892016446</v>
      </c>
      <c r="DT84" s="62">
        <f ca="1">AVERAGE(OFFSET($DS$3,0,0,'Données projet'!$E$14+1,1))-AVERAGE(OFFSET($H$3,0,0,'Données projet'!$E$14+1,1))</f>
        <v>485.18236169209541</v>
      </c>
      <c r="DU84" s="62">
        <f t="shared" si="98"/>
        <v>417.30339652956951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-3.4106051316484809E-13</v>
      </c>
      <c r="EK84" s="18">
        <f>EJ84*VLOOKUP('Données projet'!$B$15,Paramètres!$A$1:$I$89,3,0)*VLOOKUP('Données projet'!$B$15,Paramètres!$A$1:$I$89,5,0)</f>
        <v>-2.7134774427395314E-13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427.78067187784063</v>
      </c>
      <c r="EP84" s="62">
        <f t="shared" si="100"/>
        <v>464.22892523825118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12</v>
      </c>
      <c r="FE84" s="13">
        <f>IF('Données projet'!$A$218&gt;35,FE83+FD84-FM83,IF(A84&lt;'Données projet'!$A$218,$FB$205^A84,IF(A84='Données projet'!$A$218,'Données projet'!$B$218,FE83+FD84-FM83)))</f>
        <v>383.99999999999966</v>
      </c>
      <c r="FF84" s="18">
        <f>FE84*VLOOKUP('Données projet'!$B$16,Paramètres!$A$1:$I$89,3,0)*VLOOKUP('Données projet'!$B$16,Paramètres!$A$1:$I$89,5,0)</f>
        <v>329.47199999999975</v>
      </c>
      <c r="FG84" s="14">
        <f t="shared" si="101"/>
        <v>77.320829101031876</v>
      </c>
      <c r="FH84" s="22">
        <f t="shared" si="76"/>
        <v>708.49751068429669</v>
      </c>
      <c r="FI84" s="62">
        <f t="shared" si="77"/>
        <v>1001.8308440176299</v>
      </c>
      <c r="FJ84" s="62">
        <f ca="1">AVERAGE(OFFSET($FI$3,0,0,'Données projet'!$E$16+1,1))-AVERAGE(OFFSET($H$3,0,0,'Données projet'!$E$16+1,1))</f>
        <v>448.44001099301806</v>
      </c>
      <c r="FK84" s="62">
        <f t="shared" si="102"/>
        <v>230.82970731138215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4.8717948717948616</v>
      </c>
      <c r="FZ84" s="13">
        <f>IF('Données projet'!$A$244&gt;35,FZ83+FY84-GH83,IF(A84&lt;'Données projet'!$A$244,$FW$205^A84,IF(A84='Données projet'!$A$244,'Données projet'!$B$244,FZ83+FY84-GH83)))</f>
        <v>340.76923076923066</v>
      </c>
      <c r="GA84" s="18">
        <f>FZ84*VLOOKUP('Données projet'!$B$17,Paramètres!$A$1:$I$89,3,0)*VLOOKUP('Données projet'!$B$17,Paramètres!$A$1:$I$89,5,0)</f>
        <v>228.58799999999994</v>
      </c>
      <c r="GB84" s="14">
        <f t="shared" si="103"/>
        <v>55.977264783006554</v>
      </c>
      <c r="GC84" s="22">
        <f t="shared" si="79"/>
        <v>495.61783616373629</v>
      </c>
      <c r="GD84" s="62">
        <f t="shared" si="80"/>
        <v>788.9511694970696</v>
      </c>
      <c r="GE84" s="62">
        <f ca="1">AVERAGE(OFFSET($GD$3,0,0,'Données projet'!$E$17+1,1))-AVERAGE(OFFSET($H$3,0,0,'Données projet'!$E$17+1,1))</f>
        <v>408.91016501484626</v>
      </c>
      <c r="GF84" s="62">
        <f t="shared" si="104"/>
        <v>354.22396807666433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6.6</v>
      </c>
      <c r="GU84" s="13">
        <f>IF('Données projet'!$A$270&gt;35,GU83+GT84-HC83,IF(A84&lt;'Données projet'!$A$270,$GR$205^A84,IF(A84='Données projet'!$A$270,'Données projet'!$B$270,GU83+GT84-HC83)))</f>
        <v>326.60000000000002</v>
      </c>
      <c r="GV84" s="18">
        <f>GU84*VLOOKUP('Données projet'!$B$18,Paramètres!$A$1:$I$89,3,0)*VLOOKUP('Données projet'!$B$18,Paramètres!$A$1:$I$89,5,0)</f>
        <v>315.88752000000005</v>
      </c>
      <c r="GW84" s="14">
        <f t="shared" si="105"/>
        <v>74.497029125126971</v>
      </c>
      <c r="GX84" s="22">
        <f t="shared" si="82"/>
        <v>679.91975639292957</v>
      </c>
      <c r="GY84" s="62">
        <f t="shared" si="83"/>
        <v>973.25308972626294</v>
      </c>
      <c r="GZ84" s="62">
        <f ca="1">AVERAGE(OFFSET($GY$3,0,0,'Données projet'!$E$18+1,1))-AVERAGE(OFFSET($H$3,0,0,'Données projet'!$E$18+1,1))</f>
        <v>562.69380557620775</v>
      </c>
      <c r="HA84" s="62">
        <f t="shared" si="106"/>
        <v>294.45557293177131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6.6</v>
      </c>
      <c r="N85" s="14">
        <f>IF('Données projet'!$A$36&gt;35,N84+M85-V84,IF(A85&lt;'Données projet'!$A$36,$K$205^A85,IF(A85='Données projet'!$A$36,'Données projet'!$B$36,N84+M85-V84)))</f>
        <v>333.20000000000005</v>
      </c>
      <c r="O85" s="14">
        <f>N85*VLOOKUP('Données projet'!$B$9,Paramètres!$A$1:$I$89,3,0)*VLOOKUP('Données projet'!$B$9,Paramètres!$A$1:$I$89,5,0)</f>
        <v>301.47935999999999</v>
      </c>
      <c r="P85" s="14">
        <f t="shared" si="87"/>
        <v>71.486505311225272</v>
      </c>
      <c r="Q85" s="22">
        <f t="shared" si="54"/>
        <v>649.58221541705063</v>
      </c>
      <c r="R85" s="62">
        <f t="shared" si="55"/>
        <v>942.915548750384</v>
      </c>
      <c r="S85" s="62">
        <f ca="1">AVERAGE(OFFSET($R$3,0,0,'Données projet'!$E$9+1,1))-AVERAGE(OFFSET($H$3,0,0,'Données projet'!$E$9+1,1))</f>
        <v>529.25712986118265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8.8675733422860506E-14</v>
      </c>
      <c r="AK85" s="14">
        <f t="shared" si="89"/>
        <v>1.3509285393066301E-12</v>
      </c>
      <c r="AL85" s="22">
        <f t="shared" si="58"/>
        <v>2.5073107750038623E-12</v>
      </c>
      <c r="AM85" s="62">
        <f t="shared" si="59"/>
        <v>293.33333333333582</v>
      </c>
      <c r="AN85" s="62">
        <f ca="1">AVERAGE(OFFSET($AM$3,0,0,'Données projet'!$E$10+1,1))-AVERAGE(OFFSET($H$3,0,0,'Données projet'!$E$10+1,1))</f>
        <v>292.57482726862594</v>
      </c>
      <c r="AO85" s="62">
        <f t="shared" si="90"/>
        <v>283.48738729114024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-3.4106051316484809E-13</v>
      </c>
      <c r="BE85" s="14">
        <f>BD85*VLOOKUP('Données projet'!$B$11,Paramètres!$A$1:$I$89,3,0)*VLOOKUP('Données projet'!$B$11,Paramètres!$A$1:$I$89,5,0)</f>
        <v>-2.5006556825246659E-13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397.24545766894346</v>
      </c>
      <c r="BJ85" s="62">
        <f t="shared" si="92"/>
        <v>431.44557882369696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3.8</v>
      </c>
      <c r="BY85" s="13">
        <f>IF('Données projet'!$A$114&gt;35,BY84+BX85-CG84,IF(A85&lt;'Données projet'!$A$114,$BV$205^A85,IF(A85='Données projet'!$A$114,'Données projet'!$B$114,BY84+BX85-CG84)))</f>
        <v>251.60000000000008</v>
      </c>
      <c r="BZ85" s="14">
        <f>BY85*VLOOKUP('Données projet'!$B$12,Paramètres!$A$1:$I$89,3,0)*VLOOKUP('Données projet'!$B$12,Paramètres!$A$1:$I$89,5,0)</f>
        <v>164.84832000000006</v>
      </c>
      <c r="CA85" s="14">
        <f t="shared" si="93"/>
        <v>41.934160358278433</v>
      </c>
      <c r="CB85" s="22">
        <f t="shared" si="64"/>
        <v>360.14615329066834</v>
      </c>
      <c r="CC85" s="62">
        <f t="shared" si="65"/>
        <v>653.47948662400165</v>
      </c>
      <c r="CD85" s="62">
        <f ca="1">AVERAGE(OFFSET($CC$3,0,0,'Données projet'!$E$12+1,1))-AVERAGE(OFFSET($H$3,0,0,'Données projet'!$E$12+1,1))</f>
        <v>277.27246253233807</v>
      </c>
      <c r="CE85" s="62">
        <f t="shared" si="94"/>
        <v>269.61868559913404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211.61087999999995</v>
      </c>
      <c r="CV85" s="14">
        <f t="shared" si="95"/>
        <v>52.287446798055761</v>
      </c>
      <c r="CW85" s="22">
        <f t="shared" si="67"/>
        <v>459.62291917328042</v>
      </c>
      <c r="CX85" s="62">
        <f t="shared" si="68"/>
        <v>752.95625250661374</v>
      </c>
      <c r="CY85" s="62">
        <f ca="1">AVERAGE(OFFSET($CX$3,0,0,'Données projet'!$E$13+1,1))-AVERAGE(OFFSET($H$3,0,0,'Données projet'!$E$13+1,1))</f>
        <v>402.15128814037058</v>
      </c>
      <c r="CZ85" s="62">
        <f t="shared" si="96"/>
        <v>232.85411068442738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4.8717948717948731</v>
      </c>
      <c r="DO85" s="13">
        <f>IF('Données projet'!$A$166&gt;35,DO84+DN85-DW84,IF(A85&lt;'Données projet'!$A$166,$DL$205^A85,IF(A85='Données projet'!$A$166,'Données projet'!$B$166,DO84+DN85-DW84)))</f>
        <v>275.76923076923049</v>
      </c>
      <c r="DP85" s="18">
        <f>DO85*VLOOKUP('Données projet'!$B$14,Paramètres!$A$1:$I$89,3,0)*VLOOKUP('Données projet'!$B$14,Paramètres!$A$1:$I$89,5,0)</f>
        <v>262.42199999999974</v>
      </c>
      <c r="DQ85" s="14">
        <f t="shared" si="97"/>
        <v>63.238371546533493</v>
      </c>
      <c r="DR85" s="22">
        <f t="shared" si="70"/>
        <v>567.19181377687858</v>
      </c>
      <c r="DS85" s="62">
        <f t="shared" si="71"/>
        <v>860.52514711021195</v>
      </c>
      <c r="DT85" s="62">
        <f ca="1">AVERAGE(OFFSET($DS$3,0,0,'Données projet'!$E$14+1,1))-AVERAGE(OFFSET($H$3,0,0,'Données projet'!$E$14+1,1))</f>
        <v>485.18236169209541</v>
      </c>
      <c r="DU85" s="62">
        <f t="shared" si="98"/>
        <v>417.30339652956951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-3.4106051316484809E-13</v>
      </c>
      <c r="EK85" s="18">
        <f>EJ85*VLOOKUP('Données projet'!$B$15,Paramètres!$A$1:$I$89,3,0)*VLOOKUP('Données projet'!$B$15,Paramètres!$A$1:$I$89,5,0)</f>
        <v>-2.7134774427395314E-13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427.78067187784063</v>
      </c>
      <c r="EP85" s="62">
        <f t="shared" si="100"/>
        <v>464.22892523825118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12</v>
      </c>
      <c r="FE85" s="13">
        <f>IF('Données projet'!$A$218&gt;35,FE84+FD85-FM84,IF(A85&lt;'Données projet'!$A$218,$FB$205^A85,IF(A85='Données projet'!$A$218,'Données projet'!$B$218,FE84+FD85-FM84)))</f>
        <v>395.99999999999966</v>
      </c>
      <c r="FF85" s="18">
        <f>FE85*VLOOKUP('Données projet'!$B$16,Paramètres!$A$1:$I$89,3,0)*VLOOKUP('Données projet'!$B$16,Paramètres!$A$1:$I$89,5,0)</f>
        <v>339.76799999999974</v>
      </c>
      <c r="FG85" s="14">
        <f t="shared" si="101"/>
        <v>79.452011848891914</v>
      </c>
      <c r="FH85" s="22">
        <f t="shared" si="76"/>
        <v>730.14152063681968</v>
      </c>
      <c r="FI85" s="62">
        <f t="shared" si="77"/>
        <v>1023.4748539701529</v>
      </c>
      <c r="FJ85" s="62">
        <f ca="1">AVERAGE(OFFSET($FI$3,0,0,'Données projet'!$E$16+1,1))-AVERAGE(OFFSET($H$3,0,0,'Données projet'!$E$16+1,1))</f>
        <v>448.44001099301806</v>
      </c>
      <c r="FK85" s="62">
        <f t="shared" si="102"/>
        <v>230.82970731138215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4.8717948717948616</v>
      </c>
      <c r="FZ85" s="13">
        <f>IF('Données projet'!$A$244&gt;35,FZ84+FY85-GH84,IF(A85&lt;'Données projet'!$A$244,$FW$205^A85,IF(A85='Données projet'!$A$244,'Données projet'!$B$244,FZ84+FY85-GH84)))</f>
        <v>345.64102564102552</v>
      </c>
      <c r="GA85" s="18">
        <f>FZ85*VLOOKUP('Données projet'!$B$17,Paramètres!$A$1:$I$89,3,0)*VLOOKUP('Données projet'!$B$17,Paramètres!$A$1:$I$89,5,0)</f>
        <v>231.85599999999991</v>
      </c>
      <c r="GB85" s="14">
        <f t="shared" si="103"/>
        <v>56.683804213009068</v>
      </c>
      <c r="GC85" s="22">
        <f t="shared" si="79"/>
        <v>502.54015900432404</v>
      </c>
      <c r="GD85" s="62">
        <f t="shared" si="80"/>
        <v>795.87349233765735</v>
      </c>
      <c r="GE85" s="62">
        <f ca="1">AVERAGE(OFFSET($GD$3,0,0,'Données projet'!$E$17+1,1))-AVERAGE(OFFSET($H$3,0,0,'Données projet'!$E$17+1,1))</f>
        <v>408.91016501484626</v>
      </c>
      <c r="GF85" s="62">
        <f t="shared" si="104"/>
        <v>354.22396807666433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6.6</v>
      </c>
      <c r="GU85" s="13">
        <f>IF('Données projet'!$A$270&gt;35,GU84+GT85-HC84,IF(A85&lt;'Données projet'!$A$270,$GR$205^A85,IF(A85='Données projet'!$A$270,'Données projet'!$B$270,GU84+GT85-HC84)))</f>
        <v>333.20000000000005</v>
      </c>
      <c r="GV85" s="18">
        <f>GU85*VLOOKUP('Données projet'!$B$18,Paramètres!$A$1:$I$89,3,0)*VLOOKUP('Données projet'!$B$18,Paramètres!$A$1:$I$89,5,0)</f>
        <v>322.27104000000008</v>
      </c>
      <c r="GW85" s="14">
        <f t="shared" si="105"/>
        <v>75.825693037097167</v>
      </c>
      <c r="GX85" s="22">
        <f t="shared" si="82"/>
        <v>693.35181003961088</v>
      </c>
      <c r="GY85" s="62">
        <f t="shared" si="83"/>
        <v>986.68514337294414</v>
      </c>
      <c r="GZ85" s="62">
        <f ca="1">AVERAGE(OFFSET($GY$3,0,0,'Données projet'!$E$18+1,1))-AVERAGE(OFFSET($H$3,0,0,'Données projet'!$E$18+1,1))</f>
        <v>562.69380557620775</v>
      </c>
      <c r="HA85" s="62">
        <f t="shared" si="106"/>
        <v>294.45557293177131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6.6</v>
      </c>
      <c r="N86" s="14">
        <f>IF('Données projet'!$A$36&gt;35,N85+M86-V85,IF(A86&lt;'Données projet'!$A$36,$K$205^A86,IF(A86='Données projet'!$A$36,'Données projet'!$B$36,N85+M86-V85)))</f>
        <v>339.80000000000007</v>
      </c>
      <c r="O86" s="14">
        <f>N86*VLOOKUP('Données projet'!$B$9,Paramètres!$A$1:$I$89,3,0)*VLOOKUP('Données projet'!$B$9,Paramètres!$A$1:$I$89,5,0)</f>
        <v>307.45104000000003</v>
      </c>
      <c r="P86" s="14">
        <f t="shared" si="87"/>
        <v>72.736250347470119</v>
      </c>
      <c r="Q86" s="22">
        <f t="shared" si="54"/>
        <v>662.15953068851047</v>
      </c>
      <c r="R86" s="62">
        <f t="shared" si="55"/>
        <v>955.49286402184384</v>
      </c>
      <c r="S86" s="62">
        <f ca="1">AVERAGE(OFFSET($R$3,0,0,'Données projet'!$E$9+1,1))-AVERAGE(OFFSET($H$3,0,0,'Données projet'!$E$9+1,1))</f>
        <v>529.25712986118265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8.8675733422860506E-14</v>
      </c>
      <c r="AK86" s="14">
        <f t="shared" si="89"/>
        <v>1.3509285393066301E-12</v>
      </c>
      <c r="AL86" s="22">
        <f t="shared" si="58"/>
        <v>2.5073107750038623E-12</v>
      </c>
      <c r="AM86" s="62">
        <f t="shared" si="59"/>
        <v>293.33333333333582</v>
      </c>
      <c r="AN86" s="62">
        <f ca="1">AVERAGE(OFFSET($AM$3,0,0,'Données projet'!$E$10+1,1))-AVERAGE(OFFSET($H$3,0,0,'Données projet'!$E$10+1,1))</f>
        <v>292.57482726862594</v>
      </c>
      <c r="AO86" s="62">
        <f t="shared" si="90"/>
        <v>283.48738729114024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-3.4106051316484809E-13</v>
      </c>
      <c r="BE86" s="14">
        <f>BD86*VLOOKUP('Données projet'!$B$11,Paramètres!$A$1:$I$89,3,0)*VLOOKUP('Données projet'!$B$11,Paramètres!$A$1:$I$89,5,0)</f>
        <v>-2.5006556825246659E-13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397.24545766894346</v>
      </c>
      <c r="BJ86" s="62">
        <f t="shared" si="92"/>
        <v>431.44557882369696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3.8</v>
      </c>
      <c r="BY86" s="13">
        <f>IF('Données projet'!$A$114&gt;35,BY85+BX86-CG85,IF(A86&lt;'Données projet'!$A$114,$BV$205^A86,IF(A86='Données projet'!$A$114,'Données projet'!$B$114,BY85+BX86-CG85)))</f>
        <v>255.40000000000009</v>
      </c>
      <c r="BZ86" s="14">
        <f>BY86*VLOOKUP('Données projet'!$B$12,Paramètres!$A$1:$I$89,3,0)*VLOOKUP('Données projet'!$B$12,Paramètres!$A$1:$I$89,5,0)</f>
        <v>167.33808000000005</v>
      </c>
      <c r="CA86" s="14">
        <f t="shared" si="93"/>
        <v>42.493295553601513</v>
      </c>
      <c r="CB86" s="22">
        <f t="shared" si="64"/>
        <v>365.45631242252267</v>
      </c>
      <c r="CC86" s="62">
        <f t="shared" si="65"/>
        <v>658.78964575585599</v>
      </c>
      <c r="CD86" s="62">
        <f ca="1">AVERAGE(OFFSET($CC$3,0,0,'Données projet'!$E$12+1,1))-AVERAGE(OFFSET($H$3,0,0,'Données projet'!$E$12+1,1))</f>
        <v>277.27246253233807</v>
      </c>
      <c r="CE86" s="62">
        <f t="shared" si="94"/>
        <v>269.61868559913404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216.32831999999991</v>
      </c>
      <c r="CV86" s="14">
        <f t="shared" si="95"/>
        <v>53.316084217295149</v>
      </c>
      <c r="CW86" s="22">
        <f t="shared" si="67"/>
        <v>469.6306706784556</v>
      </c>
      <c r="CX86" s="62">
        <f t="shared" si="68"/>
        <v>762.96400401178892</v>
      </c>
      <c r="CY86" s="62">
        <f ca="1">AVERAGE(OFFSET($CX$3,0,0,'Données projet'!$E$13+1,1))-AVERAGE(OFFSET($H$3,0,0,'Données projet'!$E$13+1,1))</f>
        <v>402.15128814037058</v>
      </c>
      <c r="CZ86" s="62">
        <f t="shared" si="96"/>
        <v>232.85411068442738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4.8717948717948731</v>
      </c>
      <c r="DO86" s="13">
        <f>IF('Données projet'!$A$166&gt;35,DO85+DN86-DW85,IF(A86&lt;'Données projet'!$A$166,$DL$205^A86,IF(A86='Données projet'!$A$166,'Données projet'!$B$166,DO85+DN86-DW85)))</f>
        <v>280.64102564102535</v>
      </c>
      <c r="DP86" s="18">
        <f>DO86*VLOOKUP('Données projet'!$B$14,Paramètres!$A$1:$I$89,3,0)*VLOOKUP('Données projet'!$B$14,Paramètres!$A$1:$I$89,5,0)</f>
        <v>267.05799999999971</v>
      </c>
      <c r="DQ86" s="14">
        <f t="shared" si="97"/>
        <v>64.224505070758767</v>
      </c>
      <c r="DR86" s="22">
        <f t="shared" si="70"/>
        <v>576.98369633157097</v>
      </c>
      <c r="DS86" s="62">
        <f t="shared" si="71"/>
        <v>870.31702966490434</v>
      </c>
      <c r="DT86" s="62">
        <f ca="1">AVERAGE(OFFSET($DS$3,0,0,'Données projet'!$E$14+1,1))-AVERAGE(OFFSET($H$3,0,0,'Données projet'!$E$14+1,1))</f>
        <v>485.18236169209541</v>
      </c>
      <c r="DU86" s="62">
        <f t="shared" si="98"/>
        <v>417.30339652956951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-3.4106051316484809E-13</v>
      </c>
      <c r="EK86" s="18">
        <f>EJ86*VLOOKUP('Données projet'!$B$15,Paramètres!$A$1:$I$89,3,0)*VLOOKUP('Données projet'!$B$15,Paramètres!$A$1:$I$89,5,0)</f>
        <v>-2.7134774427395314E-13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427.78067187784063</v>
      </c>
      <c r="EP86" s="62">
        <f t="shared" si="100"/>
        <v>464.22892523825118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12</v>
      </c>
      <c r="FE86" s="13">
        <f>IF('Données projet'!$A$218&gt;35,FE85+FD86-FM85,IF(A86&lt;'Données projet'!$A$218,$FB$205^A86,IF(A86='Données projet'!$A$218,'Données projet'!$B$218,FE85+FD86-FM85)))</f>
        <v>407.99999999999966</v>
      </c>
      <c r="FF86" s="18">
        <f>FE86*VLOOKUP('Données projet'!$B$16,Paramètres!$A$1:$I$89,3,0)*VLOOKUP('Données projet'!$B$16,Paramètres!$A$1:$I$89,5,0)</f>
        <v>350.06399999999974</v>
      </c>
      <c r="FG86" s="14">
        <f t="shared" si="101"/>
        <v>81.575689362490451</v>
      </c>
      <c r="FH86" s="22">
        <f t="shared" si="76"/>
        <v>751.77245897300372</v>
      </c>
      <c r="FI86" s="62">
        <f t="shared" si="77"/>
        <v>1045.105792306337</v>
      </c>
      <c r="FJ86" s="62">
        <f ca="1">AVERAGE(OFFSET($FI$3,0,0,'Données projet'!$E$16+1,1))-AVERAGE(OFFSET($H$3,0,0,'Données projet'!$E$16+1,1))</f>
        <v>448.44001099301806</v>
      </c>
      <c r="FK86" s="62">
        <f t="shared" si="102"/>
        <v>230.82970731138215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4.8717948717948616</v>
      </c>
      <c r="FZ86" s="13">
        <f>IF('Données projet'!$A$244&gt;35,FZ85+FY86-GH85,IF(A86&lt;'Données projet'!$A$244,$FW$205^A86,IF(A86='Données projet'!$A$244,'Données projet'!$B$244,FZ85+FY86-GH85)))</f>
        <v>350.51282051282038</v>
      </c>
      <c r="GA86" s="18">
        <f>FZ86*VLOOKUP('Données projet'!$B$17,Paramètres!$A$1:$I$89,3,0)*VLOOKUP('Données projet'!$B$17,Paramètres!$A$1:$I$89,5,0)</f>
        <v>235.12399999999991</v>
      </c>
      <c r="GB86" s="14">
        <f t="shared" si="103"/>
        <v>57.389185366942129</v>
      </c>
      <c r="GC86" s="22">
        <f t="shared" si="79"/>
        <v>509.46046451409057</v>
      </c>
      <c r="GD86" s="62">
        <f t="shared" si="80"/>
        <v>802.79379784742389</v>
      </c>
      <c r="GE86" s="62">
        <f ca="1">AVERAGE(OFFSET($GD$3,0,0,'Données projet'!$E$17+1,1))-AVERAGE(OFFSET($H$3,0,0,'Données projet'!$E$17+1,1))</f>
        <v>408.91016501484626</v>
      </c>
      <c r="GF86" s="62">
        <f t="shared" si="104"/>
        <v>354.22396807666433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6.6</v>
      </c>
      <c r="GU86" s="13">
        <f>IF('Données projet'!$A$270&gt;35,GU85+GT86-HC85,IF(A86&lt;'Données projet'!$A$270,$GR$205^A86,IF(A86='Données projet'!$A$270,'Données projet'!$B$270,GU85+GT86-HC85)))</f>
        <v>339.80000000000007</v>
      </c>
      <c r="GV86" s="18">
        <f>GU86*VLOOKUP('Données projet'!$B$18,Paramètres!$A$1:$I$89,3,0)*VLOOKUP('Données projet'!$B$18,Paramètres!$A$1:$I$89,5,0)</f>
        <v>328.65456000000006</v>
      </c>
      <c r="GW86" s="14">
        <f t="shared" si="105"/>
        <v>77.151296842743776</v>
      </c>
      <c r="GX86" s="22">
        <f t="shared" si="82"/>
        <v>706.77853400111223</v>
      </c>
      <c r="GY86" s="62">
        <f t="shared" si="83"/>
        <v>1000.1118673344456</v>
      </c>
      <c r="GZ86" s="62">
        <f ca="1">AVERAGE(OFFSET($GY$3,0,0,'Données projet'!$E$18+1,1))-AVERAGE(OFFSET($H$3,0,0,'Données projet'!$E$18+1,1))</f>
        <v>562.69380557620775</v>
      </c>
      <c r="HA86" s="62">
        <f t="shared" si="106"/>
        <v>294.45557293177131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6.6</v>
      </c>
      <c r="N87" s="14">
        <f>IF('Données projet'!$A$36&gt;35,N86+M87-V86,IF(A87&lt;'Données projet'!$A$36,$K$205^A87,IF(A87='Données projet'!$A$36,'Données projet'!$B$36,N86+M87-V86)))</f>
        <v>346.40000000000009</v>
      </c>
      <c r="O87" s="14">
        <f>N87*VLOOKUP('Données projet'!$B$9,Paramètres!$A$1:$I$89,3,0)*VLOOKUP('Données projet'!$B$9,Paramètres!$A$1:$I$89,5,0)</f>
        <v>313.42272000000008</v>
      </c>
      <c r="P87" s="14">
        <f t="shared" si="87"/>
        <v>73.983172890008831</v>
      </c>
      <c r="Q87" s="22">
        <f t="shared" si="54"/>
        <v>674.73193011676551</v>
      </c>
      <c r="R87" s="62">
        <f t="shared" si="55"/>
        <v>968.06526345009888</v>
      </c>
      <c r="S87" s="62">
        <f ca="1">AVERAGE(OFFSET($R$3,0,0,'Données projet'!$E$9+1,1))-AVERAGE(OFFSET($H$3,0,0,'Données projet'!$E$9+1,1))</f>
        <v>529.25712986118265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8.8675733422860506E-14</v>
      </c>
      <c r="AK87" s="14">
        <f t="shared" si="89"/>
        <v>1.3509285393066301E-12</v>
      </c>
      <c r="AL87" s="22">
        <f t="shared" si="58"/>
        <v>2.5073107750038623E-12</v>
      </c>
      <c r="AM87" s="62">
        <f t="shared" si="59"/>
        <v>293.33333333333582</v>
      </c>
      <c r="AN87" s="62">
        <f ca="1">AVERAGE(OFFSET($AM$3,0,0,'Données projet'!$E$10+1,1))-AVERAGE(OFFSET($H$3,0,0,'Données projet'!$E$10+1,1))</f>
        <v>292.57482726862594</v>
      </c>
      <c r="AO87" s="62">
        <f t="shared" si="90"/>
        <v>283.48738729114024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-3.4106051316484809E-13</v>
      </c>
      <c r="BE87" s="14">
        <f>BD87*VLOOKUP('Données projet'!$B$11,Paramètres!$A$1:$I$89,3,0)*VLOOKUP('Données projet'!$B$11,Paramètres!$A$1:$I$89,5,0)</f>
        <v>-2.5006556825246659E-13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397.24545766894346</v>
      </c>
      <c r="BJ87" s="62">
        <f t="shared" si="92"/>
        <v>431.44557882369696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3.8</v>
      </c>
      <c r="BY87" s="13">
        <f>IF('Données projet'!$A$114&gt;35,BY86+BX87-CG86,IF(A87&lt;'Données projet'!$A$114,$BV$205^A87,IF(A87='Données projet'!$A$114,'Données projet'!$B$114,BY86+BX87-CG86)))</f>
        <v>259.2000000000001</v>
      </c>
      <c r="BZ87" s="14">
        <f>BY87*VLOOKUP('Données projet'!$B$12,Paramètres!$A$1:$I$89,3,0)*VLOOKUP('Données projet'!$B$12,Paramètres!$A$1:$I$89,5,0)</f>
        <v>169.82784000000007</v>
      </c>
      <c r="CA87" s="14">
        <f t="shared" si="93"/>
        <v>43.051463198873812</v>
      </c>
      <c r="CB87" s="22">
        <f t="shared" si="64"/>
        <v>370.76478640470532</v>
      </c>
      <c r="CC87" s="62">
        <f t="shared" si="65"/>
        <v>664.09811973803858</v>
      </c>
      <c r="CD87" s="62">
        <f ca="1">AVERAGE(OFFSET($CC$3,0,0,'Données projet'!$E$12+1,1))-AVERAGE(OFFSET($H$3,0,0,'Données projet'!$E$12+1,1))</f>
        <v>277.27246253233807</v>
      </c>
      <c r="CE87" s="62">
        <f t="shared" si="94"/>
        <v>269.61868559913404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221.04575999999997</v>
      </c>
      <c r="CV87" s="14">
        <f t="shared" si="95"/>
        <v>54.342113720419057</v>
      </c>
      <c r="CW87" s="22">
        <f t="shared" si="67"/>
        <v>479.63388006306309</v>
      </c>
      <c r="CX87" s="62">
        <f t="shared" si="68"/>
        <v>772.96721339639635</v>
      </c>
      <c r="CY87" s="62">
        <f ca="1">AVERAGE(OFFSET($CX$3,0,0,'Données projet'!$E$13+1,1))-AVERAGE(OFFSET($H$3,0,0,'Données projet'!$E$13+1,1))</f>
        <v>402.15128814037058</v>
      </c>
      <c r="CZ87" s="62">
        <f t="shared" si="96"/>
        <v>232.85411068442738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4.8717948717948731</v>
      </c>
      <c r="DO87" s="13">
        <f>IF('Données projet'!$A$166&gt;35,DO86+DN87-DW86,IF(A87&lt;'Données projet'!$A$166,$DL$205^A87,IF(A87='Données projet'!$A$166,'Données projet'!$B$166,DO86+DN87-DW86)))</f>
        <v>285.51282051282021</v>
      </c>
      <c r="DP87" s="18">
        <f>DO87*VLOOKUP('Données projet'!$B$14,Paramètres!$A$1:$I$89,3,0)*VLOOKUP('Données projet'!$B$14,Paramètres!$A$1:$I$89,5,0)</f>
        <v>271.69399999999973</v>
      </c>
      <c r="DQ87" s="14">
        <f t="shared" si="97"/>
        <v>65.208647871703832</v>
      </c>
      <c r="DR87" s="22">
        <f t="shared" si="70"/>
        <v>586.77211170988369</v>
      </c>
      <c r="DS87" s="62">
        <f t="shared" si="71"/>
        <v>880.10544504321706</v>
      </c>
      <c r="DT87" s="62">
        <f ca="1">AVERAGE(OFFSET($DS$3,0,0,'Données projet'!$E$14+1,1))-AVERAGE(OFFSET($H$3,0,0,'Données projet'!$E$14+1,1))</f>
        <v>485.18236169209541</v>
      </c>
      <c r="DU87" s="62">
        <f t="shared" si="98"/>
        <v>417.30339652956951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-3.4106051316484809E-13</v>
      </c>
      <c r="EK87" s="18">
        <f>EJ87*VLOOKUP('Données projet'!$B$15,Paramètres!$A$1:$I$89,3,0)*VLOOKUP('Données projet'!$B$15,Paramètres!$A$1:$I$89,5,0)</f>
        <v>-2.7134774427395314E-13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427.78067187784063</v>
      </c>
      <c r="EP87" s="62">
        <f t="shared" si="100"/>
        <v>464.22892523825118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>
        <f>VLOOKUP(A87,'Données projet'!$A$217:$I$237,2,0)</f>
        <v>420</v>
      </c>
      <c r="FC87" s="13">
        <f>VLOOKUP(A87,'Données projet'!$A$217:$I$237,9,0)</f>
        <v>12</v>
      </c>
      <c r="FD87" s="13">
        <f t="array" ref="FD87">INDEX(FC:FC,MIN(IF(ISNUMBER(FC87:FC283),ROW(FC87:FC283),"")))</f>
        <v>12</v>
      </c>
      <c r="FE87" s="13">
        <f>IF('Données projet'!$A$218&gt;35,FE86+FD87-FM86,IF(A87&lt;'Données projet'!$A$218,$FB$205^A87,IF(A87='Données projet'!$A$218,'Données projet'!$B$218,FE86+FD87-FM86)))</f>
        <v>419.99999999999966</v>
      </c>
      <c r="FF87" s="18">
        <f>FE87*VLOOKUP('Données projet'!$B$16,Paramètres!$A$1:$I$89,3,0)*VLOOKUP('Données projet'!$B$16,Paramètres!$A$1:$I$89,5,0)</f>
        <v>360.35999999999973</v>
      </c>
      <c r="FG87" s="14">
        <f t="shared" si="101"/>
        <v>83.692107728969532</v>
      </c>
      <c r="FH87" s="22">
        <f t="shared" si="76"/>
        <v>773.39075429462139</v>
      </c>
      <c r="FI87" s="62">
        <f t="shared" si="77"/>
        <v>1066.7240876279548</v>
      </c>
      <c r="FJ87" s="62">
        <f ca="1">AVERAGE(OFFSET($FI$3,0,0,'Données projet'!$E$16+1,1))-AVERAGE(OFFSET($H$3,0,0,'Données projet'!$E$16+1,1))</f>
        <v>448.44001099301806</v>
      </c>
      <c r="FK87" s="62">
        <f t="shared" si="102"/>
        <v>230.82970731138215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4.8717948717948616</v>
      </c>
      <c r="FZ87" s="13">
        <f>IF('Données projet'!$A$244&gt;35,FZ86+FY87-GH86,IF(A87&lt;'Données projet'!$A$244,$FW$205^A87,IF(A87='Données projet'!$A$244,'Données projet'!$B$244,FZ86+FY87-GH86)))</f>
        <v>355.38461538461524</v>
      </c>
      <c r="GA87" s="18">
        <f>FZ87*VLOOKUP('Données projet'!$B$17,Paramètres!$A$1:$I$89,3,0)*VLOOKUP('Données projet'!$B$17,Paramètres!$A$1:$I$89,5,0)</f>
        <v>238.39199999999991</v>
      </c>
      <c r="GB87" s="14">
        <f t="shared" si="103"/>
        <v>58.0934262042908</v>
      </c>
      <c r="GC87" s="22">
        <f t="shared" si="79"/>
        <v>516.37878397247289</v>
      </c>
      <c r="GD87" s="62">
        <f t="shared" si="80"/>
        <v>809.71211730580626</v>
      </c>
      <c r="GE87" s="62">
        <f ca="1">AVERAGE(OFFSET($GD$3,0,0,'Données projet'!$E$17+1,1))-AVERAGE(OFFSET($H$3,0,0,'Données projet'!$E$17+1,1))</f>
        <v>408.91016501484626</v>
      </c>
      <c r="GF87" s="62">
        <f t="shared" si="104"/>
        <v>354.22396807666433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6.6</v>
      </c>
      <c r="GU87" s="13">
        <f>IF('Données projet'!$A$270&gt;35,GU86+GT87-HC86,IF(A87&lt;'Données projet'!$A$270,$GR$205^A87,IF(A87='Données projet'!$A$270,'Données projet'!$B$270,GU86+GT87-HC86)))</f>
        <v>346.40000000000009</v>
      </c>
      <c r="GV87" s="18">
        <f>GU87*VLOOKUP('Données projet'!$B$18,Paramètres!$A$1:$I$89,3,0)*VLOOKUP('Données projet'!$B$18,Paramètres!$A$1:$I$89,5,0)</f>
        <v>335.03808000000009</v>
      </c>
      <c r="GW87" s="14">
        <f t="shared" si="105"/>
        <v>78.473906831019789</v>
      </c>
      <c r="GX87" s="22">
        <f t="shared" si="82"/>
        <v>720.20004373069298</v>
      </c>
      <c r="GY87" s="62">
        <f t="shared" si="83"/>
        <v>1013.5333770640264</v>
      </c>
      <c r="GZ87" s="62">
        <f ca="1">AVERAGE(OFFSET($GY$3,0,0,'Données projet'!$E$18+1,1))-AVERAGE(OFFSET($H$3,0,0,'Données projet'!$E$18+1,1))</f>
        <v>562.69380557620775</v>
      </c>
      <c r="HA87" s="62">
        <f t="shared" si="106"/>
        <v>294.45557293177131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6.6</v>
      </c>
      <c r="N88" s="14">
        <f>IF('Données projet'!$A$36&gt;35,N87+M88-V87,IF(A88&lt;'Données projet'!$A$36,$K$205^A88,IF(A88='Données projet'!$A$36,'Données projet'!$B$36,N87+M88-V87)))</f>
        <v>353.00000000000011</v>
      </c>
      <c r="O88" s="14">
        <f>N88*VLOOKUP('Données projet'!$B$9,Paramètres!$A$1:$I$89,3,0)*VLOOKUP('Données projet'!$B$9,Paramètres!$A$1:$I$89,5,0)</f>
        <v>319.39440000000013</v>
      </c>
      <c r="P88" s="14">
        <f t="shared" si="87"/>
        <v>75.227332916620099</v>
      </c>
      <c r="Q88" s="22">
        <f t="shared" si="54"/>
        <v>687.29951816311348</v>
      </c>
      <c r="R88" s="62">
        <f t="shared" si="55"/>
        <v>980.63285149644685</v>
      </c>
      <c r="S88" s="62">
        <f ca="1">AVERAGE(OFFSET($R$3,0,0,'Données projet'!$E$9+1,1))-AVERAGE(OFFSET($H$3,0,0,'Données projet'!$E$9+1,1))</f>
        <v>529.25712986118265</v>
      </c>
      <c r="T88" s="62">
        <f t="shared" si="88"/>
        <v>278.21741231699929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8.8675733422860506E-14</v>
      </c>
      <c r="AK88" s="14">
        <f t="shared" si="89"/>
        <v>1.3509285393066301E-12</v>
      </c>
      <c r="AL88" s="22">
        <f t="shared" si="58"/>
        <v>2.5073107750038623E-12</v>
      </c>
      <c r="AM88" s="62">
        <f t="shared" si="59"/>
        <v>293.33333333333582</v>
      </c>
      <c r="AN88" s="62">
        <f ca="1">AVERAGE(OFFSET($AM$3,0,0,'Données projet'!$E$10+1,1))-AVERAGE(OFFSET($H$3,0,0,'Données projet'!$E$10+1,1))</f>
        <v>292.57482726862594</v>
      </c>
      <c r="AO88" s="62">
        <f t="shared" si="90"/>
        <v>283.48738729114024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-3.4106051316484809E-13</v>
      </c>
      <c r="BE88" s="14">
        <f>BD88*VLOOKUP('Données projet'!$B$11,Paramètres!$A$1:$I$89,3,0)*VLOOKUP('Données projet'!$B$11,Paramètres!$A$1:$I$89,5,0)</f>
        <v>-2.5006556825246659E-13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397.24545766894346</v>
      </c>
      <c r="BJ88" s="62">
        <f t="shared" si="92"/>
        <v>431.44557882369696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263</v>
      </c>
      <c r="BW88" s="13">
        <f>VLOOKUP(A88,'Données projet'!$A$113:$I$133,9,0)</f>
        <v>3.8</v>
      </c>
      <c r="BX88" s="13">
        <f t="array" ref="BX88">INDEX(BW:BW,MIN(IF(ISNUMBER(BW88:BW284),ROW(BW88:BW284),"")))</f>
        <v>3.8</v>
      </c>
      <c r="BY88" s="13">
        <f>IF('Données projet'!$A$114&gt;35,BY87+BX88-CG87,IF(A88&lt;'Données projet'!$A$114,$BV$205^A88,IF(A88='Données projet'!$A$114,'Données projet'!$B$114,BY87+BX88-CG87)))</f>
        <v>263.00000000000011</v>
      </c>
      <c r="BZ88" s="14">
        <f>BY88*VLOOKUP('Données projet'!$B$12,Paramètres!$A$1:$I$89,3,0)*VLOOKUP('Données projet'!$B$12,Paramètres!$A$1:$I$89,5,0)</f>
        <v>172.31760000000008</v>
      </c>
      <c r="CA88" s="14">
        <f t="shared" si="93"/>
        <v>43.608679117600296</v>
      </c>
      <c r="CB88" s="22">
        <f t="shared" si="64"/>
        <v>376.0716027964873</v>
      </c>
      <c r="CC88" s="62">
        <f t="shared" si="65"/>
        <v>669.40493612982061</v>
      </c>
      <c r="CD88" s="62">
        <f ca="1">AVERAGE(OFFSET($CC$3,0,0,'Données projet'!$E$12+1,1))-AVERAGE(OFFSET($H$3,0,0,'Données projet'!$E$12+1,1))</f>
        <v>277.27246253233807</v>
      </c>
      <c r="CE88" s="62">
        <f t="shared" si="94"/>
        <v>269.61868559913404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225.76319999999996</v>
      </c>
      <c r="CV88" s="14">
        <f t="shared" si="95"/>
        <v>55.365597375021402</v>
      </c>
      <c r="CW88" s="22">
        <f t="shared" si="67"/>
        <v>489.6326554281622</v>
      </c>
      <c r="CX88" s="62">
        <f t="shared" si="68"/>
        <v>782.96598876149551</v>
      </c>
      <c r="CY88" s="62">
        <f ca="1">AVERAGE(OFFSET($CX$3,0,0,'Données projet'!$E$13+1,1))-AVERAGE(OFFSET($H$3,0,0,'Données projet'!$E$13+1,1))</f>
        <v>402.15128814037058</v>
      </c>
      <c r="CZ88" s="62">
        <f t="shared" si="96"/>
        <v>232.85411068442738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290.38461538461536</v>
      </c>
      <c r="DM88" s="13">
        <f>VLOOKUP(A88,'Données projet'!$A$165:$I$185,9,0)</f>
        <v>4.8717948717948731</v>
      </c>
      <c r="DN88" s="13">
        <f t="array" ref="DN88">INDEX(DM:DM,MIN(IF(ISNUMBER(DM88:DM284),ROW(DM88:DM284),"")))</f>
        <v>4.8717948717948731</v>
      </c>
      <c r="DO88" s="13">
        <f>IF('Données projet'!$A$166&gt;35,DO87+DN88-DW87,IF(A88&lt;'Données projet'!$A$166,$DL$205^A88,IF(A88='Données projet'!$A$166,'Données projet'!$B$166,DO87+DN88-DW87)))</f>
        <v>290.38461538461507</v>
      </c>
      <c r="DP88" s="18">
        <f>DO88*VLOOKUP('Données projet'!$B$14,Paramètres!$A$1:$I$89,3,0)*VLOOKUP('Données projet'!$B$14,Paramètres!$A$1:$I$89,5,0)</f>
        <v>276.3299999999997</v>
      </c>
      <c r="DQ88" s="14">
        <f t="shared" si="97"/>
        <v>66.190837837689699</v>
      </c>
      <c r="DR88" s="22">
        <f t="shared" si="70"/>
        <v>596.55712590064229</v>
      </c>
      <c r="DS88" s="62">
        <f t="shared" si="71"/>
        <v>889.89045923397566</v>
      </c>
      <c r="DT88" s="62">
        <f ca="1">AVERAGE(OFFSET($DS$3,0,0,'Données projet'!$E$14+1,1))-AVERAGE(OFFSET($H$3,0,0,'Données projet'!$E$14+1,1))</f>
        <v>485.18236169209541</v>
      </c>
      <c r="DU88" s="62">
        <f t="shared" si="98"/>
        <v>417.30339652956951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-3.4106051316484809E-13</v>
      </c>
      <c r="EK88" s="18">
        <f>EJ88*VLOOKUP('Données projet'!$B$15,Paramètres!$A$1:$I$89,3,0)*VLOOKUP('Données projet'!$B$15,Paramètres!$A$1:$I$89,5,0)</f>
        <v>-2.7134774427395314E-13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427.78067187784063</v>
      </c>
      <c r="EP88" s="62">
        <f t="shared" si="100"/>
        <v>464.22892523825118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11.5</v>
      </c>
      <c r="FE88" s="13">
        <f>IF('Données projet'!$A$218&gt;35,FE87+FD88-FM87,IF(A88&lt;'Données projet'!$A$218,$FB$205^A88,IF(A88='Données projet'!$A$218,'Données projet'!$B$218,FE87+FD88-FM87)))</f>
        <v>431.49999999999966</v>
      </c>
      <c r="FF88" s="18">
        <f>FE88*VLOOKUP('Données projet'!$B$16,Paramètres!$A$1:$I$89,3,0)*VLOOKUP('Données projet'!$B$16,Paramètres!$A$1:$I$89,5,0)</f>
        <v>370.22699999999975</v>
      </c>
      <c r="FG88" s="14">
        <f t="shared" si="101"/>
        <v>85.713744339137904</v>
      </c>
      <c r="FH88" s="22">
        <f t="shared" si="76"/>
        <v>794.09679639066474</v>
      </c>
      <c r="FI88" s="62">
        <f t="shared" si="77"/>
        <v>1087.4301297239981</v>
      </c>
      <c r="FJ88" s="62">
        <f ca="1">AVERAGE(OFFSET($FI$3,0,0,'Données projet'!$E$16+1,1))-AVERAGE(OFFSET($H$3,0,0,'Données projet'!$E$16+1,1))</f>
        <v>448.44001099301806</v>
      </c>
      <c r="FK88" s="62">
        <f t="shared" si="102"/>
        <v>230.82970731138215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360.25641025641022</v>
      </c>
      <c r="FX88" s="13">
        <f>VLOOKUP(A88,'Données projet'!$A$243:$I$263,9,0)</f>
        <v>4.8717948717948616</v>
      </c>
      <c r="FY88" s="13">
        <f t="array" ref="FY88">INDEX(FX:FX,MIN(IF(ISNUMBER(FX88:FX284),ROW(FX88:FX284),"")))</f>
        <v>4.8717948717948616</v>
      </c>
      <c r="FZ88" s="13">
        <f>IF('Données projet'!$A$244&gt;35,FZ87+FY88-GH87,IF(A88&lt;'Données projet'!$A$244,$FW$205^A88,IF(A88='Données projet'!$A$244,'Données projet'!$B$244,FZ87+FY88-GH87)))</f>
        <v>360.25641025641011</v>
      </c>
      <c r="GA88" s="18">
        <f>FZ88*VLOOKUP('Données projet'!$B$17,Paramètres!$A$1:$I$89,3,0)*VLOOKUP('Données projet'!$B$17,Paramètres!$A$1:$I$89,5,0)</f>
        <v>241.65999999999991</v>
      </c>
      <c r="GB88" s="14">
        <f t="shared" si="103"/>
        <v>58.796544163853639</v>
      </c>
      <c r="GC88" s="22">
        <f t="shared" si="79"/>
        <v>523.29514775204495</v>
      </c>
      <c r="GD88" s="62">
        <f t="shared" si="80"/>
        <v>816.62848108537833</v>
      </c>
      <c r="GE88" s="62">
        <f ca="1">AVERAGE(OFFSET($GD$3,0,0,'Données projet'!$E$17+1,1))-AVERAGE(OFFSET($H$3,0,0,'Données projet'!$E$17+1,1))</f>
        <v>408.91016501484626</v>
      </c>
      <c r="GF88" s="62">
        <f t="shared" si="104"/>
        <v>354.22396807666433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6.6</v>
      </c>
      <c r="GU88" s="13">
        <f>IF('Données projet'!$A$270&gt;35,GU87+GT88-HC87,IF(A88&lt;'Données projet'!$A$270,$GR$205^A88,IF(A88='Données projet'!$A$270,'Données projet'!$B$270,GU87+GT88-HC87)))</f>
        <v>353.00000000000011</v>
      </c>
      <c r="GV88" s="18">
        <f>GU88*VLOOKUP('Données projet'!$B$18,Paramètres!$A$1:$I$89,3,0)*VLOOKUP('Données projet'!$B$18,Paramètres!$A$1:$I$89,5,0)</f>
        <v>341.42160000000013</v>
      </c>
      <c r="GW88" s="14">
        <f t="shared" si="105"/>
        <v>79.793586620318962</v>
      </c>
      <c r="GX88" s="22">
        <f t="shared" si="82"/>
        <v>733.61645003038905</v>
      </c>
      <c r="GY88" s="62">
        <f t="shared" si="83"/>
        <v>1026.9497833637224</v>
      </c>
      <c r="GZ88" s="62">
        <f ca="1">AVERAGE(OFFSET($GY$3,0,0,'Données projet'!$E$18+1,1))-AVERAGE(OFFSET($H$3,0,0,'Données projet'!$E$18+1,1))</f>
        <v>562.69380557620775</v>
      </c>
      <c r="HA88" s="62">
        <f t="shared" si="106"/>
        <v>294.45557293177131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6.6</v>
      </c>
      <c r="N89" s="14">
        <f>IF('Données projet'!$A$36&gt;35,N88+M89-V88,IF(A89&lt;'Données projet'!$A$36,$K$205^A89,IF(A89='Données projet'!$A$36,'Données projet'!$B$36,N88+M89-V88)))</f>
        <v>359.60000000000014</v>
      </c>
      <c r="O89" s="14">
        <f>N89*VLOOKUP('Données projet'!$B$9,Paramètres!$A$1:$I$89,3,0)*VLOOKUP('Données projet'!$B$9,Paramètres!$A$1:$I$89,5,0)</f>
        <v>325.36608000000012</v>
      </c>
      <c r="P89" s="14">
        <f t="shared" si="87"/>
        <v>76.468788033923758</v>
      </c>
      <c r="Q89" s="22">
        <f t="shared" si="54"/>
        <v>699.86239515908403</v>
      </c>
      <c r="R89" s="62">
        <f t="shared" si="55"/>
        <v>993.1957284924174</v>
      </c>
      <c r="S89" s="62">
        <f ca="1">AVERAGE(OFFSET($R$3,0,0,'Données projet'!$E$9+1,1))-AVERAGE(OFFSET($H$3,0,0,'Données projet'!$E$9+1,1))</f>
        <v>529.25712986118265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8.8675733422860506E-14</v>
      </c>
      <c r="AK89" s="14">
        <f t="shared" si="89"/>
        <v>1.3509285393066301E-12</v>
      </c>
      <c r="AL89" s="22">
        <f t="shared" si="58"/>
        <v>2.5073107750038623E-12</v>
      </c>
      <c r="AM89" s="62">
        <f t="shared" si="59"/>
        <v>293.33333333333582</v>
      </c>
      <c r="AN89" s="62">
        <f ca="1">AVERAGE(OFFSET($AM$3,0,0,'Données projet'!$E$10+1,1))-AVERAGE(OFFSET($H$3,0,0,'Données projet'!$E$10+1,1))</f>
        <v>292.57482726862594</v>
      </c>
      <c r="AO89" s="62">
        <f t="shared" si="90"/>
        <v>283.48738729114024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-3.4106051316484809E-13</v>
      </c>
      <c r="BE89" s="14">
        <f>BD89*VLOOKUP('Données projet'!$B$11,Paramètres!$A$1:$I$89,3,0)*VLOOKUP('Données projet'!$B$11,Paramètres!$A$1:$I$89,5,0)</f>
        <v>-2.5006556825246659E-13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397.24545766894346</v>
      </c>
      <c r="BJ89" s="62">
        <f t="shared" si="92"/>
        <v>431.44557882369696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3.6</v>
      </c>
      <c r="BY89" s="13">
        <f>IF('Données projet'!$A$114&gt;35,BY88+BX89-CG88,IF(A89&lt;'Données projet'!$A$114,$BV$205^A89,IF(A89='Données projet'!$A$114,'Données projet'!$B$114,BY88+BX89-CG88)))</f>
        <v>266.60000000000014</v>
      </c>
      <c r="BZ89" s="14">
        <f>BY89*VLOOKUP('Données projet'!$B$12,Paramètres!$A$1:$I$89,3,0)*VLOOKUP('Données projet'!$B$12,Paramètres!$A$1:$I$89,5,0)</f>
        <v>174.67632000000009</v>
      </c>
      <c r="CA89" s="14">
        <f t="shared" si="93"/>
        <v>44.135703881788153</v>
      </c>
      <c r="CB89" s="22">
        <f t="shared" si="64"/>
        <v>381.0976082607811</v>
      </c>
      <c r="CC89" s="62">
        <f t="shared" si="65"/>
        <v>674.43094159411442</v>
      </c>
      <c r="CD89" s="62">
        <f ca="1">AVERAGE(OFFSET($CC$3,0,0,'Données projet'!$E$12+1,1))-AVERAGE(OFFSET($H$3,0,0,'Données projet'!$E$12+1,1))</f>
        <v>277.27246253233807</v>
      </c>
      <c r="CE89" s="62">
        <f t="shared" si="94"/>
        <v>269.61868559913404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230.48063999999999</v>
      </c>
      <c r="CV89" s="14">
        <f t="shared" si="95"/>
        <v>56.386594506599792</v>
      </c>
      <c r="CW89" s="22">
        <f t="shared" si="67"/>
        <v>499.62710009899462</v>
      </c>
      <c r="CX89" s="62">
        <f t="shared" si="68"/>
        <v>792.96043343232793</v>
      </c>
      <c r="CY89" s="62">
        <f ca="1">AVERAGE(OFFSET($CX$3,0,0,'Données projet'!$E$13+1,1))-AVERAGE(OFFSET($H$3,0,0,'Données projet'!$E$13+1,1))</f>
        <v>402.15128814037058</v>
      </c>
      <c r="CZ89" s="62">
        <f t="shared" si="96"/>
        <v>232.85411068442738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4.6153846153846185</v>
      </c>
      <c r="DO89" s="13">
        <f>IF('Données projet'!$A$166&gt;35,DO88+DN89-DW88,IF(A89&lt;'Données projet'!$A$166,$DL$205^A89,IF(A89='Données projet'!$A$166,'Données projet'!$B$166,DO88+DN89-DW88)))</f>
        <v>294.99999999999972</v>
      </c>
      <c r="DP89" s="18">
        <f>DO89*VLOOKUP('Données projet'!$B$14,Paramètres!$A$1:$I$89,3,0)*VLOOKUP('Données projet'!$B$14,Paramètres!$A$1:$I$89,5,0)</f>
        <v>280.72199999999975</v>
      </c>
      <c r="DQ89" s="14">
        <f t="shared" si="97"/>
        <v>67.119565360074105</v>
      </c>
      <c r="DR89" s="22">
        <f t="shared" si="70"/>
        <v>605.82405966879526</v>
      </c>
      <c r="DS89" s="62">
        <f t="shared" si="71"/>
        <v>899.15739300212863</v>
      </c>
      <c r="DT89" s="62">
        <f ca="1">AVERAGE(OFFSET($DS$3,0,0,'Données projet'!$E$14+1,1))-AVERAGE(OFFSET($H$3,0,0,'Données projet'!$E$14+1,1))</f>
        <v>485.18236169209541</v>
      </c>
      <c r="DU89" s="62">
        <f t="shared" si="98"/>
        <v>417.30339652956951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-3.4106051316484809E-13</v>
      </c>
      <c r="EK89" s="18">
        <f>EJ89*VLOOKUP('Données projet'!$B$15,Paramètres!$A$1:$I$89,3,0)*VLOOKUP('Données projet'!$B$15,Paramètres!$A$1:$I$89,5,0)</f>
        <v>-2.7134774427395314E-13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427.78067187784063</v>
      </c>
      <c r="EP89" s="62">
        <f t="shared" si="100"/>
        <v>464.22892523825118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11.5</v>
      </c>
      <c r="FE89" s="13">
        <f>IF('Données projet'!$A$218&gt;35,FE88+FD89-FM88,IF(A89&lt;'Données projet'!$A$218,$FB$205^A89,IF(A89='Données projet'!$A$218,'Données projet'!$B$218,FE88+FD89-FM88)))</f>
        <v>442.99999999999966</v>
      </c>
      <c r="FF89" s="18">
        <f>FE89*VLOOKUP('Données projet'!$B$16,Paramètres!$A$1:$I$89,3,0)*VLOOKUP('Données projet'!$B$16,Paramètres!$A$1:$I$89,5,0)</f>
        <v>380.09399999999977</v>
      </c>
      <c r="FG89" s="14">
        <f t="shared" si="101"/>
        <v>87.729118359210162</v>
      </c>
      <c r="FH89" s="22">
        <f t="shared" si="76"/>
        <v>814.79193114229065</v>
      </c>
      <c r="FI89" s="62">
        <f t="shared" si="77"/>
        <v>1108.1252644756239</v>
      </c>
      <c r="FJ89" s="62">
        <f ca="1">AVERAGE(OFFSET($FI$3,0,0,'Données projet'!$E$16+1,1))-AVERAGE(OFFSET($H$3,0,0,'Données projet'!$E$16+1,1))</f>
        <v>448.44001099301806</v>
      </c>
      <c r="FK89" s="62">
        <f t="shared" si="102"/>
        <v>230.82970731138215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4.7435897435897463</v>
      </c>
      <c r="FZ89" s="13">
        <f>IF('Données projet'!$A$244&gt;35,FZ88+FY89-GH88,IF(A89&lt;'Données projet'!$A$244,$FW$205^A89,IF(A89='Données projet'!$A$244,'Données projet'!$B$244,FZ88+FY89-GH88)))</f>
        <v>364.99999999999983</v>
      </c>
      <c r="GA89" s="18">
        <f>FZ89*VLOOKUP('Données projet'!$B$17,Paramètres!$A$1:$I$89,3,0)*VLOOKUP('Données projet'!$B$17,Paramètres!$A$1:$I$89,5,0)</f>
        <v>244.8419999999999</v>
      </c>
      <c r="GB89" s="14">
        <f t="shared" si="103"/>
        <v>59.480096214206256</v>
      </c>
      <c r="GC89" s="22">
        <f t="shared" si="79"/>
        <v>530.02765090640912</v>
      </c>
      <c r="GD89" s="62">
        <f t="shared" si="80"/>
        <v>823.36098423974249</v>
      </c>
      <c r="GE89" s="62">
        <f ca="1">AVERAGE(OFFSET($GD$3,0,0,'Données projet'!$E$17+1,1))-AVERAGE(OFFSET($H$3,0,0,'Données projet'!$E$17+1,1))</f>
        <v>408.91016501484626</v>
      </c>
      <c r="GF89" s="62">
        <f t="shared" si="104"/>
        <v>354.22396807666433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6.6</v>
      </c>
      <c r="GU89" s="13">
        <f>IF('Données projet'!$A$270&gt;35,GU88+GT89-HC88,IF(A89&lt;'Données projet'!$A$270,$GR$205^A89,IF(A89='Données projet'!$A$270,'Données projet'!$B$270,GU88+GT89-HC88)))</f>
        <v>359.60000000000014</v>
      </c>
      <c r="GV89" s="18">
        <f>GU89*VLOOKUP('Données projet'!$B$18,Paramètres!$A$1:$I$89,3,0)*VLOOKUP('Données projet'!$B$18,Paramètres!$A$1:$I$89,5,0)</f>
        <v>347.80512000000016</v>
      </c>
      <c r="GW89" s="14">
        <f t="shared" si="105"/>
        <v>81.110397313948141</v>
      </c>
      <c r="GX89" s="22">
        <f t="shared" si="82"/>
        <v>747.02785932179313</v>
      </c>
      <c r="GY89" s="62">
        <f t="shared" si="83"/>
        <v>1040.3611926551264</v>
      </c>
      <c r="GZ89" s="62">
        <f ca="1">AVERAGE(OFFSET($GY$3,0,0,'Données projet'!$E$18+1,1))-AVERAGE(OFFSET($H$3,0,0,'Données projet'!$E$18+1,1))</f>
        <v>562.69380557620775</v>
      </c>
      <c r="HA89" s="62">
        <f t="shared" si="106"/>
        <v>294.45557293177131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6.6</v>
      </c>
      <c r="N90" s="14">
        <f>IF('Données projet'!$A$36&gt;35,N89+M90-V89,IF(A90&lt;'Données projet'!$A$36,$K$205^A90,IF(A90='Données projet'!$A$36,'Données projet'!$B$36,N89+M90-V89)))</f>
        <v>366.20000000000016</v>
      </c>
      <c r="O90" s="14">
        <f>N90*VLOOKUP('Données projet'!$B$9,Paramètres!$A$1:$I$89,3,0)*VLOOKUP('Données projet'!$B$9,Paramètres!$A$1:$I$89,5,0)</f>
        <v>331.33776000000012</v>
      </c>
      <c r="P90" s="14">
        <f t="shared" si="87"/>
        <v>77.707593612890619</v>
      </c>
      <c r="Q90" s="22">
        <f t="shared" si="54"/>
        <v>712.42065754245129</v>
      </c>
      <c r="R90" s="62">
        <f t="shared" si="55"/>
        <v>1005.7539908757847</v>
      </c>
      <c r="S90" s="62">
        <f ca="1">AVERAGE(OFFSET($R$3,0,0,'Données projet'!$E$9+1,1))-AVERAGE(OFFSET($H$3,0,0,'Données projet'!$E$9+1,1))</f>
        <v>529.25712986118265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8.8675733422860506E-14</v>
      </c>
      <c r="AK90" s="14">
        <f t="shared" si="89"/>
        <v>1.3509285393066301E-12</v>
      </c>
      <c r="AL90" s="22">
        <f t="shared" si="58"/>
        <v>2.5073107750038623E-12</v>
      </c>
      <c r="AM90" s="62">
        <f t="shared" si="59"/>
        <v>293.33333333333582</v>
      </c>
      <c r="AN90" s="62">
        <f ca="1">AVERAGE(OFFSET($AM$3,0,0,'Données projet'!$E$10+1,1))-AVERAGE(OFFSET($H$3,0,0,'Données projet'!$E$10+1,1))</f>
        <v>292.57482726862594</v>
      </c>
      <c r="AO90" s="62">
        <f t="shared" si="90"/>
        <v>283.48738729114024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-3.4106051316484809E-13</v>
      </c>
      <c r="BE90" s="14">
        <f>BD90*VLOOKUP('Données projet'!$B$11,Paramètres!$A$1:$I$89,3,0)*VLOOKUP('Données projet'!$B$11,Paramètres!$A$1:$I$89,5,0)</f>
        <v>-2.5006556825246659E-13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397.24545766894346</v>
      </c>
      <c r="BJ90" s="62">
        <f t="shared" si="92"/>
        <v>431.44557882369696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3.6</v>
      </c>
      <c r="BY90" s="13">
        <f>IF('Données projet'!$A$114&gt;35,BY89+BX90-CG89,IF(A90&lt;'Données projet'!$A$114,$BV$205^A90,IF(A90='Données projet'!$A$114,'Données projet'!$B$114,BY89+BX90-CG89)))</f>
        <v>270.20000000000016</v>
      </c>
      <c r="BZ90" s="14">
        <f>BY90*VLOOKUP('Données projet'!$B$12,Paramètres!$A$1:$I$89,3,0)*VLOOKUP('Données projet'!$B$12,Paramètres!$A$1:$I$89,5,0)</f>
        <v>177.03504000000009</v>
      </c>
      <c r="CA90" s="14">
        <f t="shared" si="93"/>
        <v>44.661900896243402</v>
      </c>
      <c r="CB90" s="22">
        <f t="shared" si="64"/>
        <v>386.12217206095738</v>
      </c>
      <c r="CC90" s="62">
        <f t="shared" si="65"/>
        <v>679.45550539429064</v>
      </c>
      <c r="CD90" s="62">
        <f ca="1">AVERAGE(OFFSET($CC$3,0,0,'Données projet'!$E$12+1,1))-AVERAGE(OFFSET($H$3,0,0,'Données projet'!$E$12+1,1))</f>
        <v>277.27246253233807</v>
      </c>
      <c r="CE90" s="62">
        <f t="shared" si="94"/>
        <v>269.61868559913404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235.19808</v>
      </c>
      <c r="CV90" s="14">
        <f t="shared" si="95"/>
        <v>57.40516187330315</v>
      </c>
      <c r="CW90" s="22">
        <f t="shared" si="67"/>
        <v>509.61731292933632</v>
      </c>
      <c r="CX90" s="62">
        <f t="shared" si="68"/>
        <v>802.95064626266958</v>
      </c>
      <c r="CY90" s="62">
        <f ca="1">AVERAGE(OFFSET($CX$3,0,0,'Données projet'!$E$13+1,1))-AVERAGE(OFFSET($H$3,0,0,'Données projet'!$E$13+1,1))</f>
        <v>402.15128814037058</v>
      </c>
      <c r="CZ90" s="62">
        <f t="shared" si="96"/>
        <v>232.85411068442738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4.6153846153846185</v>
      </c>
      <c r="DO90" s="13">
        <f>IF('Données projet'!$A$166&gt;35,DO89+DN90-DW89,IF(A90&lt;'Données projet'!$A$166,$DL$205^A90,IF(A90='Données projet'!$A$166,'Données projet'!$B$166,DO89+DN90-DW89)))</f>
        <v>299.61538461538436</v>
      </c>
      <c r="DP90" s="18">
        <f>DO90*VLOOKUP('Données projet'!$B$14,Paramètres!$A$1:$I$89,3,0)*VLOOKUP('Données projet'!$B$14,Paramètres!$A$1:$I$89,5,0)</f>
        <v>285.11399999999975</v>
      </c>
      <c r="DQ90" s="14">
        <f t="shared" si="97"/>
        <v>68.046603023260175</v>
      </c>
      <c r="DR90" s="22">
        <f t="shared" si="70"/>
        <v>615.08805026551101</v>
      </c>
      <c r="DS90" s="62">
        <f t="shared" si="71"/>
        <v>908.42138359884439</v>
      </c>
      <c r="DT90" s="62">
        <f ca="1">AVERAGE(OFFSET($DS$3,0,0,'Données projet'!$E$14+1,1))-AVERAGE(OFFSET($H$3,0,0,'Données projet'!$E$14+1,1))</f>
        <v>485.18236169209541</v>
      </c>
      <c r="DU90" s="62">
        <f t="shared" si="98"/>
        <v>417.30339652956951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-3.4106051316484809E-13</v>
      </c>
      <c r="EK90" s="18">
        <f>EJ90*VLOOKUP('Données projet'!$B$15,Paramètres!$A$1:$I$89,3,0)*VLOOKUP('Données projet'!$B$15,Paramètres!$A$1:$I$89,5,0)</f>
        <v>-2.7134774427395314E-13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427.78067187784063</v>
      </c>
      <c r="EP90" s="62">
        <f t="shared" si="100"/>
        <v>464.22892523825118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11.5</v>
      </c>
      <c r="FE90" s="13">
        <f>IF('Données projet'!$A$218&gt;35,FE89+FD90-FM89,IF(A90&lt;'Données projet'!$A$218,$FB$205^A90,IF(A90='Données projet'!$A$218,'Données projet'!$B$218,FE89+FD90-FM89)))</f>
        <v>454.49999999999966</v>
      </c>
      <c r="FF90" s="18">
        <f>FE90*VLOOKUP('Données projet'!$B$16,Paramètres!$A$1:$I$89,3,0)*VLOOKUP('Données projet'!$B$16,Paramètres!$A$1:$I$89,5,0)</f>
        <v>389.96099999999973</v>
      </c>
      <c r="FG90" s="14">
        <f t="shared" si="101"/>
        <v>89.738411052819643</v>
      </c>
      <c r="FH90" s="22">
        <f t="shared" si="76"/>
        <v>835.47647425032699</v>
      </c>
      <c r="FI90" s="62">
        <f t="shared" si="77"/>
        <v>1128.8098075836604</v>
      </c>
      <c r="FJ90" s="62">
        <f ca="1">AVERAGE(OFFSET($FI$3,0,0,'Données projet'!$E$16+1,1))-AVERAGE(OFFSET($H$3,0,0,'Données projet'!$E$16+1,1))</f>
        <v>448.44001099301806</v>
      </c>
      <c r="FK90" s="62">
        <f t="shared" si="102"/>
        <v>230.82970731138215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4.7435897435897463</v>
      </c>
      <c r="FZ90" s="13">
        <f>IF('Données projet'!$A$244&gt;35,FZ89+FY90-GH89,IF(A90&lt;'Données projet'!$A$244,$FW$205^A90,IF(A90='Données projet'!$A$244,'Données projet'!$B$244,FZ89+FY90-GH89)))</f>
        <v>369.74358974358955</v>
      </c>
      <c r="GA90" s="18">
        <f>FZ90*VLOOKUP('Données projet'!$B$17,Paramètres!$A$1:$I$89,3,0)*VLOOKUP('Données projet'!$B$17,Paramètres!$A$1:$I$89,5,0)</f>
        <v>248.02399999999989</v>
      </c>
      <c r="GB90" s="14">
        <f t="shared" si="103"/>
        <v>60.162614971987267</v>
      </c>
      <c r="GC90" s="22">
        <f t="shared" si="79"/>
        <v>536.75835440954427</v>
      </c>
      <c r="GD90" s="62">
        <f t="shared" si="80"/>
        <v>830.09168774287764</v>
      </c>
      <c r="GE90" s="62">
        <f ca="1">AVERAGE(OFFSET($GD$3,0,0,'Données projet'!$E$17+1,1))-AVERAGE(OFFSET($H$3,0,0,'Données projet'!$E$17+1,1))</f>
        <v>408.91016501484626</v>
      </c>
      <c r="GF90" s="62">
        <f t="shared" si="104"/>
        <v>354.22396807666433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6.6</v>
      </c>
      <c r="GU90" s="13">
        <f>IF('Données projet'!$A$270&gt;35,GU89+GT90-HC89,IF(A90&lt;'Données projet'!$A$270,$GR$205^A90,IF(A90='Données projet'!$A$270,'Données projet'!$B$270,GU89+GT90-HC89)))</f>
        <v>366.20000000000016</v>
      </c>
      <c r="GV90" s="18">
        <f>GU90*VLOOKUP('Données projet'!$B$18,Paramètres!$A$1:$I$89,3,0)*VLOOKUP('Données projet'!$B$18,Paramètres!$A$1:$I$89,5,0)</f>
        <v>354.18864000000013</v>
      </c>
      <c r="GW90" s="14">
        <f t="shared" si="105"/>
        <v>82.424397643862704</v>
      </c>
      <c r="GX90" s="22">
        <f t="shared" si="82"/>
        <v>760.4343738963945</v>
      </c>
      <c r="GY90" s="62">
        <f t="shared" si="83"/>
        <v>1053.7677072297279</v>
      </c>
      <c r="GZ90" s="62">
        <f ca="1">AVERAGE(OFFSET($GY$3,0,0,'Données projet'!$E$18+1,1))-AVERAGE(OFFSET($H$3,0,0,'Données projet'!$E$18+1,1))</f>
        <v>562.69380557620775</v>
      </c>
      <c r="HA90" s="62">
        <f t="shared" si="106"/>
        <v>294.45557293177131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6.6</v>
      </c>
      <c r="N91" s="14">
        <f>IF('Données projet'!$A$36&gt;35,N90+M91-V90,IF(A91&lt;'Données projet'!$A$36,$K$205^A91,IF(A91='Données projet'!$A$36,'Données projet'!$B$36,N90+M91-V90)))</f>
        <v>372.80000000000018</v>
      </c>
      <c r="O91" s="14">
        <f>N91*VLOOKUP('Données projet'!$B$9,Paramètres!$A$1:$I$89,3,0)*VLOOKUP('Données projet'!$B$9,Paramètres!$A$1:$I$89,5,0)</f>
        <v>337.30944000000017</v>
      </c>
      <c r="P91" s="14">
        <f t="shared" si="87"/>
        <v>78.943802914307284</v>
      </c>
      <c r="Q91" s="22">
        <f t="shared" si="54"/>
        <v>724.97439807575211</v>
      </c>
      <c r="R91" s="62">
        <f t="shared" si="55"/>
        <v>1018.3077314090854</v>
      </c>
      <c r="S91" s="62">
        <f ca="1">AVERAGE(OFFSET($R$3,0,0,'Données projet'!$E$9+1,1))-AVERAGE(OFFSET($H$3,0,0,'Données projet'!$E$9+1,1))</f>
        <v>529.25712986118265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8.8675733422860506E-14</v>
      </c>
      <c r="AK91" s="14">
        <f t="shared" si="89"/>
        <v>1.3509285393066301E-12</v>
      </c>
      <c r="AL91" s="22">
        <f t="shared" si="58"/>
        <v>2.5073107750038623E-12</v>
      </c>
      <c r="AM91" s="62">
        <f t="shared" si="59"/>
        <v>293.33333333333582</v>
      </c>
      <c r="AN91" s="62">
        <f ca="1">AVERAGE(OFFSET($AM$3,0,0,'Données projet'!$E$10+1,1))-AVERAGE(OFFSET($H$3,0,0,'Données projet'!$E$10+1,1))</f>
        <v>292.57482726862594</v>
      </c>
      <c r="AO91" s="62">
        <f t="shared" si="90"/>
        <v>283.48738729114024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-3.4106051316484809E-13</v>
      </c>
      <c r="BE91" s="14">
        <f>BD91*VLOOKUP('Données projet'!$B$11,Paramètres!$A$1:$I$89,3,0)*VLOOKUP('Données projet'!$B$11,Paramètres!$A$1:$I$89,5,0)</f>
        <v>-2.5006556825246659E-13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397.24545766894346</v>
      </c>
      <c r="BJ91" s="62">
        <f t="shared" si="92"/>
        <v>431.44557882369696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3.6</v>
      </c>
      <c r="BY91" s="13">
        <f>IF('Données projet'!$A$114&gt;35,BY90+BX91-CG90,IF(A91&lt;'Données projet'!$A$114,$BV$205^A91,IF(A91='Données projet'!$A$114,'Données projet'!$B$114,BY90+BX91-CG90)))</f>
        <v>273.80000000000018</v>
      </c>
      <c r="BZ91" s="14">
        <f>BY91*VLOOKUP('Données projet'!$B$12,Paramètres!$A$1:$I$89,3,0)*VLOOKUP('Données projet'!$B$12,Paramètres!$A$1:$I$89,5,0)</f>
        <v>179.3937600000001</v>
      </c>
      <c r="CA91" s="14">
        <f t="shared" si="93"/>
        <v>45.187282464366746</v>
      </c>
      <c r="CB91" s="22">
        <f t="shared" si="64"/>
        <v>391.14531562543885</v>
      </c>
      <c r="CC91" s="62">
        <f t="shared" si="65"/>
        <v>684.47864895877217</v>
      </c>
      <c r="CD91" s="62">
        <f ca="1">AVERAGE(OFFSET($CC$3,0,0,'Données projet'!$E$12+1,1))-AVERAGE(OFFSET($H$3,0,0,'Données projet'!$E$12+1,1))</f>
        <v>277.27246253233807</v>
      </c>
      <c r="CE91" s="62">
        <f t="shared" si="94"/>
        <v>269.61868559913404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239.91552000000004</v>
      </c>
      <c r="CV91" s="14">
        <f t="shared" si="95"/>
        <v>58.421353826263946</v>
      </c>
      <c r="CW91" s="22">
        <f t="shared" si="67"/>
        <v>519.60338858074306</v>
      </c>
      <c r="CX91" s="62">
        <f t="shared" si="68"/>
        <v>812.93672191407632</v>
      </c>
      <c r="CY91" s="62">
        <f ca="1">AVERAGE(OFFSET($CX$3,0,0,'Données projet'!$E$13+1,1))-AVERAGE(OFFSET($H$3,0,0,'Données projet'!$E$13+1,1))</f>
        <v>402.15128814037058</v>
      </c>
      <c r="CZ91" s="62">
        <f t="shared" si="96"/>
        <v>232.85411068442738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4.6153846153846185</v>
      </c>
      <c r="DO91" s="13">
        <f>IF('Données projet'!$A$166&gt;35,DO90+DN91-DW90,IF(A91&lt;'Données projet'!$A$166,$DL$205^A91,IF(A91='Données projet'!$A$166,'Données projet'!$B$166,DO90+DN91-DW90)))</f>
        <v>304.230769230769</v>
      </c>
      <c r="DP91" s="18">
        <f>DO91*VLOOKUP('Données projet'!$B$14,Paramètres!$A$1:$I$89,3,0)*VLOOKUP('Données projet'!$B$14,Paramètres!$A$1:$I$89,5,0)</f>
        <v>289.50599999999974</v>
      </c>
      <c r="DQ91" s="14">
        <f t="shared" si="97"/>
        <v>68.971979864761749</v>
      </c>
      <c r="DR91" s="22">
        <f t="shared" si="70"/>
        <v>624.34914826445959</v>
      </c>
      <c r="DS91" s="62">
        <f t="shared" si="71"/>
        <v>917.68248159779296</v>
      </c>
      <c r="DT91" s="62">
        <f ca="1">AVERAGE(OFFSET($DS$3,0,0,'Données projet'!$E$14+1,1))-AVERAGE(OFFSET($H$3,0,0,'Données projet'!$E$14+1,1))</f>
        <v>485.18236169209541</v>
      </c>
      <c r="DU91" s="62">
        <f t="shared" si="98"/>
        <v>417.30339652956951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-3.4106051316484809E-13</v>
      </c>
      <c r="EK91" s="18">
        <f>EJ91*VLOOKUP('Données projet'!$B$15,Paramètres!$A$1:$I$89,3,0)*VLOOKUP('Données projet'!$B$15,Paramètres!$A$1:$I$89,5,0)</f>
        <v>-2.7134774427395314E-13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427.78067187784063</v>
      </c>
      <c r="EP91" s="62">
        <f t="shared" si="100"/>
        <v>464.22892523825118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11.5</v>
      </c>
      <c r="FE91" s="13">
        <f>IF('Données projet'!$A$218&gt;35,FE90+FD91-FM90,IF(A91&lt;'Données projet'!$A$218,$FB$205^A91,IF(A91='Données projet'!$A$218,'Données projet'!$B$218,FE90+FD91-FM90)))</f>
        <v>465.99999999999966</v>
      </c>
      <c r="FF91" s="18">
        <f>FE91*VLOOKUP('Données projet'!$B$16,Paramètres!$A$1:$I$89,3,0)*VLOOKUP('Données projet'!$B$16,Paramètres!$A$1:$I$89,5,0)</f>
        <v>399.82799999999975</v>
      </c>
      <c r="FG91" s="14">
        <f t="shared" si="101"/>
        <v>91.741793988042701</v>
      </c>
      <c r="FH91" s="22">
        <f t="shared" si="76"/>
        <v>856.15072452917377</v>
      </c>
      <c r="FI91" s="62">
        <f t="shared" si="77"/>
        <v>1149.4840578625071</v>
      </c>
      <c r="FJ91" s="62">
        <f ca="1">AVERAGE(OFFSET($FI$3,0,0,'Données projet'!$E$16+1,1))-AVERAGE(OFFSET($H$3,0,0,'Données projet'!$E$16+1,1))</f>
        <v>448.44001099301806</v>
      </c>
      <c r="FK91" s="62">
        <f t="shared" si="102"/>
        <v>230.82970731138215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4.7435897435897463</v>
      </c>
      <c r="FZ91" s="13">
        <f>IF('Données projet'!$A$244&gt;35,FZ90+FY91-GH90,IF(A91&lt;'Données projet'!$A$244,$FW$205^A91,IF(A91='Données projet'!$A$244,'Données projet'!$B$244,FZ90+FY91-GH90)))</f>
        <v>374.48717948717928</v>
      </c>
      <c r="GA91" s="18">
        <f>FZ91*VLOOKUP('Données projet'!$B$17,Paramètres!$A$1:$I$89,3,0)*VLOOKUP('Données projet'!$B$17,Paramètres!$A$1:$I$89,5,0)</f>
        <v>251.20599999999988</v>
      </c>
      <c r="GB91" s="14">
        <f t="shared" si="103"/>
        <v>60.84411522655509</v>
      </c>
      <c r="GC91" s="22">
        <f t="shared" si="79"/>
        <v>543.48728401958329</v>
      </c>
      <c r="GD91" s="62">
        <f t="shared" si="80"/>
        <v>836.82061735291654</v>
      </c>
      <c r="GE91" s="62">
        <f ca="1">AVERAGE(OFFSET($GD$3,0,0,'Données projet'!$E$17+1,1))-AVERAGE(OFFSET($H$3,0,0,'Données projet'!$E$17+1,1))</f>
        <v>408.91016501484626</v>
      </c>
      <c r="GF91" s="62">
        <f t="shared" si="104"/>
        <v>354.22396807666433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6.6</v>
      </c>
      <c r="GU91" s="13">
        <f>IF('Données projet'!$A$270&gt;35,GU90+GT91-HC90,IF(A91&lt;'Données projet'!$A$270,$GR$205^A91,IF(A91='Données projet'!$A$270,'Données projet'!$B$270,GU90+GT91-HC90)))</f>
        <v>372.80000000000018</v>
      </c>
      <c r="GV91" s="18">
        <f>GU91*VLOOKUP('Données projet'!$B$18,Paramètres!$A$1:$I$89,3,0)*VLOOKUP('Données projet'!$B$18,Paramètres!$A$1:$I$89,5,0)</f>
        <v>360.57216000000017</v>
      </c>
      <c r="GW91" s="14">
        <f t="shared" si="105"/>
        <v>83.735644103746736</v>
      </c>
      <c r="GX91" s="22">
        <f t="shared" si="82"/>
        <v>773.83609214735907</v>
      </c>
      <c r="GY91" s="62">
        <f t="shared" si="83"/>
        <v>1067.1694254806923</v>
      </c>
      <c r="GZ91" s="62">
        <f ca="1">AVERAGE(OFFSET($GY$3,0,0,'Données projet'!$E$18+1,1))-AVERAGE(OFFSET($H$3,0,0,'Données projet'!$E$18+1,1))</f>
        <v>562.69380557620775</v>
      </c>
      <c r="HA91" s="62">
        <f t="shared" si="106"/>
        <v>294.45557293177131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6.6</v>
      </c>
      <c r="N92" s="14">
        <f>IF('Données projet'!$A$36&gt;35,N91+M92-V91,IF(A92&lt;'Données projet'!$A$36,$K$205^A92,IF(A92='Données projet'!$A$36,'Données projet'!$B$36,N91+M92-V91)))</f>
        <v>379.4000000000002</v>
      </c>
      <c r="O92" s="14">
        <f>N92*VLOOKUP('Données projet'!$B$9,Paramètres!$A$1:$I$89,3,0)*VLOOKUP('Données projet'!$B$9,Paramètres!$A$1:$I$89,5,0)</f>
        <v>343.28112000000016</v>
      </c>
      <c r="P92" s="14">
        <f t="shared" si="87"/>
        <v>80.17746720510398</v>
      </c>
      <c r="Q92" s="22">
        <f t="shared" si="54"/>
        <v>737.52370604888972</v>
      </c>
      <c r="R92" s="62">
        <f t="shared" si="55"/>
        <v>1030.8570393822231</v>
      </c>
      <c r="S92" s="62">
        <f ca="1">AVERAGE(OFFSET($R$3,0,0,'Données projet'!$E$9+1,1))-AVERAGE(OFFSET($H$3,0,0,'Données projet'!$E$9+1,1))</f>
        <v>529.25712986118265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8.8675733422860506E-14</v>
      </c>
      <c r="AK92" s="14">
        <f t="shared" si="89"/>
        <v>1.3509285393066301E-12</v>
      </c>
      <c r="AL92" s="22">
        <f t="shared" si="58"/>
        <v>2.5073107750038623E-12</v>
      </c>
      <c r="AM92" s="62">
        <f t="shared" si="59"/>
        <v>293.33333333333582</v>
      </c>
      <c r="AN92" s="62">
        <f ca="1">AVERAGE(OFFSET($AM$3,0,0,'Données projet'!$E$10+1,1))-AVERAGE(OFFSET($H$3,0,0,'Données projet'!$E$10+1,1))</f>
        <v>292.57482726862594</v>
      </c>
      <c r="AO92" s="62">
        <f t="shared" si="90"/>
        <v>283.48738729114024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-3.4106051316484809E-13</v>
      </c>
      <c r="BE92" s="14">
        <f>BD92*VLOOKUP('Données projet'!$B$11,Paramètres!$A$1:$I$89,3,0)*VLOOKUP('Données projet'!$B$11,Paramètres!$A$1:$I$89,5,0)</f>
        <v>-2.5006556825246659E-13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397.24545766894346</v>
      </c>
      <c r="BJ92" s="62">
        <f t="shared" si="92"/>
        <v>431.44557882369696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3.6</v>
      </c>
      <c r="BY92" s="13">
        <f>IF('Données projet'!$A$114&gt;35,BY91+BX92-CG91,IF(A92&lt;'Données projet'!$A$114,$BV$205^A92,IF(A92='Données projet'!$A$114,'Données projet'!$B$114,BY91+BX92-CG91)))</f>
        <v>277.4000000000002</v>
      </c>
      <c r="BZ92" s="14">
        <f>BY92*VLOOKUP('Données projet'!$B$12,Paramètres!$A$1:$I$89,3,0)*VLOOKUP('Données projet'!$B$12,Paramètres!$A$1:$I$89,5,0)</f>
        <v>181.75248000000013</v>
      </c>
      <c r="CA92" s="14">
        <f t="shared" si="93"/>
        <v>45.711860547424223</v>
      </c>
      <c r="CB92" s="22">
        <f t="shared" si="64"/>
        <v>396.16705978676401</v>
      </c>
      <c r="CC92" s="62">
        <f t="shared" si="65"/>
        <v>689.50039312009733</v>
      </c>
      <c r="CD92" s="62">
        <f ca="1">AVERAGE(OFFSET($CC$3,0,0,'Données projet'!$E$12+1,1))-AVERAGE(OFFSET($H$3,0,0,'Données projet'!$E$12+1,1))</f>
        <v>277.27246253233807</v>
      </c>
      <c r="CE92" s="62">
        <f t="shared" si="94"/>
        <v>269.61868559913404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244.63296000000005</v>
      </c>
      <c r="CV92" s="14">
        <f t="shared" si="95"/>
        <v>59.435222456963288</v>
      </c>
      <c r="CW92" s="22">
        <f t="shared" si="67"/>
        <v>529.58541777921107</v>
      </c>
      <c r="CX92" s="62">
        <f t="shared" si="68"/>
        <v>822.91875111254444</v>
      </c>
      <c r="CY92" s="62">
        <f ca="1">AVERAGE(OFFSET($CX$3,0,0,'Données projet'!$E$13+1,1))-AVERAGE(OFFSET($H$3,0,0,'Données projet'!$E$13+1,1))</f>
        <v>402.15128814037058</v>
      </c>
      <c r="CZ92" s="62">
        <f t="shared" si="96"/>
        <v>232.85411068442738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4.6153846153846185</v>
      </c>
      <c r="DO92" s="13">
        <f>IF('Données projet'!$A$166&gt;35,DO91+DN92-DW91,IF(A92&lt;'Données projet'!$A$166,$DL$205^A92,IF(A92='Données projet'!$A$166,'Données projet'!$B$166,DO91+DN92-DW91)))</f>
        <v>308.84615384615364</v>
      </c>
      <c r="DP92" s="18">
        <f>DO92*VLOOKUP('Données projet'!$B$14,Paramètres!$A$1:$I$89,3,0)*VLOOKUP('Données projet'!$B$14,Paramètres!$A$1:$I$89,5,0)</f>
        <v>293.8979999999998</v>
      </c>
      <c r="DQ92" s="14">
        <f t="shared" si="97"/>
        <v>69.895723990494858</v>
      </c>
      <c r="DR92" s="22">
        <f t="shared" si="70"/>
        <v>633.60740261677813</v>
      </c>
      <c r="DS92" s="62">
        <f t="shared" si="71"/>
        <v>926.9407359501115</v>
      </c>
      <c r="DT92" s="62">
        <f ca="1">AVERAGE(OFFSET($DS$3,0,0,'Données projet'!$E$14+1,1))-AVERAGE(OFFSET($H$3,0,0,'Données projet'!$E$14+1,1))</f>
        <v>485.18236169209541</v>
      </c>
      <c r="DU92" s="62">
        <f t="shared" si="98"/>
        <v>417.30339652956951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-3.4106051316484809E-13</v>
      </c>
      <c r="EK92" s="18">
        <f>EJ92*VLOOKUP('Données projet'!$B$15,Paramètres!$A$1:$I$89,3,0)*VLOOKUP('Données projet'!$B$15,Paramètres!$A$1:$I$89,5,0)</f>
        <v>-2.7134774427395314E-13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427.78067187784063</v>
      </c>
      <c r="EP92" s="62">
        <f t="shared" si="100"/>
        <v>464.22892523825118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11.5</v>
      </c>
      <c r="FE92" s="13">
        <f>IF('Données projet'!$A$218&gt;35,FE91+FD92-FM91,IF(A92&lt;'Données projet'!$A$218,$FB$205^A92,IF(A92='Données projet'!$A$218,'Données projet'!$B$218,FE91+FD92-FM91)))</f>
        <v>477.49999999999966</v>
      </c>
      <c r="FF92" s="18">
        <f>FE92*VLOOKUP('Données projet'!$B$16,Paramètres!$A$1:$I$89,3,0)*VLOOKUP('Données projet'!$B$16,Paramètres!$A$1:$I$89,5,0)</f>
        <v>409.69499999999977</v>
      </c>
      <c r="FG92" s="14">
        <f t="shared" si="101"/>
        <v>93.739429782288525</v>
      </c>
      <c r="FH92" s="22">
        <f t="shared" si="76"/>
        <v>876.81496520415214</v>
      </c>
      <c r="FI92" s="62">
        <f t="shared" si="77"/>
        <v>1170.1482985374855</v>
      </c>
      <c r="FJ92" s="62">
        <f ca="1">AVERAGE(OFFSET($FI$3,0,0,'Données projet'!$E$16+1,1))-AVERAGE(OFFSET($H$3,0,0,'Données projet'!$E$16+1,1))</f>
        <v>448.44001099301806</v>
      </c>
      <c r="FK92" s="62">
        <f t="shared" si="102"/>
        <v>230.82970731138215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4.7435897435897463</v>
      </c>
      <c r="FZ92" s="13">
        <f>IF('Données projet'!$A$244&gt;35,FZ91+FY92-GH91,IF(A92&lt;'Données projet'!$A$244,$FW$205^A92,IF(A92='Données projet'!$A$244,'Données projet'!$B$244,FZ91+FY92-GH91)))</f>
        <v>379.230769230769</v>
      </c>
      <c r="GA92" s="18">
        <f>FZ92*VLOOKUP('Données projet'!$B$17,Paramètres!$A$1:$I$89,3,0)*VLOOKUP('Données projet'!$B$17,Paramètres!$A$1:$I$89,5,0)</f>
        <v>254.38799999999986</v>
      </c>
      <c r="GB92" s="14">
        <f t="shared" si="103"/>
        <v>61.524611371052274</v>
      </c>
      <c r="GC92" s="22">
        <f t="shared" si="79"/>
        <v>550.21446480458246</v>
      </c>
      <c r="GD92" s="62">
        <f t="shared" si="80"/>
        <v>843.54779813791583</v>
      </c>
      <c r="GE92" s="62">
        <f ca="1">AVERAGE(OFFSET($GD$3,0,0,'Données projet'!$E$17+1,1))-AVERAGE(OFFSET($H$3,0,0,'Données projet'!$E$17+1,1))</f>
        <v>408.91016501484626</v>
      </c>
      <c r="GF92" s="62">
        <f t="shared" si="104"/>
        <v>354.22396807666433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6.6</v>
      </c>
      <c r="GU92" s="13">
        <f>IF('Données projet'!$A$270&gt;35,GU91+GT92-HC91,IF(A92&lt;'Données projet'!$A$270,$GR$205^A92,IF(A92='Données projet'!$A$270,'Données projet'!$B$270,GU91+GT92-HC91)))</f>
        <v>379.4000000000002</v>
      </c>
      <c r="GV92" s="18">
        <f>GU92*VLOOKUP('Données projet'!$B$18,Paramètres!$A$1:$I$89,3,0)*VLOOKUP('Données projet'!$B$18,Paramètres!$A$1:$I$89,5,0)</f>
        <v>366.9556800000002</v>
      </c>
      <c r="GW92" s="14">
        <f t="shared" si="105"/>
        <v>85.044191072402157</v>
      </c>
      <c r="GX92" s="22">
        <f t="shared" si="82"/>
        <v>787.23310878443408</v>
      </c>
      <c r="GY92" s="62">
        <f t="shared" si="83"/>
        <v>1080.5664421177673</v>
      </c>
      <c r="GZ92" s="62">
        <f ca="1">AVERAGE(OFFSET($GY$3,0,0,'Données projet'!$E$18+1,1))-AVERAGE(OFFSET($H$3,0,0,'Données projet'!$E$18+1,1))</f>
        <v>562.69380557620775</v>
      </c>
      <c r="HA92" s="62">
        <f t="shared" si="106"/>
        <v>294.45557293177131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386</v>
      </c>
      <c r="L93" s="13">
        <f>VLOOKUP(A93,'Données projet'!$A$35:$I$55,9,0)</f>
        <v>6.6</v>
      </c>
      <c r="M93" s="13">
        <f t="array" ref="M93">INDEX(L:L,MIN(IF(ISNUMBER(L93:L289),ROW(L93:L289),"")))</f>
        <v>6.6</v>
      </c>
      <c r="N93" s="14">
        <f>IF('Données projet'!$A$36&gt;35,N92+M93-V92,IF(A93&lt;'Données projet'!$A$36,$K$205^A93,IF(A93='Données projet'!$A$36,'Données projet'!$B$36,N92+M93-V92)))</f>
        <v>386.00000000000023</v>
      </c>
      <c r="O93" s="14">
        <f>N93*VLOOKUP('Données projet'!$B$9,Paramètres!$A$1:$I$89,3,0)*VLOOKUP('Données projet'!$B$9,Paramètres!$A$1:$I$89,5,0)</f>
        <v>349.25280000000021</v>
      </c>
      <c r="P93" s="14">
        <f t="shared" si="87"/>
        <v>81.408635866358992</v>
      </c>
      <c r="Q93" s="22">
        <f t="shared" si="54"/>
        <v>750.06866746724211</v>
      </c>
      <c r="R93" s="62">
        <f t="shared" si="55"/>
        <v>1043.4020008005755</v>
      </c>
      <c r="S93" s="62">
        <f ca="1">AVERAGE(OFFSET($R$3,0,0,'Données projet'!$E$9+1,1))-AVERAGE(OFFSET($H$3,0,0,'Données projet'!$E$9+1,1))</f>
        <v>529.25712986118265</v>
      </c>
      <c r="T93" s="62">
        <f t="shared" si="88"/>
        <v>278.21741231699929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84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8.8675733422860506E-14</v>
      </c>
      <c r="AK93" s="14">
        <f t="shared" si="89"/>
        <v>1.3509285393066301E-12</v>
      </c>
      <c r="AL93" s="22">
        <f t="shared" si="58"/>
        <v>2.5073107750038623E-12</v>
      </c>
      <c r="AM93" s="62">
        <f t="shared" si="59"/>
        <v>293.33333333333582</v>
      </c>
      <c r="AN93" s="62">
        <f ca="1">AVERAGE(OFFSET($AM$3,0,0,'Données projet'!$E$10+1,1))-AVERAGE(OFFSET($H$3,0,0,'Données projet'!$E$10+1,1))</f>
        <v>292.57482726862594</v>
      </c>
      <c r="AO93" s="62">
        <f t="shared" si="90"/>
        <v>283.48738729114024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-3.4106051316484809E-13</v>
      </c>
      <c r="BE93" s="14">
        <f>BD93*VLOOKUP('Données projet'!$B$11,Paramètres!$A$1:$I$89,3,0)*VLOOKUP('Données projet'!$B$11,Paramètres!$A$1:$I$89,5,0)</f>
        <v>-2.5006556825246659E-13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397.24545766894346</v>
      </c>
      <c r="BJ93" s="62">
        <f t="shared" si="92"/>
        <v>431.44557882369696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281</v>
      </c>
      <c r="BW93" s="13">
        <f>VLOOKUP(A93,'Données projet'!$A$113:$I$133,9,0)</f>
        <v>3.6</v>
      </c>
      <c r="BX93" s="13">
        <f t="array" ref="BX93">INDEX(BW:BW,MIN(IF(ISNUMBER(BW93:BW289),ROW(BW93:BW289),"")))</f>
        <v>3.6</v>
      </c>
      <c r="BY93" s="13">
        <f>IF('Données projet'!$A$114&gt;35,BY92+BX93-CG92,IF(A93&lt;'Données projet'!$A$114,$BV$205^A93,IF(A93='Données projet'!$A$114,'Données projet'!$B$114,BY92+BX93-CG92)))</f>
        <v>281.00000000000023</v>
      </c>
      <c r="BZ93" s="14">
        <f>BY93*VLOOKUP('Données projet'!$B$12,Paramètres!$A$1:$I$89,3,0)*VLOOKUP('Données projet'!$B$12,Paramètres!$A$1:$I$89,5,0)</f>
        <v>184.11120000000017</v>
      </c>
      <c r="CA93" s="14">
        <f t="shared" si="93"/>
        <v>46.23564677837556</v>
      </c>
      <c r="CB93" s="22">
        <f t="shared" si="64"/>
        <v>401.18742480567101</v>
      </c>
      <c r="CC93" s="62">
        <f t="shared" si="65"/>
        <v>694.52075813900433</v>
      </c>
      <c r="CD93" s="62">
        <f ca="1">AVERAGE(OFFSET($CC$3,0,0,'Données projet'!$E$12+1,1))-AVERAGE(OFFSET($H$3,0,0,'Données projet'!$E$12+1,1))</f>
        <v>277.27246253233807</v>
      </c>
      <c r="CE93" s="62">
        <f t="shared" si="94"/>
        <v>269.61868559913404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281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249.35040000000006</v>
      </c>
      <c r="CV93" s="14">
        <f t="shared" si="95"/>
        <v>60.446817732908166</v>
      </c>
      <c r="CW93" s="22">
        <f t="shared" si="67"/>
        <v>539.56348755148178</v>
      </c>
      <c r="CX93" s="62">
        <f t="shared" si="68"/>
        <v>832.89682088481504</v>
      </c>
      <c r="CY93" s="62">
        <f ca="1">AVERAGE(OFFSET($CX$3,0,0,'Données projet'!$E$13+1,1))-AVERAGE(OFFSET($H$3,0,0,'Données projet'!$E$13+1,1))</f>
        <v>402.15128814037058</v>
      </c>
      <c r="CZ93" s="62">
        <f t="shared" si="96"/>
        <v>232.85411068442738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313.46153846153845</v>
      </c>
      <c r="DM93" s="13">
        <f>VLOOKUP(A93,'Données projet'!$A$165:$I$185,9,0)</f>
        <v>4.6153846153846185</v>
      </c>
      <c r="DN93" s="13">
        <f t="array" ref="DN93">INDEX(DM:DM,MIN(IF(ISNUMBER(DM93:DM289),ROW(DM93:DM289),"")))</f>
        <v>4.6153846153846185</v>
      </c>
      <c r="DO93" s="13">
        <f>IF('Données projet'!$A$166&gt;35,DO92+DN93-DW92,IF(A93&lt;'Données projet'!$A$166,$DL$205^A93,IF(A93='Données projet'!$A$166,'Données projet'!$B$166,DO92+DN93-DW92)))</f>
        <v>313.46153846153828</v>
      </c>
      <c r="DP93" s="18">
        <f>DO93*VLOOKUP('Données projet'!$B$14,Paramètres!$A$1:$I$89,3,0)*VLOOKUP('Données projet'!$B$14,Paramètres!$A$1:$I$89,5,0)</f>
        <v>298.28999999999979</v>
      </c>
      <c r="DQ93" s="14">
        <f t="shared" si="97"/>
        <v>70.817862618132978</v>
      </c>
      <c r="DR93" s="22">
        <f t="shared" si="70"/>
        <v>642.86286072658129</v>
      </c>
      <c r="DS93" s="62">
        <f t="shared" si="71"/>
        <v>936.19619405991466</v>
      </c>
      <c r="DT93" s="62">
        <f ca="1">AVERAGE(OFFSET($DS$3,0,0,'Données projet'!$E$14+1,1))-AVERAGE(OFFSET($H$3,0,0,'Données projet'!$E$14+1,1))</f>
        <v>485.18236169209541</v>
      </c>
      <c r="DU93" s="62">
        <f t="shared" si="98"/>
        <v>417.30339652956951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33.974358974358971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-3.4106051316484809E-13</v>
      </c>
      <c r="EK93" s="18">
        <f>EJ93*VLOOKUP('Données projet'!$B$15,Paramètres!$A$1:$I$89,3,0)*VLOOKUP('Données projet'!$B$15,Paramètres!$A$1:$I$89,5,0)</f>
        <v>-2.7134774427395314E-13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427.78067187784063</v>
      </c>
      <c r="EP93" s="62">
        <f t="shared" si="100"/>
        <v>464.22892523825118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489</v>
      </c>
      <c r="FC93" s="13">
        <f>VLOOKUP(A93,'Données projet'!$A$217:$I$237,9,0)</f>
        <v>11.5</v>
      </c>
      <c r="FD93" s="13">
        <f t="array" ref="FD93">INDEX(FC:FC,MIN(IF(ISNUMBER(FC93:FC289),ROW(FC93:FC289),"")))</f>
        <v>11.5</v>
      </c>
      <c r="FE93" s="13">
        <f>IF('Données projet'!$A$218&gt;35,FE92+FD93-FM92,IF(A93&lt;'Données projet'!$A$218,$FB$205^A93,IF(A93='Données projet'!$A$218,'Données projet'!$B$218,FE92+FD93-FM92)))</f>
        <v>488.99999999999966</v>
      </c>
      <c r="FF93" s="18">
        <f>FE93*VLOOKUP('Données projet'!$B$16,Paramètres!$A$1:$I$89,3,0)*VLOOKUP('Données projet'!$B$16,Paramètres!$A$1:$I$89,5,0)</f>
        <v>419.56199999999973</v>
      </c>
      <c r="FG93" s="14">
        <f t="shared" si="101"/>
        <v>95.731472773408413</v>
      </c>
      <c r="FH93" s="22">
        <f t="shared" si="76"/>
        <v>897.46946508035228</v>
      </c>
      <c r="FI93" s="62">
        <f t="shared" si="77"/>
        <v>1190.8027984136857</v>
      </c>
      <c r="FJ93" s="62">
        <f ca="1">AVERAGE(OFFSET($FI$3,0,0,'Données projet'!$E$16+1,1))-AVERAGE(OFFSET($H$3,0,0,'Données projet'!$E$16+1,1))</f>
        <v>448.44001099301806</v>
      </c>
      <c r="FK93" s="62">
        <f t="shared" si="102"/>
        <v>230.82970731138215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383.97435897435895</v>
      </c>
      <c r="FX93" s="13">
        <f>VLOOKUP(A93,'Données projet'!$A$243:$I$263,9,0)</f>
        <v>4.7435897435897463</v>
      </c>
      <c r="FY93" s="13">
        <f t="array" ref="FY93">INDEX(FX:FX,MIN(IF(ISNUMBER(FX93:FX289),ROW(FX93:FX289),"")))</f>
        <v>4.7435897435897463</v>
      </c>
      <c r="FZ93" s="13">
        <f>IF('Données projet'!$A$244&gt;35,FZ92+FY93-GH92,IF(A93&lt;'Données projet'!$A$244,$FW$205^A93,IF(A93='Données projet'!$A$244,'Données projet'!$B$244,FZ92+FY93-GH92)))</f>
        <v>383.97435897435872</v>
      </c>
      <c r="GA93" s="18">
        <f>FZ93*VLOOKUP('Données projet'!$B$17,Paramètres!$A$1:$I$89,3,0)*VLOOKUP('Données projet'!$B$17,Paramètres!$A$1:$I$89,5,0)</f>
        <v>257.56999999999982</v>
      </c>
      <c r="GB93" s="14">
        <f t="shared" si="103"/>
        <v>62.204117417841346</v>
      </c>
      <c r="GC93" s="22">
        <f t="shared" si="79"/>
        <v>556.9399211694066</v>
      </c>
      <c r="GD93" s="62">
        <f t="shared" si="80"/>
        <v>850.27325450273997</v>
      </c>
      <c r="GE93" s="62">
        <f ca="1">AVERAGE(OFFSET($GD$3,0,0,'Données projet'!$E$17+1,1))-AVERAGE(OFFSET($H$3,0,0,'Données projet'!$E$17+1,1))</f>
        <v>408.91016501484626</v>
      </c>
      <c r="GF93" s="62">
        <f t="shared" si="104"/>
        <v>354.22396807666433</v>
      </c>
      <c r="GG93" s="16">
        <f>IF(ISNA(VLOOKUP(A93,'Données projet'!$A$243:$I$263,3,0)),0,VLOOKUP(A93,'Données projet'!$A$243:$I$263,3,0))</f>
        <v>8</v>
      </c>
      <c r="GH93" s="16">
        <f>IF(ISNA(VLOOKUP(A93,'Données projet'!$A$243:$I$263,4,0)),0,VLOOKUP(A93,'Données projet'!$A$243:$I$263,4,0))</f>
        <v>30.128205128205128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386</v>
      </c>
      <c r="GS93" s="13">
        <f>VLOOKUP(A93,'Données projet'!$A$269:$I$289,9,0)</f>
        <v>6.6</v>
      </c>
      <c r="GT93" s="13">
        <f t="array" ref="GT93">INDEX(GS:GS,MIN(IF(ISNUMBER(GS93:GS289),ROW(GS93:GS289),"")))</f>
        <v>6.6</v>
      </c>
      <c r="GU93" s="13">
        <f>IF('Données projet'!$A$270&gt;35,GU92+GT93-HC92,IF(A93&lt;'Données projet'!$A$270,$GR$205^A93,IF(A93='Données projet'!$A$270,'Données projet'!$B$270,GU92+GT93-HC92)))</f>
        <v>386.00000000000023</v>
      </c>
      <c r="GV93" s="18">
        <f>GU93*VLOOKUP('Données projet'!$B$18,Paramètres!$A$1:$I$89,3,0)*VLOOKUP('Données projet'!$B$18,Paramètres!$A$1:$I$89,5,0)</f>
        <v>373.33920000000023</v>
      </c>
      <c r="GW93" s="14">
        <f t="shared" si="105"/>
        <v>86.350090928308958</v>
      </c>
      <c r="GX93" s="22">
        <f t="shared" si="82"/>
        <v>800.62551503347186</v>
      </c>
      <c r="GY93" s="62">
        <f t="shared" si="83"/>
        <v>1093.9588483668051</v>
      </c>
      <c r="GZ93" s="62">
        <f ca="1">AVERAGE(OFFSET($GY$3,0,0,'Données projet'!$E$18+1,1))-AVERAGE(OFFSET($H$3,0,0,'Données projet'!$E$18+1,1))</f>
        <v>562.69380557620775</v>
      </c>
      <c r="HA93" s="62">
        <f t="shared" si="106"/>
        <v>294.45557293177131</v>
      </c>
      <c r="HB93" s="16">
        <f>IF(ISNA(VLOOKUP(A93,'Données projet'!$A$269:$I$289,3,0)),0,VLOOKUP(A93,'Données projet'!$A$269:$I$289,3,0))</f>
        <v>7</v>
      </c>
      <c r="HC93" s="16">
        <f>IF(ISNA(VLOOKUP(A93,'Données projet'!$A$269:$I$289,4,0)),0,VLOOKUP(A93,'Données projet'!$A$269:$I$289,4,0))</f>
        <v>84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307.9000000000002</v>
      </c>
      <c r="O94" s="14">
        <f>N94*VLOOKUP('Données projet'!$B$9,Paramètres!$A$1:$I$89,3,0)*VLOOKUP('Données projet'!$B$9,Paramètres!$A$1:$I$89,5,0)</f>
        <v>278.58792000000017</v>
      </c>
      <c r="P94" s="14">
        <f t="shared" si="87"/>
        <v>66.668508032294284</v>
      </c>
      <c r="Q94" s="22">
        <f t="shared" si="54"/>
        <v>601.32161215624615</v>
      </c>
      <c r="R94" s="62">
        <f t="shared" si="55"/>
        <v>894.6549454895794</v>
      </c>
      <c r="S94" s="62">
        <f ca="1">AVERAGE(OFFSET($R$3,0,0,'Données projet'!$E$9+1,1))-AVERAGE(OFFSET($H$3,0,0,'Données projet'!$E$9+1,1))</f>
        <v>529.25712986118265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8.8675733422860506E-14</v>
      </c>
      <c r="AK94" s="14">
        <f t="shared" si="89"/>
        <v>1.3509285393066301E-12</v>
      </c>
      <c r="AL94" s="22">
        <f t="shared" si="58"/>
        <v>2.5073107750038623E-12</v>
      </c>
      <c r="AM94" s="62">
        <f t="shared" si="59"/>
        <v>293.33333333333582</v>
      </c>
      <c r="AN94" s="62">
        <f ca="1">AVERAGE(OFFSET($AM$3,0,0,'Données projet'!$E$10+1,1))-AVERAGE(OFFSET($H$3,0,0,'Données projet'!$E$10+1,1))</f>
        <v>292.57482726862594</v>
      </c>
      <c r="AO94" s="62">
        <f t="shared" si="90"/>
        <v>283.48738729114024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-3.4106051316484809E-13</v>
      </c>
      <c r="BE94" s="14">
        <f>BD94*VLOOKUP('Données projet'!$B$11,Paramètres!$A$1:$I$89,3,0)*VLOOKUP('Données projet'!$B$11,Paramètres!$A$1:$I$89,5,0)</f>
        <v>-2.5006556825246659E-13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397.24545766894346</v>
      </c>
      <c r="BJ94" s="62">
        <f t="shared" si="92"/>
        <v>431.44557882369696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2.2737367544323206E-13</v>
      </c>
      <c r="BZ94" s="14">
        <f>BY94*VLOOKUP('Données projet'!$B$12,Paramètres!$A$1:$I$89,3,0)*VLOOKUP('Données projet'!$B$12,Paramètres!$A$1:$I$89,5,0)</f>
        <v>1.4897523215040565E-13</v>
      </c>
      <c r="CA94" s="14">
        <f t="shared" si="93"/>
        <v>2.136562777003313E-12</v>
      </c>
      <c r="CB94" s="22">
        <f t="shared" si="64"/>
        <v>3.9806453659427267E-12</v>
      </c>
      <c r="CC94" s="62">
        <f t="shared" si="65"/>
        <v>293.33333333333729</v>
      </c>
      <c r="CD94" s="62">
        <f ca="1">AVERAGE(OFFSET($CC$3,0,0,'Données projet'!$E$12+1,1))-AVERAGE(OFFSET($H$3,0,0,'Données projet'!$E$12+1,1))</f>
        <v>277.27246253233807</v>
      </c>
      <c r="CE94" s="62">
        <f t="shared" si="94"/>
        <v>269.61868559913404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218.09736000000007</v>
      </c>
      <c r="CV94" s="14">
        <f t="shared" si="95"/>
        <v>53.701147500486194</v>
      </c>
      <c r="CW94" s="22">
        <f t="shared" si="67"/>
        <v>473.38240056334689</v>
      </c>
      <c r="CX94" s="62">
        <f t="shared" si="68"/>
        <v>766.71573389668015</v>
      </c>
      <c r="CY94" s="62">
        <f ca="1">AVERAGE(OFFSET($CX$3,0,0,'Données projet'!$E$13+1,1))-AVERAGE(OFFSET($H$3,0,0,'Données projet'!$E$13+1,1))</f>
        <v>402.15128814037058</v>
      </c>
      <c r="CZ94" s="62">
        <f t="shared" si="96"/>
        <v>232.85411068442738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4.2307692307692264</v>
      </c>
      <c r="DO94" s="13">
        <f>IF('Données projet'!$A$166&gt;35,DO93+DN94-DW93,IF(A94&lt;'Données projet'!$A$166,$DL$205^A94,IF(A94='Données projet'!$A$166,'Données projet'!$B$166,DO93+DN94-DW93)))</f>
        <v>283.71794871794856</v>
      </c>
      <c r="DP94" s="18">
        <f>DO94*VLOOKUP('Données projet'!$B$14,Paramètres!$A$1:$I$89,3,0)*VLOOKUP('Données projet'!$B$14,Paramètres!$A$1:$I$89,5,0)</f>
        <v>269.98599999999982</v>
      </c>
      <c r="DQ94" s="14">
        <f t="shared" si="97"/>
        <v>64.846298125535967</v>
      </c>
      <c r="DR94" s="22">
        <f t="shared" si="70"/>
        <v>583.16625256864143</v>
      </c>
      <c r="DS94" s="62">
        <f t="shared" si="71"/>
        <v>876.4995859019748</v>
      </c>
      <c r="DT94" s="62">
        <f ca="1">AVERAGE(OFFSET($DS$3,0,0,'Données projet'!$E$14+1,1))-AVERAGE(OFFSET($H$3,0,0,'Données projet'!$E$14+1,1))</f>
        <v>485.18236169209541</v>
      </c>
      <c r="DU94" s="62">
        <f t="shared" si="98"/>
        <v>417.30339652956951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-3.4106051316484809E-13</v>
      </c>
      <c r="EK94" s="18">
        <f>EJ94*VLOOKUP('Données projet'!$B$15,Paramètres!$A$1:$I$89,3,0)*VLOOKUP('Données projet'!$B$15,Paramètres!$A$1:$I$89,5,0)</f>
        <v>-2.7134774427395314E-13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427.78067187784063</v>
      </c>
      <c r="EP94" s="62">
        <f t="shared" si="100"/>
        <v>464.22892523825118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11.333333333333334</v>
      </c>
      <c r="FE94" s="13">
        <f>IF('Données projet'!$A$218&gt;35,FE93+FD94-FM93,IF(A94&lt;'Données projet'!$A$218,$FB$205^A94,IF(A94='Données projet'!$A$218,'Données projet'!$B$218,FE93+FD94-FM93)))</f>
        <v>500.33333333333297</v>
      </c>
      <c r="FF94" s="18">
        <f>FE94*VLOOKUP('Données projet'!$B$16,Paramètres!$A$1:$I$89,3,0)*VLOOKUP('Données projet'!$B$16,Paramètres!$A$1:$I$89,5,0)</f>
        <v>429.28599999999977</v>
      </c>
      <c r="FG94" s="14">
        <f t="shared" si="101"/>
        <v>97.689316592289586</v>
      </c>
      <c r="FH94" s="22">
        <f t="shared" si="76"/>
        <v>917.81534306490391</v>
      </c>
      <c r="FI94" s="62">
        <f t="shared" si="77"/>
        <v>1211.1486763982373</v>
      </c>
      <c r="FJ94" s="62">
        <f ca="1">AVERAGE(OFFSET($FI$3,0,0,'Données projet'!$E$16+1,1))-AVERAGE(OFFSET($H$3,0,0,'Données projet'!$E$16+1,1))</f>
        <v>448.44001099301806</v>
      </c>
      <c r="FK94" s="62">
        <f t="shared" si="102"/>
        <v>230.82970731138215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4.4871794871794917</v>
      </c>
      <c r="FZ94" s="13">
        <f>IF('Données projet'!$A$244&gt;35,FZ93+FY94-GH93,IF(A94&lt;'Données projet'!$A$244,$FW$205^A94,IF(A94='Données projet'!$A$244,'Données projet'!$B$244,FZ93+FY94-GH93)))</f>
        <v>358.33333333333309</v>
      </c>
      <c r="GA94" s="18">
        <f>FZ94*VLOOKUP('Données projet'!$B$17,Paramètres!$A$1:$I$89,3,0)*VLOOKUP('Données projet'!$B$17,Paramètres!$A$1:$I$89,5,0)</f>
        <v>240.36999999999983</v>
      </c>
      <c r="GB94" s="14">
        <f t="shared" si="103"/>
        <v>58.519130645958803</v>
      </c>
      <c r="GC94" s="22">
        <f t="shared" si="79"/>
        <v>520.56523587504466</v>
      </c>
      <c r="GD94" s="62">
        <f t="shared" si="80"/>
        <v>813.89856920837792</v>
      </c>
      <c r="GE94" s="62">
        <f ca="1">AVERAGE(OFFSET($GD$3,0,0,'Données projet'!$E$17+1,1))-AVERAGE(OFFSET($H$3,0,0,'Données projet'!$E$17+1,1))</f>
        <v>408.91016501484626</v>
      </c>
      <c r="GF94" s="62">
        <f t="shared" si="104"/>
        <v>354.22396807666433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5.9</v>
      </c>
      <c r="GU94" s="13">
        <f>IF('Données projet'!$A$270&gt;35,GU93+GT94-HC93,IF(A94&lt;'Données projet'!$A$270,$GR$205^A94,IF(A94='Données projet'!$A$270,'Données projet'!$B$270,GU93+GT94-HC93)))</f>
        <v>307.9000000000002</v>
      </c>
      <c r="GV94" s="18">
        <f>GU94*VLOOKUP('Données projet'!$B$18,Paramètres!$A$1:$I$89,3,0)*VLOOKUP('Données projet'!$B$18,Paramètres!$A$1:$I$89,5,0)</f>
        <v>297.80088000000023</v>
      </c>
      <c r="GW94" s="14">
        <f t="shared" si="105"/>
        <v>70.715246231293804</v>
      </c>
      <c r="GX94" s="22">
        <f t="shared" si="82"/>
        <v>641.83225318617042</v>
      </c>
      <c r="GY94" s="62">
        <f t="shared" si="83"/>
        <v>935.16558651950368</v>
      </c>
      <c r="GZ94" s="62">
        <f ca="1">AVERAGE(OFFSET($GY$3,0,0,'Données projet'!$E$18+1,1))-AVERAGE(OFFSET($H$3,0,0,'Données projet'!$E$18+1,1))</f>
        <v>562.69380557620775</v>
      </c>
      <c r="HA94" s="62">
        <f t="shared" si="106"/>
        <v>294.45557293177131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313.80000000000018</v>
      </c>
      <c r="O95" s="14">
        <f>N95*VLOOKUP('Données projet'!$B$9,Paramètres!$A$1:$I$89,3,0)*VLOOKUP('Données projet'!$B$9,Paramètres!$A$1:$I$89,5,0)</f>
        <v>283.92624000000018</v>
      </c>
      <c r="P95" s="14">
        <f t="shared" si="87"/>
        <v>67.796062628528361</v>
      </c>
      <c r="Q95" s="22">
        <f t="shared" si="54"/>
        <v>612.58301041135394</v>
      </c>
      <c r="R95" s="62">
        <f t="shared" si="55"/>
        <v>905.91634374468731</v>
      </c>
      <c r="S95" s="62">
        <f ca="1">AVERAGE(OFFSET($R$3,0,0,'Données projet'!$E$9+1,1))-AVERAGE(OFFSET($H$3,0,0,'Données projet'!$E$9+1,1))</f>
        <v>529.25712986118265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8.8675733422860506E-14</v>
      </c>
      <c r="AK95" s="14">
        <f t="shared" si="89"/>
        <v>1.3509285393066301E-12</v>
      </c>
      <c r="AL95" s="22">
        <f t="shared" si="58"/>
        <v>2.5073107750038623E-12</v>
      </c>
      <c r="AM95" s="62">
        <f t="shared" si="59"/>
        <v>293.33333333333582</v>
      </c>
      <c r="AN95" s="62">
        <f ca="1">AVERAGE(OFFSET($AM$3,0,0,'Données projet'!$E$10+1,1))-AVERAGE(OFFSET($H$3,0,0,'Données projet'!$E$10+1,1))</f>
        <v>292.57482726862594</v>
      </c>
      <c r="AO95" s="62">
        <f t="shared" si="90"/>
        <v>283.48738729114024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-3.4106051316484809E-13</v>
      </c>
      <c r="BE95" s="14">
        <f>BD95*VLOOKUP('Données projet'!$B$11,Paramètres!$A$1:$I$89,3,0)*VLOOKUP('Données projet'!$B$11,Paramètres!$A$1:$I$89,5,0)</f>
        <v>-2.5006556825246659E-13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397.24545766894346</v>
      </c>
      <c r="BJ95" s="62">
        <f t="shared" si="92"/>
        <v>431.44557882369696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2.2737367544323206E-13</v>
      </c>
      <c r="BZ95" s="14">
        <f>BY95*VLOOKUP('Données projet'!$B$12,Paramètres!$A$1:$I$89,3,0)*VLOOKUP('Données projet'!$B$12,Paramètres!$A$1:$I$89,5,0)</f>
        <v>1.4897523215040565E-13</v>
      </c>
      <c r="CA95" s="14">
        <f t="shared" si="93"/>
        <v>2.136562777003313E-12</v>
      </c>
      <c r="CB95" s="22">
        <f t="shared" si="64"/>
        <v>3.9806453659427267E-12</v>
      </c>
      <c r="CC95" s="62">
        <f t="shared" si="65"/>
        <v>293.33333333333729</v>
      </c>
      <c r="CD95" s="62">
        <f ca="1">AVERAGE(OFFSET($CC$3,0,0,'Données projet'!$E$12+1,1))-AVERAGE(OFFSET($H$3,0,0,'Données projet'!$E$12+1,1))</f>
        <v>277.27246253233807</v>
      </c>
      <c r="CE95" s="62">
        <f t="shared" si="94"/>
        <v>269.61868559913404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222.22512000000006</v>
      </c>
      <c r="CV95" s="14">
        <f t="shared" si="95"/>
        <v>54.598220944501897</v>
      </c>
      <c r="CW95" s="22">
        <f t="shared" si="67"/>
        <v>482.13398547834095</v>
      </c>
      <c r="CX95" s="62">
        <f t="shared" si="68"/>
        <v>775.4673188116742</v>
      </c>
      <c r="CY95" s="62">
        <f ca="1">AVERAGE(OFFSET($CX$3,0,0,'Données projet'!$E$13+1,1))-AVERAGE(OFFSET($H$3,0,0,'Données projet'!$E$13+1,1))</f>
        <v>402.15128814037058</v>
      </c>
      <c r="CZ95" s="62">
        <f t="shared" si="96"/>
        <v>232.85411068442738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4.2307692307692264</v>
      </c>
      <c r="DO95" s="13">
        <f>IF('Données projet'!$A$166&gt;35,DO94+DN95-DW94,IF(A95&lt;'Données projet'!$A$166,$DL$205^A95,IF(A95='Données projet'!$A$166,'Données projet'!$B$166,DO94+DN95-DW94)))</f>
        <v>287.94871794871779</v>
      </c>
      <c r="DP95" s="18">
        <f>DO95*VLOOKUP('Données projet'!$B$14,Paramètres!$A$1:$I$89,3,0)*VLOOKUP('Données projet'!$B$14,Paramètres!$A$1:$I$89,5,0)</f>
        <v>274.01199999999989</v>
      </c>
      <c r="DQ95" s="14">
        <f t="shared" si="97"/>
        <v>65.699984644386234</v>
      </c>
      <c r="DR95" s="22">
        <f t="shared" si="70"/>
        <v>591.66503992230582</v>
      </c>
      <c r="DS95" s="62">
        <f t="shared" si="71"/>
        <v>884.99837325563908</v>
      </c>
      <c r="DT95" s="62">
        <f ca="1">AVERAGE(OFFSET($DS$3,0,0,'Données projet'!$E$14+1,1))-AVERAGE(OFFSET($H$3,0,0,'Données projet'!$E$14+1,1))</f>
        <v>485.18236169209541</v>
      </c>
      <c r="DU95" s="62">
        <f t="shared" si="98"/>
        <v>417.30339652956951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-3.4106051316484809E-13</v>
      </c>
      <c r="EK95" s="18">
        <f>EJ95*VLOOKUP('Données projet'!$B$15,Paramètres!$A$1:$I$89,3,0)*VLOOKUP('Données projet'!$B$15,Paramètres!$A$1:$I$89,5,0)</f>
        <v>-2.7134774427395314E-13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427.78067187784063</v>
      </c>
      <c r="EP95" s="62">
        <f t="shared" si="100"/>
        <v>464.22892523825118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11.333333333333334</v>
      </c>
      <c r="FE95" s="13">
        <f>IF('Données projet'!$A$218&gt;35,FE94+FD95-FM94,IF(A95&lt;'Données projet'!$A$218,$FB$205^A95,IF(A95='Données projet'!$A$218,'Données projet'!$B$218,FE94+FD95-FM94)))</f>
        <v>511.66666666666629</v>
      </c>
      <c r="FF95" s="18">
        <f>FE95*VLOOKUP('Données projet'!$B$16,Paramètres!$A$1:$I$89,3,0)*VLOOKUP('Données projet'!$B$16,Paramètres!$A$1:$I$89,5,0)</f>
        <v>439.00999999999971</v>
      </c>
      <c r="FG95" s="14">
        <f t="shared" si="101"/>
        <v>99.642004610829247</v>
      </c>
      <c r="FH95" s="22">
        <f t="shared" si="76"/>
        <v>938.15224136386041</v>
      </c>
      <c r="FI95" s="62">
        <f t="shared" si="77"/>
        <v>1231.4855746971937</v>
      </c>
      <c r="FJ95" s="62">
        <f ca="1">AVERAGE(OFFSET($FI$3,0,0,'Données projet'!$E$16+1,1))-AVERAGE(OFFSET($H$3,0,0,'Données projet'!$E$16+1,1))</f>
        <v>448.44001099301806</v>
      </c>
      <c r="FK95" s="62">
        <f t="shared" si="102"/>
        <v>230.82970731138215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4.4871794871794917</v>
      </c>
      <c r="FZ95" s="13">
        <f>IF('Données projet'!$A$244&gt;35,FZ94+FY95-GH94,IF(A95&lt;'Données projet'!$A$244,$FW$205^A95,IF(A95='Données projet'!$A$244,'Données projet'!$B$244,FZ94+FY95-GH94)))</f>
        <v>362.82051282051259</v>
      </c>
      <c r="GA95" s="18">
        <f>FZ95*VLOOKUP('Données projet'!$B$17,Paramètres!$A$1:$I$89,3,0)*VLOOKUP('Données projet'!$B$17,Paramètres!$A$1:$I$89,5,0)</f>
        <v>243.37999999999985</v>
      </c>
      <c r="GB95" s="14">
        <f t="shared" si="103"/>
        <v>59.166160979653931</v>
      </c>
      <c r="GC95" s="22">
        <f t="shared" si="79"/>
        <v>526.93456370623039</v>
      </c>
      <c r="GD95" s="62">
        <f t="shared" si="80"/>
        <v>820.26789703956365</v>
      </c>
      <c r="GE95" s="62">
        <f ca="1">AVERAGE(OFFSET($GD$3,0,0,'Données projet'!$E$17+1,1))-AVERAGE(OFFSET($H$3,0,0,'Données projet'!$E$17+1,1))</f>
        <v>408.91016501484626</v>
      </c>
      <c r="GF95" s="62">
        <f t="shared" si="104"/>
        <v>354.22396807666433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5.9</v>
      </c>
      <c r="GU95" s="13">
        <f>IF('Données projet'!$A$270&gt;35,GU94+GT95-HC94,IF(A95&lt;'Données projet'!$A$270,$GR$205^A95,IF(A95='Données projet'!$A$270,'Données projet'!$B$270,GU94+GT95-HC94)))</f>
        <v>313.80000000000018</v>
      </c>
      <c r="GV95" s="18">
        <f>GU95*VLOOKUP('Données projet'!$B$18,Paramètres!$A$1:$I$89,3,0)*VLOOKUP('Données projet'!$B$18,Paramètres!$A$1:$I$89,5,0)</f>
        <v>303.50736000000023</v>
      </c>
      <c r="GW95" s="14">
        <f t="shared" si="105"/>
        <v>71.911242710970541</v>
      </c>
      <c r="GX95" s="22">
        <f t="shared" si="82"/>
        <v>653.85406638827408</v>
      </c>
      <c r="GY95" s="62">
        <f t="shared" si="83"/>
        <v>947.18739972160733</v>
      </c>
      <c r="GZ95" s="62">
        <f ca="1">AVERAGE(OFFSET($GY$3,0,0,'Données projet'!$E$18+1,1))-AVERAGE(OFFSET($H$3,0,0,'Données projet'!$E$18+1,1))</f>
        <v>562.69380557620775</v>
      </c>
      <c r="HA95" s="62">
        <f t="shared" si="106"/>
        <v>294.45557293177131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319.70000000000016</v>
      </c>
      <c r="O96" s="14">
        <f>N96*VLOOKUP('Données projet'!$B$9,Paramètres!$A$1:$I$89,3,0)*VLOOKUP('Données projet'!$B$9,Paramètres!$A$1:$I$89,5,0)</f>
        <v>289.26456000000013</v>
      </c>
      <c r="P96" s="14">
        <f t="shared" si="87"/>
        <v>68.921152085057912</v>
      </c>
      <c r="Q96" s="22">
        <f t="shared" si="54"/>
        <v>623.84011521480943</v>
      </c>
      <c r="R96" s="62">
        <f t="shared" si="55"/>
        <v>917.17344854814269</v>
      </c>
      <c r="S96" s="62">
        <f ca="1">AVERAGE(OFFSET($R$3,0,0,'Données projet'!$E$9+1,1))-AVERAGE(OFFSET($H$3,0,0,'Données projet'!$E$9+1,1))</f>
        <v>529.25712986118265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8.8675733422860506E-14</v>
      </c>
      <c r="AK96" s="14">
        <f t="shared" si="89"/>
        <v>1.3509285393066301E-12</v>
      </c>
      <c r="AL96" s="22">
        <f t="shared" si="58"/>
        <v>2.5073107750038623E-12</v>
      </c>
      <c r="AM96" s="62">
        <f t="shared" si="59"/>
        <v>293.33333333333582</v>
      </c>
      <c r="AN96" s="62">
        <f ca="1">AVERAGE(OFFSET($AM$3,0,0,'Données projet'!$E$10+1,1))-AVERAGE(OFFSET($H$3,0,0,'Données projet'!$E$10+1,1))</f>
        <v>292.57482726862594</v>
      </c>
      <c r="AO96" s="62">
        <f t="shared" si="90"/>
        <v>283.48738729114024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-3.4106051316484809E-13</v>
      </c>
      <c r="BE96" s="14">
        <f>BD96*VLOOKUP('Données projet'!$B$11,Paramètres!$A$1:$I$89,3,0)*VLOOKUP('Données projet'!$B$11,Paramètres!$A$1:$I$89,5,0)</f>
        <v>-2.5006556825246659E-13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397.24545766894346</v>
      </c>
      <c r="BJ96" s="62">
        <f t="shared" si="92"/>
        <v>431.44557882369696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2.2737367544323206E-13</v>
      </c>
      <c r="BZ96" s="14">
        <f>BY96*VLOOKUP('Données projet'!$B$12,Paramètres!$A$1:$I$89,3,0)*VLOOKUP('Données projet'!$B$12,Paramètres!$A$1:$I$89,5,0)</f>
        <v>1.4897523215040565E-13</v>
      </c>
      <c r="CA96" s="14">
        <f t="shared" si="93"/>
        <v>2.136562777003313E-12</v>
      </c>
      <c r="CB96" s="22">
        <f t="shared" si="64"/>
        <v>3.9806453659427267E-12</v>
      </c>
      <c r="CC96" s="62">
        <f t="shared" si="65"/>
        <v>293.33333333333729</v>
      </c>
      <c r="CD96" s="62">
        <f ca="1">AVERAGE(OFFSET($CC$3,0,0,'Données projet'!$E$12+1,1))-AVERAGE(OFFSET($H$3,0,0,'Données projet'!$E$12+1,1))</f>
        <v>277.27246253233807</v>
      </c>
      <c r="CE96" s="62">
        <f t="shared" si="94"/>
        <v>269.61868559913404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226.35288000000003</v>
      </c>
      <c r="CV96" s="14">
        <f t="shared" si="95"/>
        <v>55.493356810213015</v>
      </c>
      <c r="CW96" s="22">
        <f t="shared" si="67"/>
        <v>490.88219577778773</v>
      </c>
      <c r="CX96" s="62">
        <f t="shared" si="68"/>
        <v>784.21552911112099</v>
      </c>
      <c r="CY96" s="62">
        <f ca="1">AVERAGE(OFFSET($CX$3,0,0,'Données projet'!$E$13+1,1))-AVERAGE(OFFSET($H$3,0,0,'Données projet'!$E$13+1,1))</f>
        <v>402.15128814037058</v>
      </c>
      <c r="CZ96" s="62">
        <f t="shared" si="96"/>
        <v>232.85411068442738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4.2307692307692264</v>
      </c>
      <c r="DO96" s="13">
        <f>IF('Données projet'!$A$166&gt;35,DO95+DN96-DW95,IF(A96&lt;'Données projet'!$A$166,$DL$205^A96,IF(A96='Données projet'!$A$166,'Données projet'!$B$166,DO95+DN96-DW95)))</f>
        <v>292.17948717948701</v>
      </c>
      <c r="DP96" s="18">
        <f>DO96*VLOOKUP('Données projet'!$B$14,Paramètres!$A$1:$I$89,3,0)*VLOOKUP('Données projet'!$B$14,Paramètres!$A$1:$I$89,5,0)</f>
        <v>278.03799999999984</v>
      </c>
      <c r="DQ96" s="14">
        <f t="shared" si="97"/>
        <v>66.552212346313652</v>
      </c>
      <c r="DR96" s="22">
        <f t="shared" si="70"/>
        <v>600.16128650316261</v>
      </c>
      <c r="DS96" s="62">
        <f t="shared" si="71"/>
        <v>893.49461983649599</v>
      </c>
      <c r="DT96" s="62">
        <f ca="1">AVERAGE(OFFSET($DS$3,0,0,'Données projet'!$E$14+1,1))-AVERAGE(OFFSET($H$3,0,0,'Données projet'!$E$14+1,1))</f>
        <v>485.18236169209541</v>
      </c>
      <c r="DU96" s="62">
        <f t="shared" si="98"/>
        <v>417.30339652956951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-3.4106051316484809E-13</v>
      </c>
      <c r="EK96" s="18">
        <f>EJ96*VLOOKUP('Données projet'!$B$15,Paramètres!$A$1:$I$89,3,0)*VLOOKUP('Données projet'!$B$15,Paramètres!$A$1:$I$89,5,0)</f>
        <v>-2.7134774427395314E-13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427.78067187784063</v>
      </c>
      <c r="EP96" s="62">
        <f t="shared" si="100"/>
        <v>464.22892523825118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11.333333333333334</v>
      </c>
      <c r="FE96" s="13">
        <f>IF('Données projet'!$A$218&gt;35,FE95+FD96-FM95,IF(A96&lt;'Données projet'!$A$218,$FB$205^A96,IF(A96='Données projet'!$A$218,'Données projet'!$B$218,FE95+FD96-FM95)))</f>
        <v>522.99999999999966</v>
      </c>
      <c r="FF96" s="18">
        <f>FE96*VLOOKUP('Données projet'!$B$16,Paramètres!$A$1:$I$89,3,0)*VLOOKUP('Données projet'!$B$16,Paramètres!$A$1:$I$89,5,0)</f>
        <v>448.73399999999981</v>
      </c>
      <c r="FG96" s="14">
        <f t="shared" si="101"/>
        <v>101.58966417888674</v>
      </c>
      <c r="FH96" s="22">
        <f t="shared" si="76"/>
        <v>958.48038177822752</v>
      </c>
      <c r="FI96" s="62">
        <f t="shared" si="77"/>
        <v>1251.8137151115609</v>
      </c>
      <c r="FJ96" s="62">
        <f ca="1">AVERAGE(OFFSET($FI$3,0,0,'Données projet'!$E$16+1,1))-AVERAGE(OFFSET($H$3,0,0,'Données projet'!$E$16+1,1))</f>
        <v>448.44001099301806</v>
      </c>
      <c r="FK96" s="62">
        <f t="shared" si="102"/>
        <v>230.82970731138215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4.4871794871794917</v>
      </c>
      <c r="FZ96" s="13">
        <f>IF('Données projet'!$A$244&gt;35,FZ95+FY96-GH95,IF(A96&lt;'Données projet'!$A$244,$FW$205^A96,IF(A96='Données projet'!$A$244,'Données projet'!$B$244,FZ95+FY96-GH95)))</f>
        <v>367.30769230769209</v>
      </c>
      <c r="GA96" s="18">
        <f>FZ96*VLOOKUP('Données projet'!$B$17,Paramètres!$A$1:$I$89,3,0)*VLOOKUP('Données projet'!$B$17,Paramètres!$A$1:$I$89,5,0)</f>
        <v>246.38999999999984</v>
      </c>
      <c r="GB96" s="14">
        <f t="shared" si="103"/>
        <v>59.812260509059755</v>
      </c>
      <c r="GC96" s="22">
        <f t="shared" si="79"/>
        <v>533.30227038661212</v>
      </c>
      <c r="GD96" s="62">
        <f t="shared" si="80"/>
        <v>826.63560371994549</v>
      </c>
      <c r="GE96" s="62">
        <f ca="1">AVERAGE(OFFSET($GD$3,0,0,'Données projet'!$E$17+1,1))-AVERAGE(OFFSET($H$3,0,0,'Données projet'!$E$17+1,1))</f>
        <v>408.91016501484626</v>
      </c>
      <c r="GF96" s="62">
        <f t="shared" si="104"/>
        <v>354.22396807666433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5.9</v>
      </c>
      <c r="GU96" s="13">
        <f>IF('Données projet'!$A$270&gt;35,GU95+GT96-HC95,IF(A96&lt;'Données projet'!$A$270,$GR$205^A96,IF(A96='Données projet'!$A$270,'Données projet'!$B$270,GU95+GT96-HC95)))</f>
        <v>319.70000000000016</v>
      </c>
      <c r="GV96" s="18">
        <f>GU96*VLOOKUP('Données projet'!$B$18,Paramètres!$A$1:$I$89,3,0)*VLOOKUP('Données projet'!$B$18,Paramètres!$A$1:$I$89,5,0)</f>
        <v>309.21384000000012</v>
      </c>
      <c r="GW96" s="14">
        <f t="shared" si="105"/>
        <v>73.104624418450499</v>
      </c>
      <c r="GX96" s="22">
        <f t="shared" si="82"/>
        <v>665.87132552880155</v>
      </c>
      <c r="GY96" s="62">
        <f t="shared" si="83"/>
        <v>959.20465886213492</v>
      </c>
      <c r="GZ96" s="62">
        <f ca="1">AVERAGE(OFFSET($GY$3,0,0,'Données projet'!$E$18+1,1))-AVERAGE(OFFSET($H$3,0,0,'Données projet'!$E$18+1,1))</f>
        <v>562.69380557620775</v>
      </c>
      <c r="HA96" s="62">
        <f t="shared" si="106"/>
        <v>294.45557293177131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325.60000000000014</v>
      </c>
      <c r="O97" s="14">
        <f>N97*VLOOKUP('Données projet'!$B$9,Paramètres!$A$1:$I$89,3,0)*VLOOKUP('Données projet'!$B$9,Paramètres!$A$1:$I$89,5,0)</f>
        <v>294.60288000000014</v>
      </c>
      <c r="P97" s="14">
        <f t="shared" si="87"/>
        <v>70.043827142305744</v>
      </c>
      <c r="Q97" s="22">
        <f t="shared" si="54"/>
        <v>635.09301493951614</v>
      </c>
      <c r="R97" s="62">
        <f t="shared" si="55"/>
        <v>928.42634827284951</v>
      </c>
      <c r="S97" s="62">
        <f ca="1">AVERAGE(OFFSET($R$3,0,0,'Données projet'!$E$9+1,1))-AVERAGE(OFFSET($H$3,0,0,'Données projet'!$E$9+1,1))</f>
        <v>529.25712986118265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8.8675733422860506E-14</v>
      </c>
      <c r="AK97" s="14">
        <f t="shared" si="89"/>
        <v>1.3509285393066301E-12</v>
      </c>
      <c r="AL97" s="22">
        <f t="shared" si="58"/>
        <v>2.5073107750038623E-12</v>
      </c>
      <c r="AM97" s="62">
        <f t="shared" si="59"/>
        <v>293.33333333333582</v>
      </c>
      <c r="AN97" s="62">
        <f ca="1">AVERAGE(OFFSET($AM$3,0,0,'Données projet'!$E$10+1,1))-AVERAGE(OFFSET($H$3,0,0,'Données projet'!$E$10+1,1))</f>
        <v>292.57482726862594</v>
      </c>
      <c r="AO97" s="62">
        <f t="shared" si="90"/>
        <v>283.48738729114024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-3.4106051316484809E-13</v>
      </c>
      <c r="BE97" s="14">
        <f>BD97*VLOOKUP('Données projet'!$B$11,Paramètres!$A$1:$I$89,3,0)*VLOOKUP('Données projet'!$B$11,Paramètres!$A$1:$I$89,5,0)</f>
        <v>-2.5006556825246659E-13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397.24545766894346</v>
      </c>
      <c r="BJ97" s="62">
        <f t="shared" si="92"/>
        <v>431.44557882369696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2.2737367544323206E-13</v>
      </c>
      <c r="BZ97" s="14">
        <f>BY97*VLOOKUP('Données projet'!$B$12,Paramètres!$A$1:$I$89,3,0)*VLOOKUP('Données projet'!$B$12,Paramètres!$A$1:$I$89,5,0)</f>
        <v>1.4897523215040565E-13</v>
      </c>
      <c r="CA97" s="14">
        <f t="shared" si="93"/>
        <v>2.136562777003313E-12</v>
      </c>
      <c r="CB97" s="22">
        <f t="shared" si="64"/>
        <v>3.9806453659427267E-12</v>
      </c>
      <c r="CC97" s="62">
        <f t="shared" si="65"/>
        <v>293.33333333333729</v>
      </c>
      <c r="CD97" s="62">
        <f ca="1">AVERAGE(OFFSET($CC$3,0,0,'Données projet'!$E$12+1,1))-AVERAGE(OFFSET($H$3,0,0,'Données projet'!$E$12+1,1))</f>
        <v>277.27246253233807</v>
      </c>
      <c r="CE97" s="62">
        <f t="shared" si="94"/>
        <v>269.61868559913404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230.48063999999999</v>
      </c>
      <c r="CV97" s="14">
        <f t="shared" si="95"/>
        <v>56.386594506599792</v>
      </c>
      <c r="CW97" s="22">
        <f t="shared" si="67"/>
        <v>499.62710009899462</v>
      </c>
      <c r="CX97" s="62">
        <f t="shared" si="68"/>
        <v>792.96043343232793</v>
      </c>
      <c r="CY97" s="62">
        <f ca="1">AVERAGE(OFFSET($CX$3,0,0,'Données projet'!$E$13+1,1))-AVERAGE(OFFSET($H$3,0,0,'Données projet'!$E$13+1,1))</f>
        <v>402.15128814037058</v>
      </c>
      <c r="CZ97" s="62">
        <f t="shared" si="96"/>
        <v>232.85411068442738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4.2307692307692264</v>
      </c>
      <c r="DO97" s="13">
        <f>IF('Données projet'!$A$166&gt;35,DO96+DN97-DW96,IF(A97&lt;'Données projet'!$A$166,$DL$205^A97,IF(A97='Données projet'!$A$166,'Données projet'!$B$166,DO96+DN97-DW96)))</f>
        <v>296.41025641025624</v>
      </c>
      <c r="DP97" s="18">
        <f>DO97*VLOOKUP('Données projet'!$B$14,Paramètres!$A$1:$I$89,3,0)*VLOOKUP('Données projet'!$B$14,Paramètres!$A$1:$I$89,5,0)</f>
        <v>282.06399999999985</v>
      </c>
      <c r="DQ97" s="14">
        <f t="shared" si="97"/>
        <v>67.403004795634374</v>
      </c>
      <c r="DR97" s="22">
        <f t="shared" si="70"/>
        <v>608.65503335239634</v>
      </c>
      <c r="DS97" s="62">
        <f t="shared" si="71"/>
        <v>901.98836668572972</v>
      </c>
      <c r="DT97" s="62">
        <f ca="1">AVERAGE(OFFSET($DS$3,0,0,'Données projet'!$E$14+1,1))-AVERAGE(OFFSET($H$3,0,0,'Données projet'!$E$14+1,1))</f>
        <v>485.18236169209541</v>
      </c>
      <c r="DU97" s="62">
        <f t="shared" si="98"/>
        <v>417.30339652956951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-3.4106051316484809E-13</v>
      </c>
      <c r="EK97" s="18">
        <f>EJ97*VLOOKUP('Données projet'!$B$15,Paramètres!$A$1:$I$89,3,0)*VLOOKUP('Données projet'!$B$15,Paramètres!$A$1:$I$89,5,0)</f>
        <v>-2.7134774427395314E-13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427.78067187784063</v>
      </c>
      <c r="EP97" s="62">
        <f t="shared" si="100"/>
        <v>464.22892523825118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11.333333333333334</v>
      </c>
      <c r="FE97" s="13">
        <f>IF('Données projet'!$A$218&gt;35,FE96+FD97-FM96,IF(A97&lt;'Données projet'!$A$218,$FB$205^A97,IF(A97='Données projet'!$A$218,'Données projet'!$B$218,FE96+FD97-FM96)))</f>
        <v>534.33333333333303</v>
      </c>
      <c r="FF97" s="18">
        <f>FE97*VLOOKUP('Données projet'!$B$16,Paramètres!$A$1:$I$89,3,0)*VLOOKUP('Données projet'!$B$16,Paramètres!$A$1:$I$89,5,0)</f>
        <v>458.4579999999998</v>
      </c>
      <c r="FG97" s="14">
        <f t="shared" si="101"/>
        <v>103.53241681177968</v>
      </c>
      <c r="FH97" s="22">
        <f t="shared" si="76"/>
        <v>978.79997594718259</v>
      </c>
      <c r="FI97" s="62">
        <f t="shared" si="77"/>
        <v>1272.133309280516</v>
      </c>
      <c r="FJ97" s="62">
        <f ca="1">AVERAGE(OFFSET($FI$3,0,0,'Données projet'!$E$16+1,1))-AVERAGE(OFFSET($H$3,0,0,'Données projet'!$E$16+1,1))</f>
        <v>448.44001099301806</v>
      </c>
      <c r="FK97" s="62">
        <f t="shared" si="102"/>
        <v>230.82970731138215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4.4871794871794917</v>
      </c>
      <c r="FZ97" s="13">
        <f>IF('Données projet'!$A$244&gt;35,FZ96+FY97-GH96,IF(A97&lt;'Données projet'!$A$244,$FW$205^A97,IF(A97='Données projet'!$A$244,'Données projet'!$B$244,FZ96+FY97-GH96)))</f>
        <v>371.7948717948716</v>
      </c>
      <c r="GA97" s="18">
        <f>FZ97*VLOOKUP('Données projet'!$B$17,Paramètres!$A$1:$I$89,3,0)*VLOOKUP('Données projet'!$B$17,Paramètres!$A$1:$I$89,5,0)</f>
        <v>249.39999999999986</v>
      </c>
      <c r="GB97" s="14">
        <f t="shared" si="103"/>
        <v>60.457441920465271</v>
      </c>
      <c r="GC97" s="22">
        <f t="shared" si="79"/>
        <v>539.66837801147665</v>
      </c>
      <c r="GD97" s="62">
        <f t="shared" si="80"/>
        <v>833.00171134481002</v>
      </c>
      <c r="GE97" s="62">
        <f ca="1">AVERAGE(OFFSET($GD$3,0,0,'Données projet'!$E$17+1,1))-AVERAGE(OFFSET($H$3,0,0,'Données projet'!$E$17+1,1))</f>
        <v>408.91016501484626</v>
      </c>
      <c r="GF97" s="62">
        <f t="shared" si="104"/>
        <v>354.22396807666433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5.9</v>
      </c>
      <c r="GU97" s="13">
        <f>IF('Données projet'!$A$270&gt;35,GU96+GT97-HC96,IF(A97&lt;'Données projet'!$A$270,$GR$205^A97,IF(A97='Données projet'!$A$270,'Données projet'!$B$270,GU96+GT97-HC96)))</f>
        <v>325.60000000000014</v>
      </c>
      <c r="GV97" s="18">
        <f>GU97*VLOOKUP('Données projet'!$B$18,Paramètres!$A$1:$I$89,3,0)*VLOOKUP('Données projet'!$B$18,Paramètres!$A$1:$I$89,5,0)</f>
        <v>314.92032000000012</v>
      </c>
      <c r="GW97" s="14">
        <f t="shared" si="105"/>
        <v>74.295445174069556</v>
      </c>
      <c r="GX97" s="22">
        <f t="shared" si="82"/>
        <v>677.88412434483791</v>
      </c>
      <c r="GY97" s="62">
        <f t="shared" si="83"/>
        <v>971.21745767817129</v>
      </c>
      <c r="GZ97" s="62">
        <f ca="1">AVERAGE(OFFSET($GY$3,0,0,'Données projet'!$E$18+1,1))-AVERAGE(OFFSET($H$3,0,0,'Données projet'!$E$18+1,1))</f>
        <v>562.69380557620775</v>
      </c>
      <c r="HA97" s="62">
        <f t="shared" si="106"/>
        <v>294.45557293177131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331.50000000000011</v>
      </c>
      <c r="O98" s="14">
        <f>N98*VLOOKUP('Données projet'!$B$9,Paramètres!$A$1:$I$89,3,0)*VLOOKUP('Données projet'!$B$9,Paramètres!$A$1:$I$89,5,0)</f>
        <v>299.94120000000009</v>
      </c>
      <c r="P98" s="14">
        <f t="shared" si="87"/>
        <v>71.164136596531577</v>
      </c>
      <c r="Q98" s="22">
        <f t="shared" si="54"/>
        <v>646.34179457229266</v>
      </c>
      <c r="R98" s="62">
        <f t="shared" si="55"/>
        <v>939.67512790562591</v>
      </c>
      <c r="S98" s="62">
        <f ca="1">AVERAGE(OFFSET($R$3,0,0,'Données projet'!$E$9+1,1))-AVERAGE(OFFSET($H$3,0,0,'Données projet'!$E$9+1,1))</f>
        <v>529.25712986118265</v>
      </c>
      <c r="T98" s="62">
        <f t="shared" si="88"/>
        <v>278.21741231699929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8.8675733422860506E-14</v>
      </c>
      <c r="AK98" s="14">
        <f t="shared" si="89"/>
        <v>1.3509285393066301E-12</v>
      </c>
      <c r="AL98" s="22">
        <f t="shared" si="58"/>
        <v>2.5073107750038623E-12</v>
      </c>
      <c r="AM98" s="62">
        <f t="shared" si="59"/>
        <v>293.33333333333582</v>
      </c>
      <c r="AN98" s="62">
        <f ca="1">AVERAGE(OFFSET($AM$3,0,0,'Données projet'!$E$10+1,1))-AVERAGE(OFFSET($H$3,0,0,'Données projet'!$E$10+1,1))</f>
        <v>292.57482726862594</v>
      </c>
      <c r="AO98" s="62">
        <f t="shared" si="90"/>
        <v>283.48738729114024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-3.4106051316484809E-13</v>
      </c>
      <c r="BE98" s="14">
        <f>BD98*VLOOKUP('Données projet'!$B$11,Paramètres!$A$1:$I$89,3,0)*VLOOKUP('Données projet'!$B$11,Paramètres!$A$1:$I$89,5,0)</f>
        <v>-2.5006556825246659E-13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397.24545766894346</v>
      </c>
      <c r="BJ98" s="62">
        <f t="shared" si="92"/>
        <v>431.44557882369696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2.2737367544323206E-13</v>
      </c>
      <c r="BZ98" s="14">
        <f>BY98*VLOOKUP('Données projet'!$B$12,Paramètres!$A$1:$I$89,3,0)*VLOOKUP('Données projet'!$B$12,Paramètres!$A$1:$I$89,5,0)</f>
        <v>1.4897523215040565E-13</v>
      </c>
      <c r="CA98" s="14">
        <f t="shared" si="93"/>
        <v>2.136562777003313E-12</v>
      </c>
      <c r="CB98" s="22">
        <f t="shared" si="64"/>
        <v>3.9806453659427267E-12</v>
      </c>
      <c r="CC98" s="62">
        <f t="shared" si="65"/>
        <v>293.33333333333729</v>
      </c>
      <c r="CD98" s="62">
        <f ca="1">AVERAGE(OFFSET($CC$3,0,0,'Données projet'!$E$12+1,1))-AVERAGE(OFFSET($H$3,0,0,'Données projet'!$E$12+1,1))</f>
        <v>277.27246253233807</v>
      </c>
      <c r="CE98" s="62">
        <f t="shared" si="94"/>
        <v>269.61868559913404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234.60839999999999</v>
      </c>
      <c r="CV98" s="14">
        <f t="shared" si="95"/>
        <v>57.277971950226913</v>
      </c>
      <c r="CW98" s="22">
        <f t="shared" si="67"/>
        <v>508.36876447997855</v>
      </c>
      <c r="CX98" s="62">
        <f t="shared" si="68"/>
        <v>801.70209781331187</v>
      </c>
      <c r="CY98" s="62">
        <f ca="1">AVERAGE(OFFSET($CX$3,0,0,'Données projet'!$E$13+1,1))-AVERAGE(OFFSET($H$3,0,0,'Données projet'!$E$13+1,1))</f>
        <v>402.15128814037058</v>
      </c>
      <c r="CZ98" s="62">
        <f t="shared" si="96"/>
        <v>232.85411068442738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4.2307692307692264</v>
      </c>
      <c r="DO98" s="13">
        <f>IF('Données projet'!$A$166&gt;35,DO97+DN98-DW97,IF(A98&lt;'Données projet'!$A$166,$DL$205^A98,IF(A98='Données projet'!$A$166,'Données projet'!$B$166,DO97+DN98-DW97)))</f>
        <v>300.64102564102546</v>
      </c>
      <c r="DP98" s="18">
        <f>DO98*VLOOKUP('Données projet'!$B$14,Paramètres!$A$1:$I$89,3,0)*VLOOKUP('Données projet'!$B$14,Paramètres!$A$1:$I$89,5,0)</f>
        <v>286.0899999999998</v>
      </c>
      <c r="DQ98" s="14">
        <f t="shared" si="97"/>
        <v>68.252384845349795</v>
      </c>
      <c r="DR98" s="22">
        <f t="shared" si="70"/>
        <v>617.14632027231721</v>
      </c>
      <c r="DS98" s="62">
        <f t="shared" si="71"/>
        <v>910.47965360565058</v>
      </c>
      <c r="DT98" s="62">
        <f ca="1">AVERAGE(OFFSET($DS$3,0,0,'Données projet'!$E$14+1,1))-AVERAGE(OFFSET($H$3,0,0,'Données projet'!$E$14+1,1))</f>
        <v>485.18236169209541</v>
      </c>
      <c r="DU98" s="62">
        <f t="shared" si="98"/>
        <v>417.30339652956951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-3.4106051316484809E-13</v>
      </c>
      <c r="EK98" s="18">
        <f>EJ98*VLOOKUP('Données projet'!$B$15,Paramètres!$A$1:$I$89,3,0)*VLOOKUP('Données projet'!$B$15,Paramètres!$A$1:$I$89,5,0)</f>
        <v>-2.7134774427395314E-13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427.78067187784063</v>
      </c>
      <c r="EP98" s="62">
        <f t="shared" si="100"/>
        <v>464.22892523825118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11.333333333333334</v>
      </c>
      <c r="FE98" s="13">
        <f>IF('Données projet'!$A$218&gt;35,FE97+FD98-FM97,IF(A98&lt;'Données projet'!$A$218,$FB$205^A98,IF(A98='Données projet'!$A$218,'Données projet'!$B$218,FE97+FD98-FM97)))</f>
        <v>545.6666666666664</v>
      </c>
      <c r="FF98" s="18">
        <f>FE98*VLOOKUP('Données projet'!$B$16,Paramètres!$A$1:$I$89,3,0)*VLOOKUP('Données projet'!$B$16,Paramètres!$A$1:$I$89,5,0)</f>
        <v>468.18199999999985</v>
      </c>
      <c r="FG98" s="14">
        <f t="shared" si="101"/>
        <v>105.47037857558523</v>
      </c>
      <c r="FH98" s="22">
        <f t="shared" si="76"/>
        <v>999.11122601914394</v>
      </c>
      <c r="FI98" s="62">
        <f t="shared" si="77"/>
        <v>1292.4445593524772</v>
      </c>
      <c r="FJ98" s="62">
        <f ca="1">AVERAGE(OFFSET($FI$3,0,0,'Données projet'!$E$16+1,1))-AVERAGE(OFFSET($H$3,0,0,'Données projet'!$E$16+1,1))</f>
        <v>448.44001099301806</v>
      </c>
      <c r="FK98" s="62">
        <f t="shared" si="102"/>
        <v>230.82970731138215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376.28205128205127</v>
      </c>
      <c r="FX98" s="13">
        <f>VLOOKUP(A98,'Données projet'!$A$243:$I$263,9,0)</f>
        <v>4.4871794871794917</v>
      </c>
      <c r="FY98" s="13">
        <f t="array" ref="FY98">INDEX(FX:FX,MIN(IF(ISNUMBER(FX98:FX294),ROW(FX98:FX294),"")))</f>
        <v>4.4871794871794917</v>
      </c>
      <c r="FZ98" s="13">
        <f>IF('Données projet'!$A$244&gt;35,FZ97+FY98-GH97,IF(A98&lt;'Données projet'!$A$244,$FW$205^A98,IF(A98='Données projet'!$A$244,'Données projet'!$B$244,FZ97+FY98-GH97)))</f>
        <v>376.2820512820511</v>
      </c>
      <c r="GA98" s="18">
        <f>FZ98*VLOOKUP('Données projet'!$B$17,Paramètres!$A$1:$I$89,3,0)*VLOOKUP('Données projet'!$B$17,Paramètres!$A$1:$I$89,5,0)</f>
        <v>252.40999999999985</v>
      </c>
      <c r="GB98" s="14">
        <f t="shared" si="103"/>
        <v>61.101717576320787</v>
      </c>
      <c r="GC98" s="22">
        <f t="shared" si="79"/>
        <v>546.03290811209172</v>
      </c>
      <c r="GD98" s="62">
        <f t="shared" si="80"/>
        <v>839.36624144542498</v>
      </c>
      <c r="GE98" s="62">
        <f ca="1">AVERAGE(OFFSET($GD$3,0,0,'Données projet'!$E$17+1,1))-AVERAGE(OFFSET($H$3,0,0,'Données projet'!$E$17+1,1))</f>
        <v>408.91016501484626</v>
      </c>
      <c r="GF98" s="62">
        <f t="shared" si="104"/>
        <v>354.22396807666433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5.9</v>
      </c>
      <c r="GU98" s="13">
        <f>IF('Données projet'!$A$270&gt;35,GU97+GT98-HC97,IF(A98&lt;'Données projet'!$A$270,$GR$205^A98,IF(A98='Données projet'!$A$270,'Données projet'!$B$270,GU97+GT98-HC97)))</f>
        <v>331.50000000000011</v>
      </c>
      <c r="GV98" s="18">
        <f>GU98*VLOOKUP('Données projet'!$B$18,Paramètres!$A$1:$I$89,3,0)*VLOOKUP('Données projet'!$B$18,Paramètres!$A$1:$I$89,5,0)</f>
        <v>320.62680000000012</v>
      </c>
      <c r="GW98" s="14">
        <f t="shared" si="105"/>
        <v>75.483756735990909</v>
      </c>
      <c r="GX98" s="22">
        <f t="shared" si="82"/>
        <v>689.89255298185105</v>
      </c>
      <c r="GY98" s="62">
        <f t="shared" si="83"/>
        <v>983.22588631518443</v>
      </c>
      <c r="GZ98" s="62">
        <f ca="1">AVERAGE(OFFSET($GY$3,0,0,'Données projet'!$E$18+1,1))-AVERAGE(OFFSET($H$3,0,0,'Données projet'!$E$18+1,1))</f>
        <v>562.69380557620775</v>
      </c>
      <c r="HA98" s="62">
        <f t="shared" si="106"/>
        <v>294.45557293177131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337.40000000000009</v>
      </c>
      <c r="O99" s="14">
        <f>N99*VLOOKUP('Données projet'!$B$9,Paramètres!$A$1:$I$89,3,0)*VLOOKUP('Données projet'!$B$9,Paramètres!$A$1:$I$89,5,0)</f>
        <v>305.27952000000005</v>
      </c>
      <c r="P99" s="14">
        <f t="shared" si="87"/>
        <v>72.282127407576866</v>
      </c>
      <c r="Q99" s="22">
        <f t="shared" ref="Q99:Q130" si="107">(O99+P99)*0.475*44/12</f>
        <v>657.58653590152971</v>
      </c>
      <c r="R99" s="62">
        <f t="shared" si="55"/>
        <v>950.91986923486297</v>
      </c>
      <c r="S99" s="62">
        <f ca="1">AVERAGE(OFFSET($R$3,0,0,'Données projet'!$E$9+1,1))-AVERAGE(OFFSET($H$3,0,0,'Données projet'!$E$9+1,1))</f>
        <v>529.25712986118265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8.8675733422860506E-14</v>
      </c>
      <c r="AK99" s="14">
        <f t="shared" si="89"/>
        <v>1.3509285393066301E-12</v>
      </c>
      <c r="AL99" s="22">
        <f t="shared" si="58"/>
        <v>2.5073107750038623E-12</v>
      </c>
      <c r="AM99" s="62">
        <f t="shared" si="59"/>
        <v>293.33333333333582</v>
      </c>
      <c r="AN99" s="62">
        <f ca="1">AVERAGE(OFFSET($AM$3,0,0,'Données projet'!$E$10+1,1))-AVERAGE(OFFSET($H$3,0,0,'Données projet'!$E$10+1,1))</f>
        <v>292.57482726862594</v>
      </c>
      <c r="AO99" s="62">
        <f t="shared" si="90"/>
        <v>283.48738729114024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-3.4106051316484809E-13</v>
      </c>
      <c r="BE99" s="14">
        <f>BD99*VLOOKUP('Données projet'!$B$11,Paramètres!$A$1:$I$89,3,0)*VLOOKUP('Données projet'!$B$11,Paramètres!$A$1:$I$89,5,0)</f>
        <v>-2.5006556825246659E-13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397.24545766894346</v>
      </c>
      <c r="BJ99" s="62">
        <f t="shared" si="92"/>
        <v>431.44557882369696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2.2737367544323206E-13</v>
      </c>
      <c r="BZ99" s="14">
        <f>BY99*VLOOKUP('Données projet'!$B$12,Paramètres!$A$1:$I$89,3,0)*VLOOKUP('Données projet'!$B$12,Paramètres!$A$1:$I$89,5,0)</f>
        <v>1.4897523215040565E-13</v>
      </c>
      <c r="CA99" s="14">
        <f t="shared" si="93"/>
        <v>2.136562777003313E-12</v>
      </c>
      <c r="CB99" s="22">
        <f t="shared" si="64"/>
        <v>3.9806453659427267E-12</v>
      </c>
      <c r="CC99" s="62">
        <f t="shared" si="65"/>
        <v>293.33333333333729</v>
      </c>
      <c r="CD99" s="62">
        <f ca="1">AVERAGE(OFFSET($CC$3,0,0,'Données projet'!$E$12+1,1))-AVERAGE(OFFSET($H$3,0,0,'Données projet'!$E$12+1,1))</f>
        <v>277.27246253233807</v>
      </c>
      <c r="CE99" s="62">
        <f t="shared" si="94"/>
        <v>269.61868559913404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238.73615999999996</v>
      </c>
      <c r="CV99" s="14">
        <f t="shared" si="95"/>
        <v>58.167525647006343</v>
      </c>
      <c r="CW99" s="22">
        <f t="shared" si="67"/>
        <v>517.10725250186931</v>
      </c>
      <c r="CX99" s="62">
        <f t="shared" si="68"/>
        <v>810.44058583520268</v>
      </c>
      <c r="CY99" s="62">
        <f ca="1">AVERAGE(OFFSET($CX$3,0,0,'Données projet'!$E$13+1,1))-AVERAGE(OFFSET($H$3,0,0,'Données projet'!$E$13+1,1))</f>
        <v>402.15128814037058</v>
      </c>
      <c r="CZ99" s="62">
        <f t="shared" si="96"/>
        <v>232.85411068442738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4.2307692307692264</v>
      </c>
      <c r="DO99" s="13">
        <f>IF('Données projet'!$A$166&gt;35,DO98+DN99-DW98,IF(A99&lt;'Données projet'!$A$166,$DL$205^A99,IF(A99='Données projet'!$A$166,'Données projet'!$B$166,DO98+DN99-DW98)))</f>
        <v>304.87179487179469</v>
      </c>
      <c r="DP99" s="18">
        <f>DO99*VLOOKUP('Données projet'!$B$14,Paramètres!$A$1:$I$89,3,0)*VLOOKUP('Données projet'!$B$14,Paramètres!$A$1:$I$89,5,0)</f>
        <v>290.11599999999987</v>
      </c>
      <c r="DQ99" s="14">
        <f t="shared" si="97"/>
        <v>69.100374668319702</v>
      </c>
      <c r="DR99" s="22">
        <f t="shared" si="70"/>
        <v>625.63518588065665</v>
      </c>
      <c r="DS99" s="62">
        <f t="shared" si="71"/>
        <v>918.96851921399002</v>
      </c>
      <c r="DT99" s="62">
        <f ca="1">AVERAGE(OFFSET($DS$3,0,0,'Données projet'!$E$14+1,1))-AVERAGE(OFFSET($H$3,0,0,'Données projet'!$E$14+1,1))</f>
        <v>485.18236169209541</v>
      </c>
      <c r="DU99" s="62">
        <f t="shared" si="98"/>
        <v>417.30339652956951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-3.4106051316484809E-13</v>
      </c>
      <c r="EK99" s="18">
        <f>EJ99*VLOOKUP('Données projet'!$B$15,Paramètres!$A$1:$I$89,3,0)*VLOOKUP('Données projet'!$B$15,Paramètres!$A$1:$I$89,5,0)</f>
        <v>-2.7134774427395314E-13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427.78067187784063</v>
      </c>
      <c r="EP99" s="62">
        <f t="shared" si="100"/>
        <v>464.22892523825118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>
        <f>VLOOKUP(A99,'Données projet'!$A$217:$I$237,2,0)</f>
        <v>557</v>
      </c>
      <c r="FC99" s="13">
        <f>VLOOKUP(A99,'Données projet'!$A$217:$I$237,9,0)</f>
        <v>11.333333333333334</v>
      </c>
      <c r="FD99" s="13">
        <f t="array" ref="FD99">INDEX(FC:FC,MIN(IF(ISNUMBER(FC99:FC295),ROW(FC99:FC295),"")))</f>
        <v>11.333333333333334</v>
      </c>
      <c r="FE99" s="13">
        <f>IF('Données projet'!$A$218&gt;35,FE98+FD99-FM98,IF(A99&lt;'Données projet'!$A$218,$FB$205^A99,IF(A99='Données projet'!$A$218,'Données projet'!$B$218,FE98+FD99-FM98)))</f>
        <v>556.99999999999977</v>
      </c>
      <c r="FF99" s="18">
        <f>FE99*VLOOKUP('Données projet'!$B$16,Paramètres!$A$1:$I$89,3,0)*VLOOKUP('Données projet'!$B$16,Paramètres!$A$1:$I$89,5,0)</f>
        <v>477.90599999999989</v>
      </c>
      <c r="FG99" s="14">
        <f t="shared" si="101"/>
        <v>107.4036604395269</v>
      </c>
      <c r="FH99" s="22">
        <f t="shared" si="76"/>
        <v>1019.4143252655093</v>
      </c>
      <c r="FI99" s="62">
        <f t="shared" si="77"/>
        <v>1312.7476585988427</v>
      </c>
      <c r="FJ99" s="62">
        <f ca="1">AVERAGE(OFFSET($FI$3,0,0,'Données projet'!$E$16+1,1))-AVERAGE(OFFSET($H$3,0,0,'Données projet'!$E$16+1,1))</f>
        <v>448.44001099301806</v>
      </c>
      <c r="FK99" s="62">
        <f t="shared" si="102"/>
        <v>230.82970731138215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4.3589743589743533</v>
      </c>
      <c r="FZ99" s="13">
        <f>IF('Données projet'!$A$244&gt;35,FZ98+FY99-GH98,IF(A99&lt;'Données projet'!$A$244,$FW$205^A99,IF(A99='Données projet'!$A$244,'Données projet'!$B$244,FZ98+FY99-GH98)))</f>
        <v>380.64102564102546</v>
      </c>
      <c r="GA99" s="18">
        <f>FZ99*VLOOKUP('Données projet'!$B$17,Paramètres!$A$1:$I$89,3,0)*VLOOKUP('Données projet'!$B$17,Paramètres!$A$1:$I$89,5,0)</f>
        <v>255.33399999999989</v>
      </c>
      <c r="GB99" s="14">
        <f t="shared" si="103"/>
        <v>61.726729480399626</v>
      </c>
      <c r="GC99" s="22">
        <f t="shared" si="79"/>
        <v>552.21410384502917</v>
      </c>
      <c r="GD99" s="62">
        <f t="shared" si="80"/>
        <v>845.54743717836254</v>
      </c>
      <c r="GE99" s="62">
        <f ca="1">AVERAGE(OFFSET($GD$3,0,0,'Données projet'!$E$17+1,1))-AVERAGE(OFFSET($H$3,0,0,'Données projet'!$E$17+1,1))</f>
        <v>408.91016501484626</v>
      </c>
      <c r="GF99" s="62">
        <f t="shared" si="104"/>
        <v>354.22396807666433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5.9</v>
      </c>
      <c r="GU99" s="13">
        <f>IF('Données projet'!$A$270&gt;35,GU98+GT99-HC98,IF(A99&lt;'Données projet'!$A$270,$GR$205^A99,IF(A99='Données projet'!$A$270,'Données projet'!$B$270,GU98+GT99-HC98)))</f>
        <v>337.40000000000009</v>
      </c>
      <c r="GV99" s="18">
        <f>GU99*VLOOKUP('Données projet'!$B$18,Paramètres!$A$1:$I$89,3,0)*VLOOKUP('Données projet'!$B$18,Paramètres!$A$1:$I$89,5,0)</f>
        <v>326.33328000000006</v>
      </c>
      <c r="GW99" s="14">
        <f t="shared" si="105"/>
        <v>76.669608914490098</v>
      </c>
      <c r="GX99" s="22">
        <f t="shared" si="82"/>
        <v>701.89669819273695</v>
      </c>
      <c r="GY99" s="62">
        <f t="shared" si="83"/>
        <v>995.23003152607021</v>
      </c>
      <c r="GZ99" s="62">
        <f ca="1">AVERAGE(OFFSET($GY$3,0,0,'Données projet'!$E$18+1,1))-AVERAGE(OFFSET($H$3,0,0,'Données projet'!$E$18+1,1))</f>
        <v>562.69380557620775</v>
      </c>
      <c r="HA99" s="62">
        <f t="shared" si="106"/>
        <v>294.45557293177131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343.30000000000007</v>
      </c>
      <c r="O100" s="14">
        <f>N100*VLOOKUP('Données projet'!$B$9,Paramètres!$A$1:$I$89,3,0)*VLOOKUP('Données projet'!$B$9,Paramètres!$A$1:$I$89,5,0)</f>
        <v>310.61784000000006</v>
      </c>
      <c r="P100" s="14">
        <f t="shared" si="87"/>
        <v>73.397844798859666</v>
      </c>
      <c r="Q100" s="22">
        <f t="shared" si="107"/>
        <v>668.82731769134739</v>
      </c>
      <c r="R100" s="62">
        <f t="shared" si="55"/>
        <v>962.16065102468065</v>
      </c>
      <c r="S100" s="62">
        <f ca="1">AVERAGE(OFFSET($R$3,0,0,'Données projet'!$E$9+1,1))-AVERAGE(OFFSET($H$3,0,0,'Données projet'!$E$9+1,1))</f>
        <v>529.25712986118265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8.8675733422860506E-14</v>
      </c>
      <c r="AK100" s="14">
        <f t="shared" si="89"/>
        <v>1.3509285393066301E-12</v>
      </c>
      <c r="AL100" s="22">
        <f t="shared" si="58"/>
        <v>2.5073107750038623E-12</v>
      </c>
      <c r="AM100" s="62">
        <f t="shared" si="59"/>
        <v>293.33333333333582</v>
      </c>
      <c r="AN100" s="62">
        <f ca="1">AVERAGE(OFFSET($AM$3,0,0,'Données projet'!$E$10+1,1))-AVERAGE(OFFSET($H$3,0,0,'Données projet'!$E$10+1,1))</f>
        <v>292.57482726862594</v>
      </c>
      <c r="AO100" s="62">
        <f t="shared" si="90"/>
        <v>283.48738729114024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-3.4106051316484809E-13</v>
      </c>
      <c r="BE100" s="14">
        <f>BD100*VLOOKUP('Données projet'!$B$11,Paramètres!$A$1:$I$89,3,0)*VLOOKUP('Données projet'!$B$11,Paramètres!$A$1:$I$89,5,0)</f>
        <v>-2.5006556825246659E-13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397.24545766894346</v>
      </c>
      <c r="BJ100" s="62">
        <f t="shared" si="92"/>
        <v>431.44557882369696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2.2737367544323206E-13</v>
      </c>
      <c r="BZ100" s="14">
        <f>BY100*VLOOKUP('Données projet'!$B$12,Paramètres!$A$1:$I$89,3,0)*VLOOKUP('Données projet'!$B$12,Paramètres!$A$1:$I$89,5,0)</f>
        <v>1.4897523215040565E-13</v>
      </c>
      <c r="CA100" s="14">
        <f t="shared" si="93"/>
        <v>2.136562777003313E-12</v>
      </c>
      <c r="CB100" s="22">
        <f t="shared" si="64"/>
        <v>3.9806453659427267E-12</v>
      </c>
      <c r="CC100" s="62">
        <f t="shared" si="65"/>
        <v>293.33333333333729</v>
      </c>
      <c r="CD100" s="62">
        <f ca="1">AVERAGE(OFFSET($CC$3,0,0,'Données projet'!$E$12+1,1))-AVERAGE(OFFSET($H$3,0,0,'Données projet'!$E$12+1,1))</f>
        <v>277.27246253233807</v>
      </c>
      <c r="CE100" s="62">
        <f t="shared" si="94"/>
        <v>269.61868559913404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242.86391999999995</v>
      </c>
      <c r="CV100" s="14">
        <f t="shared" si="95"/>
        <v>59.055290768146357</v>
      </c>
      <c r="CW100" s="22">
        <f t="shared" si="67"/>
        <v>525.84262542118813</v>
      </c>
      <c r="CX100" s="62">
        <f t="shared" si="68"/>
        <v>819.17595875452139</v>
      </c>
      <c r="CY100" s="62">
        <f ca="1">AVERAGE(OFFSET($CX$3,0,0,'Données projet'!$E$13+1,1))-AVERAGE(OFFSET($H$3,0,0,'Données projet'!$E$13+1,1))</f>
        <v>402.15128814037058</v>
      </c>
      <c r="CZ100" s="62">
        <f t="shared" si="96"/>
        <v>232.85411068442738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4.2307692307692264</v>
      </c>
      <c r="DO100" s="13">
        <f>IF('Données projet'!$A$166&gt;35,DO99+DN100-DW99,IF(A100&lt;'Données projet'!$A$166,$DL$205^A100,IF(A100='Données projet'!$A$166,'Données projet'!$B$166,DO99+DN100-DW99)))</f>
        <v>309.10256410256392</v>
      </c>
      <c r="DP100" s="18">
        <f>DO100*VLOOKUP('Données projet'!$B$14,Paramètres!$A$1:$I$89,3,0)*VLOOKUP('Données projet'!$B$14,Paramètres!$A$1:$I$89,5,0)</f>
        <v>294.14199999999983</v>
      </c>
      <c r="DQ100" s="14">
        <f t="shared" si="97"/>
        <v>69.946995786656629</v>
      </c>
      <c r="DR100" s="22">
        <f t="shared" si="70"/>
        <v>634.12166766175994</v>
      </c>
      <c r="DS100" s="62">
        <f t="shared" si="71"/>
        <v>927.45500099509331</v>
      </c>
      <c r="DT100" s="62">
        <f ca="1">AVERAGE(OFFSET($DS$3,0,0,'Données projet'!$E$14+1,1))-AVERAGE(OFFSET($H$3,0,0,'Données projet'!$E$14+1,1))</f>
        <v>485.18236169209541</v>
      </c>
      <c r="DU100" s="62">
        <f t="shared" si="98"/>
        <v>417.30339652956951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-3.4106051316484809E-13</v>
      </c>
      <c r="EK100" s="18">
        <f>EJ100*VLOOKUP('Données projet'!$B$15,Paramètres!$A$1:$I$89,3,0)*VLOOKUP('Données projet'!$B$15,Paramètres!$A$1:$I$89,5,0)</f>
        <v>-2.7134774427395314E-13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427.78067187784063</v>
      </c>
      <c r="EP100" s="62">
        <f t="shared" si="100"/>
        <v>464.22892523825118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11.333333333333334</v>
      </c>
      <c r="FE100" s="13">
        <f>IF('Données projet'!$A$218&gt;35,FE99+FD100-FM99,IF(A100&lt;'Données projet'!$A$218,$FB$205^A100,IF(A100='Données projet'!$A$218,'Données projet'!$B$218,FE99+FD100-FM99)))</f>
        <v>568.33333333333314</v>
      </c>
      <c r="FF100" s="18">
        <f>FE100*VLOOKUP('Données projet'!$B$16,Paramètres!$A$1:$I$89,3,0)*VLOOKUP('Données projet'!$B$16,Paramètres!$A$1:$I$89,5,0)</f>
        <v>487.62999999999988</v>
      </c>
      <c r="FG100" s="14">
        <f t="shared" si="101"/>
        <v>109.33236859887117</v>
      </c>
      <c r="FH100" s="22">
        <f t="shared" si="76"/>
        <v>1039.7094586430337</v>
      </c>
      <c r="FI100" s="62">
        <f t="shared" si="77"/>
        <v>1333.042791976367</v>
      </c>
      <c r="FJ100" s="62">
        <f ca="1">AVERAGE(OFFSET($FI$3,0,0,'Données projet'!$E$16+1,1))-AVERAGE(OFFSET($H$3,0,0,'Données projet'!$E$16+1,1))</f>
        <v>448.44001099301806</v>
      </c>
      <c r="FK100" s="62">
        <f t="shared" si="102"/>
        <v>230.82970731138215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4.3589743589743533</v>
      </c>
      <c r="FZ100" s="13">
        <f>IF('Données projet'!$A$244&gt;35,FZ99+FY100-GH99,IF(A100&lt;'Données projet'!$A$244,$FW$205^A100,IF(A100='Données projet'!$A$244,'Données projet'!$B$244,FZ99+FY100-GH99)))</f>
        <v>384.99999999999983</v>
      </c>
      <c r="GA100" s="18">
        <f>FZ100*VLOOKUP('Données projet'!$B$17,Paramètres!$A$1:$I$89,3,0)*VLOOKUP('Données projet'!$B$17,Paramètres!$A$1:$I$89,5,0)</f>
        <v>258.25799999999987</v>
      </c>
      <c r="GB100" s="14">
        <f t="shared" si="103"/>
        <v>62.350908795595359</v>
      </c>
      <c r="GC100" s="22">
        <f t="shared" si="79"/>
        <v>558.39384948566158</v>
      </c>
      <c r="GD100" s="62">
        <f t="shared" si="80"/>
        <v>851.72718281899483</v>
      </c>
      <c r="GE100" s="62">
        <f ca="1">AVERAGE(OFFSET($GD$3,0,0,'Données projet'!$E$17+1,1))-AVERAGE(OFFSET($H$3,0,0,'Données projet'!$E$17+1,1))</f>
        <v>408.91016501484626</v>
      </c>
      <c r="GF100" s="62">
        <f t="shared" si="104"/>
        <v>354.22396807666433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5.9</v>
      </c>
      <c r="GU100" s="13">
        <f>IF('Données projet'!$A$270&gt;35,GU99+GT100-HC99,IF(A100&lt;'Données projet'!$A$270,$GR$205^A100,IF(A100='Données projet'!$A$270,'Données projet'!$B$270,GU99+GT100-HC99)))</f>
        <v>343.30000000000007</v>
      </c>
      <c r="GV100" s="18">
        <f>GU100*VLOOKUP('Données projet'!$B$18,Paramètres!$A$1:$I$89,3,0)*VLOOKUP('Données projet'!$B$18,Paramètres!$A$1:$I$89,5,0)</f>
        <v>332.03976000000006</v>
      </c>
      <c r="GW100" s="14">
        <f t="shared" si="105"/>
        <v>77.853049678019573</v>
      </c>
      <c r="GX100" s="22">
        <f t="shared" si="82"/>
        <v>713.89664352255079</v>
      </c>
      <c r="GY100" s="62">
        <f t="shared" si="83"/>
        <v>1007.2299768558842</v>
      </c>
      <c r="GZ100" s="62">
        <f ca="1">AVERAGE(OFFSET($GY$3,0,0,'Données projet'!$E$18+1,1))-AVERAGE(OFFSET($H$3,0,0,'Données projet'!$E$18+1,1))</f>
        <v>562.69380557620775</v>
      </c>
      <c r="HA100" s="62">
        <f t="shared" si="106"/>
        <v>294.45557293177131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349.20000000000005</v>
      </c>
      <c r="O101" s="14">
        <f>N101*VLOOKUP('Données projet'!$B$9,Paramètres!$A$1:$I$89,3,0)*VLOOKUP('Données projet'!$B$9,Paramètres!$A$1:$I$89,5,0)</f>
        <v>315.95616000000001</v>
      </c>
      <c r="P101" s="14">
        <f t="shared" si="87"/>
        <v>74.511332350301046</v>
      </c>
      <c r="Q101" s="22">
        <f t="shared" si="107"/>
        <v>680.06421584344105</v>
      </c>
      <c r="R101" s="62">
        <f t="shared" si="55"/>
        <v>973.39754917677442</v>
      </c>
      <c r="S101" s="62">
        <f ca="1">AVERAGE(OFFSET($R$3,0,0,'Données projet'!$E$9+1,1))-AVERAGE(OFFSET($H$3,0,0,'Données projet'!$E$9+1,1))</f>
        <v>529.25712986118265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8.8675733422860506E-14</v>
      </c>
      <c r="AK101" s="14">
        <f t="shared" si="89"/>
        <v>1.3509285393066301E-12</v>
      </c>
      <c r="AL101" s="22">
        <f t="shared" si="58"/>
        <v>2.5073107750038623E-12</v>
      </c>
      <c r="AM101" s="62">
        <f t="shared" si="59"/>
        <v>293.33333333333582</v>
      </c>
      <c r="AN101" s="62">
        <f ca="1">AVERAGE(OFFSET($AM$3,0,0,'Données projet'!$E$10+1,1))-AVERAGE(OFFSET($H$3,0,0,'Données projet'!$E$10+1,1))</f>
        <v>292.57482726862594</v>
      </c>
      <c r="AO101" s="62">
        <f t="shared" si="90"/>
        <v>283.48738729114024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-3.4106051316484809E-13</v>
      </c>
      <c r="BE101" s="14">
        <f>BD101*VLOOKUP('Données projet'!$B$11,Paramètres!$A$1:$I$89,3,0)*VLOOKUP('Données projet'!$B$11,Paramètres!$A$1:$I$89,5,0)</f>
        <v>-2.5006556825246659E-13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397.24545766894346</v>
      </c>
      <c r="BJ101" s="62">
        <f t="shared" si="92"/>
        <v>431.44557882369696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2.2737367544323206E-13</v>
      </c>
      <c r="BZ101" s="14">
        <f>BY101*VLOOKUP('Données projet'!$B$12,Paramètres!$A$1:$I$89,3,0)*VLOOKUP('Données projet'!$B$12,Paramètres!$A$1:$I$89,5,0)</f>
        <v>1.4897523215040565E-13</v>
      </c>
      <c r="CA101" s="14">
        <f t="shared" si="93"/>
        <v>2.136562777003313E-12</v>
      </c>
      <c r="CB101" s="22">
        <f t="shared" si="64"/>
        <v>3.9806453659427267E-12</v>
      </c>
      <c r="CC101" s="62">
        <f t="shared" si="65"/>
        <v>293.33333333333729</v>
      </c>
      <c r="CD101" s="62">
        <f ca="1">AVERAGE(OFFSET($CC$3,0,0,'Données projet'!$E$12+1,1))-AVERAGE(OFFSET($H$3,0,0,'Données projet'!$E$12+1,1))</f>
        <v>277.27246253233807</v>
      </c>
      <c r="CE101" s="62">
        <f t="shared" si="94"/>
        <v>269.61868559913404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246.99167999999992</v>
      </c>
      <c r="CV101" s="14">
        <f t="shared" si="95"/>
        <v>59.941301220789747</v>
      </c>
      <c r="CW101" s="22">
        <f t="shared" si="67"/>
        <v>534.57494229287533</v>
      </c>
      <c r="CX101" s="62">
        <f t="shared" si="68"/>
        <v>827.90827562620871</v>
      </c>
      <c r="CY101" s="62">
        <f ca="1">AVERAGE(OFFSET($CX$3,0,0,'Données projet'!$E$13+1,1))-AVERAGE(OFFSET($H$3,0,0,'Données projet'!$E$13+1,1))</f>
        <v>402.15128814037058</v>
      </c>
      <c r="CZ101" s="62">
        <f t="shared" si="96"/>
        <v>232.85411068442738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4.2307692307692264</v>
      </c>
      <c r="DO101" s="13">
        <f>IF('Données projet'!$A$166&gt;35,DO100+DN101-DW100,IF(A101&lt;'Données projet'!$A$166,$DL$205^A101,IF(A101='Données projet'!$A$166,'Données projet'!$B$166,DO100+DN101-DW100)))</f>
        <v>313.33333333333314</v>
      </c>
      <c r="DP101" s="18">
        <f>DO101*VLOOKUP('Données projet'!$B$14,Paramètres!$A$1:$I$89,3,0)*VLOOKUP('Données projet'!$B$14,Paramètres!$A$1:$I$89,5,0)</f>
        <v>298.16799999999984</v>
      </c>
      <c r="DQ101" s="14">
        <f t="shared" si="97"/>
        <v>70.792269099464875</v>
      </c>
      <c r="DR101" s="22">
        <f t="shared" si="70"/>
        <v>642.60580201490109</v>
      </c>
      <c r="DS101" s="62">
        <f t="shared" si="71"/>
        <v>935.93913534823446</v>
      </c>
      <c r="DT101" s="62">
        <f ca="1">AVERAGE(OFFSET($DS$3,0,0,'Données projet'!$E$14+1,1))-AVERAGE(OFFSET($H$3,0,0,'Données projet'!$E$14+1,1))</f>
        <v>485.18236169209541</v>
      </c>
      <c r="DU101" s="62">
        <f t="shared" si="98"/>
        <v>417.30339652956951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-3.4106051316484809E-13</v>
      </c>
      <c r="EK101" s="18">
        <f>EJ101*VLOOKUP('Données projet'!$B$15,Paramètres!$A$1:$I$89,3,0)*VLOOKUP('Données projet'!$B$15,Paramètres!$A$1:$I$89,5,0)</f>
        <v>-2.7134774427395314E-13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427.78067187784063</v>
      </c>
      <c r="EP101" s="62">
        <f t="shared" si="100"/>
        <v>464.22892523825118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11.333333333333334</v>
      </c>
      <c r="FE101" s="13">
        <f>IF('Données projet'!$A$218&gt;35,FE100+FD101-FM100,IF(A101&lt;'Données projet'!$A$218,$FB$205^A101,IF(A101='Données projet'!$A$218,'Données projet'!$B$218,FE100+FD101-FM100)))</f>
        <v>579.66666666666652</v>
      </c>
      <c r="FF101" s="18">
        <f>FE101*VLOOKUP('Données projet'!$B$16,Paramètres!$A$1:$I$89,3,0)*VLOOKUP('Données projet'!$B$16,Paramètres!$A$1:$I$89,5,0)</f>
        <v>497.35399999999993</v>
      </c>
      <c r="FG101" s="14">
        <f t="shared" si="101"/>
        <v>111.25660477134088</v>
      </c>
      <c r="FH101" s="22">
        <f t="shared" si="76"/>
        <v>1059.9968033100852</v>
      </c>
      <c r="FI101" s="62">
        <f t="shared" si="77"/>
        <v>1353.3301366434184</v>
      </c>
      <c r="FJ101" s="62">
        <f ca="1">AVERAGE(OFFSET($FI$3,0,0,'Données projet'!$E$16+1,1))-AVERAGE(OFFSET($H$3,0,0,'Données projet'!$E$16+1,1))</f>
        <v>448.44001099301806</v>
      </c>
      <c r="FK101" s="62">
        <f t="shared" si="102"/>
        <v>230.82970731138215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4.3589743589743533</v>
      </c>
      <c r="FZ101" s="13">
        <f>IF('Données projet'!$A$244&gt;35,FZ100+FY101-GH100,IF(A101&lt;'Données projet'!$A$244,$FW$205^A101,IF(A101='Données projet'!$A$244,'Données projet'!$B$244,FZ100+FY101-GH100)))</f>
        <v>389.35897435897419</v>
      </c>
      <c r="GA101" s="18">
        <f>FZ101*VLOOKUP('Données projet'!$B$17,Paramètres!$A$1:$I$89,3,0)*VLOOKUP('Données projet'!$B$17,Paramètres!$A$1:$I$89,5,0)</f>
        <v>261.1819999999999</v>
      </c>
      <c r="GB101" s="14">
        <f t="shared" si="103"/>
        <v>62.974266039262851</v>
      </c>
      <c r="GC101" s="22">
        <f t="shared" si="79"/>
        <v>564.57216335171586</v>
      </c>
      <c r="GD101" s="62">
        <f t="shared" si="80"/>
        <v>857.90549668504923</v>
      </c>
      <c r="GE101" s="62">
        <f ca="1">AVERAGE(OFFSET($GD$3,0,0,'Données projet'!$E$17+1,1))-AVERAGE(OFFSET($H$3,0,0,'Données projet'!$E$17+1,1))</f>
        <v>408.91016501484626</v>
      </c>
      <c r="GF101" s="62">
        <f t="shared" si="104"/>
        <v>354.22396807666433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5.9</v>
      </c>
      <c r="GU101" s="13">
        <f>IF('Données projet'!$A$270&gt;35,GU100+GT101-HC100,IF(A101&lt;'Données projet'!$A$270,$GR$205^A101,IF(A101='Données projet'!$A$270,'Données projet'!$B$270,GU100+GT101-HC100)))</f>
        <v>349.20000000000005</v>
      </c>
      <c r="GV101" s="18">
        <f>GU101*VLOOKUP('Données projet'!$B$18,Paramètres!$A$1:$I$89,3,0)*VLOOKUP('Données projet'!$B$18,Paramètres!$A$1:$I$89,5,0)</f>
        <v>337.74624000000006</v>
      </c>
      <c r="GW101" s="14">
        <f t="shared" si="105"/>
        <v>79.034125251774896</v>
      </c>
      <c r="GX101" s="22">
        <f t="shared" si="82"/>
        <v>725.89246948017455</v>
      </c>
      <c r="GY101" s="62">
        <f t="shared" si="83"/>
        <v>1019.2258028135079</v>
      </c>
      <c r="GZ101" s="62">
        <f ca="1">AVERAGE(OFFSET($GY$3,0,0,'Données projet'!$E$18+1,1))-AVERAGE(OFFSET($H$3,0,0,'Données projet'!$E$18+1,1))</f>
        <v>562.69380557620775</v>
      </c>
      <c r="HA101" s="62">
        <f t="shared" si="106"/>
        <v>294.45557293177131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355.1</v>
      </c>
      <c r="O102" s="14">
        <f>N102*VLOOKUP('Données projet'!$B$9,Paramètres!$A$1:$I$89,3,0)*VLOOKUP('Données projet'!$B$9,Paramètres!$A$1:$I$89,5,0)</f>
        <v>321.29448000000002</v>
      </c>
      <c r="P102" s="14">
        <f t="shared" si="87"/>
        <v>75.622632084792471</v>
      </c>
      <c r="Q102" s="22">
        <f t="shared" si="107"/>
        <v>691.29730354768026</v>
      </c>
      <c r="R102" s="62">
        <f t="shared" si="55"/>
        <v>984.63063688101352</v>
      </c>
      <c r="S102" s="62">
        <f ca="1">AVERAGE(OFFSET($R$3,0,0,'Données projet'!$E$9+1,1))-AVERAGE(OFFSET($H$3,0,0,'Données projet'!$E$9+1,1))</f>
        <v>529.25712986118265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8.8675733422860506E-14</v>
      </c>
      <c r="AK102" s="14">
        <f t="shared" si="89"/>
        <v>1.3509285393066301E-12</v>
      </c>
      <c r="AL102" s="22">
        <f t="shared" si="58"/>
        <v>2.5073107750038623E-12</v>
      </c>
      <c r="AM102" s="62">
        <f t="shared" si="59"/>
        <v>293.33333333333582</v>
      </c>
      <c r="AN102" s="62">
        <f ca="1">AVERAGE(OFFSET($AM$3,0,0,'Données projet'!$E$10+1,1))-AVERAGE(OFFSET($H$3,0,0,'Données projet'!$E$10+1,1))</f>
        <v>292.57482726862594</v>
      </c>
      <c r="AO102" s="62">
        <f t="shared" si="90"/>
        <v>283.48738729114024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-3.4106051316484809E-13</v>
      </c>
      <c r="BE102" s="14">
        <f>BD102*VLOOKUP('Données projet'!$B$11,Paramètres!$A$1:$I$89,3,0)*VLOOKUP('Données projet'!$B$11,Paramètres!$A$1:$I$89,5,0)</f>
        <v>-2.5006556825246659E-13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397.24545766894346</v>
      </c>
      <c r="BJ102" s="62">
        <f t="shared" si="92"/>
        <v>431.44557882369696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2.2737367544323206E-13</v>
      </c>
      <c r="BZ102" s="14">
        <f>BY102*VLOOKUP('Données projet'!$B$12,Paramètres!$A$1:$I$89,3,0)*VLOOKUP('Données projet'!$B$12,Paramètres!$A$1:$I$89,5,0)</f>
        <v>1.4897523215040565E-13</v>
      </c>
      <c r="CA102" s="14">
        <f t="shared" si="93"/>
        <v>2.136562777003313E-12</v>
      </c>
      <c r="CB102" s="22">
        <f t="shared" si="64"/>
        <v>3.9806453659427267E-12</v>
      </c>
      <c r="CC102" s="62">
        <f t="shared" si="65"/>
        <v>293.33333333333729</v>
      </c>
      <c r="CD102" s="62">
        <f ca="1">AVERAGE(OFFSET($CC$3,0,0,'Données projet'!$E$12+1,1))-AVERAGE(OFFSET($H$3,0,0,'Données projet'!$E$12+1,1))</f>
        <v>277.27246253233807</v>
      </c>
      <c r="CE102" s="62">
        <f t="shared" si="94"/>
        <v>269.61868559913404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251.11943999999991</v>
      </c>
      <c r="CV102" s="14">
        <f t="shared" si="95"/>
        <v>60.825589713796923</v>
      </c>
      <c r="CW102" s="22">
        <f t="shared" si="67"/>
        <v>543.30426008486279</v>
      </c>
      <c r="CX102" s="62">
        <f t="shared" si="68"/>
        <v>836.63759341819605</v>
      </c>
      <c r="CY102" s="62">
        <f ca="1">AVERAGE(OFFSET($CX$3,0,0,'Données projet'!$E$13+1,1))-AVERAGE(OFFSET($H$3,0,0,'Données projet'!$E$13+1,1))</f>
        <v>402.15128814037058</v>
      </c>
      <c r="CZ102" s="62">
        <f t="shared" si="96"/>
        <v>232.85411068442738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4.2307692307692264</v>
      </c>
      <c r="DO102" s="13">
        <f>IF('Données projet'!$A$166&gt;35,DO101+DN102-DW101,IF(A102&lt;'Données projet'!$A$166,$DL$205^A102,IF(A102='Données projet'!$A$166,'Données projet'!$B$166,DO101+DN102-DW101)))</f>
        <v>317.56410256410237</v>
      </c>
      <c r="DP102" s="18">
        <f>DO102*VLOOKUP('Données projet'!$B$14,Paramètres!$A$1:$I$89,3,0)*VLOOKUP('Données projet'!$B$14,Paramètres!$A$1:$I$89,5,0)</f>
        <v>302.19399999999979</v>
      </c>
      <c r="DQ102" s="14">
        <f t="shared" si="97"/>
        <v>71.636214909038259</v>
      </c>
      <c r="DR102" s="22">
        <f t="shared" si="70"/>
        <v>651.08762429990782</v>
      </c>
      <c r="DS102" s="62">
        <f t="shared" si="71"/>
        <v>944.42095763324119</v>
      </c>
      <c r="DT102" s="62">
        <f ca="1">AVERAGE(OFFSET($DS$3,0,0,'Données projet'!$E$14+1,1))-AVERAGE(OFFSET($H$3,0,0,'Données projet'!$E$14+1,1))</f>
        <v>485.18236169209541</v>
      </c>
      <c r="DU102" s="62">
        <f t="shared" si="98"/>
        <v>417.30339652956951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-3.4106051316484809E-13</v>
      </c>
      <c r="EK102" s="18">
        <f>EJ102*VLOOKUP('Données projet'!$B$15,Paramètres!$A$1:$I$89,3,0)*VLOOKUP('Données projet'!$B$15,Paramètres!$A$1:$I$89,5,0)</f>
        <v>-2.7134774427395314E-13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427.78067187784063</v>
      </c>
      <c r="EP102" s="62">
        <f t="shared" si="100"/>
        <v>464.22892523825118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>
        <f>VLOOKUP(A102,'Données projet'!$A$217:$I$237,2,0)</f>
        <v>591</v>
      </c>
      <c r="FC102" s="13">
        <f>VLOOKUP(A102,'Données projet'!$A$217:$I$237,9,0)</f>
        <v>11.333333333333334</v>
      </c>
      <c r="FD102" s="13">
        <f t="array" ref="FD102">INDEX(FC:FC,MIN(IF(ISNUMBER(FC102:FC298),ROW(FC102:FC298),"")))</f>
        <v>11.333333333333334</v>
      </c>
      <c r="FE102" s="13">
        <f>IF('Données projet'!$A$218&gt;35,FE101+FD102-FM101,IF(A102&lt;'Données projet'!$A$218,$FB$205^A102,IF(A102='Données projet'!$A$218,'Données projet'!$B$218,FE101+FD102-FM101)))</f>
        <v>590.99999999999989</v>
      </c>
      <c r="FF102" s="18">
        <f>FE102*VLOOKUP('Données projet'!$B$16,Paramètres!$A$1:$I$89,3,0)*VLOOKUP('Données projet'!$B$16,Paramètres!$A$1:$I$89,5,0)</f>
        <v>507.07799999999997</v>
      </c>
      <c r="FG102" s="14">
        <f t="shared" si="101"/>
        <v>113.17646646969149</v>
      </c>
      <c r="FH102" s="22">
        <f t="shared" si="76"/>
        <v>1080.2765291013793</v>
      </c>
      <c r="FI102" s="62">
        <f t="shared" si="77"/>
        <v>1373.6098624347126</v>
      </c>
      <c r="FJ102" s="62">
        <f ca="1">AVERAGE(OFFSET($FI$3,0,0,'Données projet'!$E$16+1,1))-AVERAGE(OFFSET($H$3,0,0,'Données projet'!$E$16+1,1))</f>
        <v>448.44001099301806</v>
      </c>
      <c r="FK102" s="62">
        <f t="shared" si="102"/>
        <v>230.82970731138215</v>
      </c>
      <c r="FL102" s="16">
        <f>IF(ISNA(VLOOKUP(A102,'Données projet'!$A$217:$I$237,3,0)),0,VLOOKUP(A102,'Données projet'!$A$217:$I$237,3,0))</f>
        <v>10</v>
      </c>
      <c r="FM102" s="16">
        <f>IF(ISNA(VLOOKUP(A102,'Données projet'!$A$217:$I$237,4,0)),0,VLOOKUP(A102,'Données projet'!$A$217:$I$237,4,0))</f>
        <v>591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4.3589743589743533</v>
      </c>
      <c r="FZ102" s="13">
        <f>IF('Données projet'!$A$244&gt;35,FZ101+FY102-GH101,IF(A102&lt;'Données projet'!$A$244,$FW$205^A102,IF(A102='Données projet'!$A$244,'Données projet'!$B$244,FZ101+FY102-GH101)))</f>
        <v>393.71794871794856</v>
      </c>
      <c r="GA102" s="18">
        <f>FZ102*VLOOKUP('Données projet'!$B$17,Paramètres!$A$1:$I$89,3,0)*VLOOKUP('Données projet'!$B$17,Paramètres!$A$1:$I$89,5,0)</f>
        <v>264.10599999999988</v>
      </c>
      <c r="GB102" s="14">
        <f t="shared" si="103"/>
        <v>63.596811479709409</v>
      </c>
      <c r="GC102" s="22">
        <f t="shared" si="79"/>
        <v>570.74906332716034</v>
      </c>
      <c r="GD102" s="62">
        <f t="shared" si="80"/>
        <v>864.08239666049371</v>
      </c>
      <c r="GE102" s="62">
        <f ca="1">AVERAGE(OFFSET($GD$3,0,0,'Données projet'!$E$17+1,1))-AVERAGE(OFFSET($H$3,0,0,'Données projet'!$E$17+1,1))</f>
        <v>408.91016501484626</v>
      </c>
      <c r="GF102" s="62">
        <f t="shared" si="104"/>
        <v>354.22396807666433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5.9</v>
      </c>
      <c r="GU102" s="13">
        <f>IF('Données projet'!$A$270&gt;35,GU101+GT102-HC101,IF(A102&lt;'Données projet'!$A$270,$GR$205^A102,IF(A102='Données projet'!$A$270,'Données projet'!$B$270,GU101+GT102-HC101)))</f>
        <v>355.1</v>
      </c>
      <c r="GV102" s="18">
        <f>GU102*VLOOKUP('Données projet'!$B$18,Paramètres!$A$1:$I$89,3,0)*VLOOKUP('Données projet'!$B$18,Paramètres!$A$1:$I$89,5,0)</f>
        <v>343.45272</v>
      </c>
      <c r="GW102" s="14">
        <f t="shared" si="105"/>
        <v>80.212880209411935</v>
      </c>
      <c r="GX102" s="22">
        <f t="shared" si="82"/>
        <v>737.88425369805907</v>
      </c>
      <c r="GY102" s="62">
        <f t="shared" si="83"/>
        <v>1031.2175870313924</v>
      </c>
      <c r="GZ102" s="62">
        <f ca="1">AVERAGE(OFFSET($GY$3,0,0,'Données projet'!$E$18+1,1))-AVERAGE(OFFSET($H$3,0,0,'Données projet'!$E$18+1,1))</f>
        <v>562.69380557620775</v>
      </c>
      <c r="HA102" s="62">
        <f t="shared" si="106"/>
        <v>294.45557293177131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361</v>
      </c>
      <c r="O103" s="14">
        <f>N103*VLOOKUP('Données projet'!$B$9,Paramètres!$A$1:$I$89,3,0)*VLOOKUP('Données projet'!$B$9,Paramètres!$A$1:$I$89,5,0)</f>
        <v>326.63280000000003</v>
      </c>
      <c r="P103" s="14">
        <f t="shared" si="87"/>
        <v>76.731784548754845</v>
      </c>
      <c r="Q103" s="22">
        <f t="shared" si="107"/>
        <v>702.52665142241483</v>
      </c>
      <c r="R103" s="62">
        <f t="shared" si="55"/>
        <v>995.8599847557482</v>
      </c>
      <c r="S103" s="62">
        <f ca="1">AVERAGE(OFFSET($R$3,0,0,'Données projet'!$E$9+1,1))-AVERAGE(OFFSET($H$3,0,0,'Données projet'!$E$9+1,1))</f>
        <v>529.25712986118265</v>
      </c>
      <c r="T103" s="62">
        <f t="shared" si="88"/>
        <v>278.21741231699929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8.8675733422860506E-14</v>
      </c>
      <c r="AK103" s="14">
        <f t="shared" si="89"/>
        <v>1.3509285393066301E-12</v>
      </c>
      <c r="AL103" s="22">
        <f t="shared" si="58"/>
        <v>2.5073107750038623E-12</v>
      </c>
      <c r="AM103" s="62">
        <f t="shared" si="59"/>
        <v>293.33333333333582</v>
      </c>
      <c r="AN103" s="62">
        <f ca="1">AVERAGE(OFFSET($AM$3,0,0,'Données projet'!$E$10+1,1))-AVERAGE(OFFSET($H$3,0,0,'Données projet'!$E$10+1,1))</f>
        <v>292.57482726862594</v>
      </c>
      <c r="AO103" s="62">
        <f t="shared" si="90"/>
        <v>283.48738729114024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-3.4106051316484809E-13</v>
      </c>
      <c r="BE103" s="14">
        <f>BD103*VLOOKUP('Données projet'!$B$11,Paramètres!$A$1:$I$89,3,0)*VLOOKUP('Données projet'!$B$11,Paramètres!$A$1:$I$89,5,0)</f>
        <v>-2.5006556825246659E-13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397.24545766894346</v>
      </c>
      <c r="BJ103" s="62">
        <f t="shared" si="92"/>
        <v>431.44557882369696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2.2737367544323206E-13</v>
      </c>
      <c r="BZ103" s="14">
        <f>BY103*VLOOKUP('Données projet'!$B$12,Paramètres!$A$1:$I$89,3,0)*VLOOKUP('Données projet'!$B$12,Paramètres!$A$1:$I$89,5,0)</f>
        <v>1.4897523215040565E-13</v>
      </c>
      <c r="CA103" s="14">
        <f t="shared" si="93"/>
        <v>2.136562777003313E-12</v>
      </c>
      <c r="CB103" s="22">
        <f t="shared" si="64"/>
        <v>3.9806453659427267E-12</v>
      </c>
      <c r="CC103" s="62">
        <f t="shared" si="65"/>
        <v>293.33333333333729</v>
      </c>
      <c r="CD103" s="62">
        <f ca="1">AVERAGE(OFFSET($CC$3,0,0,'Données projet'!$E$12+1,1))-AVERAGE(OFFSET($H$3,0,0,'Données projet'!$E$12+1,1))</f>
        <v>277.27246253233807</v>
      </c>
      <c r="CE103" s="62">
        <f t="shared" si="94"/>
        <v>269.61868559913404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255.24719999999988</v>
      </c>
      <c r="CV103" s="14">
        <f t="shared" si="95"/>
        <v>61.708187819081218</v>
      </c>
      <c r="CW103" s="22">
        <f t="shared" si="67"/>
        <v>552.03063378489958</v>
      </c>
      <c r="CX103" s="62">
        <f t="shared" si="68"/>
        <v>845.36396711823295</v>
      </c>
      <c r="CY103" s="62">
        <f ca="1">AVERAGE(OFFSET($CX$3,0,0,'Données projet'!$E$13+1,1))-AVERAGE(OFFSET($H$3,0,0,'Données projet'!$E$13+1,1))</f>
        <v>402.15128814037058</v>
      </c>
      <c r="CZ103" s="62">
        <f t="shared" si="96"/>
        <v>232.85411068442738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321.79487179487177</v>
      </c>
      <c r="DM103" s="13">
        <f>VLOOKUP(A103,'Données projet'!$A$165:$I$185,9,0)</f>
        <v>4.2307692307692264</v>
      </c>
      <c r="DN103" s="13">
        <f t="array" ref="DN103">INDEX(DM:DM,MIN(IF(ISNUMBER(DM103:DM299),ROW(DM103:DM299),"")))</f>
        <v>4.2307692307692264</v>
      </c>
      <c r="DO103" s="13">
        <f>IF('Données projet'!$A$166&gt;35,DO102+DN103-DW102,IF(A103&lt;'Données projet'!$A$166,$DL$205^A103,IF(A103='Données projet'!$A$166,'Données projet'!$B$166,DO102+DN103-DW102)))</f>
        <v>321.7948717948716</v>
      </c>
      <c r="DP103" s="18">
        <f>DO103*VLOOKUP('Données projet'!$B$14,Paramètres!$A$1:$I$89,3,0)*VLOOKUP('Données projet'!$B$14,Paramètres!$A$1:$I$89,5,0)</f>
        <v>306.21999999999986</v>
      </c>
      <c r="DQ103" s="14">
        <f t="shared" si="97"/>
        <v>72.478852945622975</v>
      </c>
      <c r="DR103" s="22">
        <f t="shared" si="70"/>
        <v>659.56716888029302</v>
      </c>
      <c r="DS103" s="62">
        <f t="shared" si="71"/>
        <v>952.9005022136264</v>
      </c>
      <c r="DT103" s="62">
        <f ca="1">AVERAGE(OFFSET($DS$3,0,0,'Données projet'!$E$14+1,1))-AVERAGE(OFFSET($H$3,0,0,'Données projet'!$E$14+1,1))</f>
        <v>485.18236169209541</v>
      </c>
      <c r="DU103" s="62">
        <f t="shared" si="98"/>
        <v>417.30339652956951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31.410256410256409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-3.4106051316484809E-13</v>
      </c>
      <c r="EK103" s="18">
        <f>EJ103*VLOOKUP('Données projet'!$B$15,Paramètres!$A$1:$I$89,3,0)*VLOOKUP('Données projet'!$B$15,Paramètres!$A$1:$I$89,5,0)</f>
        <v>-2.7134774427395314E-13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427.78067187784063</v>
      </c>
      <c r="EP103" s="62">
        <f t="shared" si="100"/>
        <v>464.22892523825118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-1.1368683772161603E-13</v>
      </c>
      <c r="FF103" s="18">
        <f>FE103*VLOOKUP('Données projet'!$B$16,Paramètres!$A$1:$I$89,3,0)*VLOOKUP('Données projet'!$B$16,Paramètres!$A$1:$I$89,5,0)</f>
        <v>-9.7543306765146564E-14</v>
      </c>
      <c r="FG103" s="14" t="e">
        <f t="shared" si="101"/>
        <v>#NUM!</v>
      </c>
      <c r="FH103" s="22" t="e">
        <f t="shared" si="76"/>
        <v>#NUM!</v>
      </c>
      <c r="FI103" s="62" t="e">
        <f t="shared" si="77"/>
        <v>#NUM!</v>
      </c>
      <c r="FJ103" s="62">
        <f ca="1">AVERAGE(OFFSET($FI$3,0,0,'Données projet'!$E$16+1,1))-AVERAGE(OFFSET($H$3,0,0,'Données projet'!$E$16+1,1))</f>
        <v>448.44001099301806</v>
      </c>
      <c r="FK103" s="62">
        <f t="shared" si="102"/>
        <v>230.82970731138215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398.07692307692304</v>
      </c>
      <c r="FX103" s="13">
        <f>VLOOKUP(A103,'Données projet'!$A$243:$I$263,9,0)</f>
        <v>4.3589743589743533</v>
      </c>
      <c r="FY103" s="13">
        <f t="array" ref="FY103">INDEX(FX:FX,MIN(IF(ISNUMBER(FX103:FX299),ROW(FX103:FX299),"")))</f>
        <v>4.3589743589743533</v>
      </c>
      <c r="FZ103" s="13">
        <f>IF('Données projet'!$A$244&gt;35,FZ102+FY103-GH102,IF(A103&lt;'Données projet'!$A$244,$FW$205^A103,IF(A103='Données projet'!$A$244,'Données projet'!$B$244,FZ102+FY103-GH102)))</f>
        <v>398.07692307692292</v>
      </c>
      <c r="GA103" s="18">
        <f>FZ103*VLOOKUP('Données projet'!$B$17,Paramètres!$A$1:$I$89,3,0)*VLOOKUP('Données projet'!$B$17,Paramètres!$A$1:$I$89,5,0)</f>
        <v>267.02999999999992</v>
      </c>
      <c r="GB103" s="14">
        <f t="shared" si="103"/>
        <v>64.218555144782528</v>
      </c>
      <c r="GC103" s="22">
        <f t="shared" si="79"/>
        <v>576.92456687716276</v>
      </c>
      <c r="GD103" s="62">
        <f t="shared" si="80"/>
        <v>870.25790021049602</v>
      </c>
      <c r="GE103" s="62">
        <f ca="1">AVERAGE(OFFSET($GD$3,0,0,'Données projet'!$E$17+1,1))-AVERAGE(OFFSET($H$3,0,0,'Données projet'!$E$17+1,1))</f>
        <v>408.91016501484626</v>
      </c>
      <c r="GF103" s="62">
        <f t="shared" si="104"/>
        <v>354.22396807666433</v>
      </c>
      <c r="GG103" s="16">
        <f>IF(ISNA(VLOOKUP(A103,'Données projet'!$A$243:$I$263,3,0)),0,VLOOKUP(A103,'Données projet'!$A$243:$I$263,3,0))</f>
        <v>9</v>
      </c>
      <c r="GH103" s="16">
        <f>IF(ISNA(VLOOKUP(A103,'Données projet'!$A$243:$I$263,4,0)),0,VLOOKUP(A103,'Données projet'!$A$243:$I$263,4,0))</f>
        <v>27.564102564102562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361</v>
      </c>
      <c r="GS103" s="13">
        <f>VLOOKUP(A103,'Données projet'!$A$269:$I$289,9,0)</f>
        <v>5.9</v>
      </c>
      <c r="GT103" s="13">
        <f t="array" ref="GT103">INDEX(GS:GS,MIN(IF(ISNUMBER(GS103:GS299),ROW(GS103:GS299),"")))</f>
        <v>5.9</v>
      </c>
      <c r="GU103" s="13">
        <f>IF('Données projet'!$A$270&gt;35,GU102+GT103-HC102,IF(A103&lt;'Données projet'!$A$270,$GR$205^A103,IF(A103='Données projet'!$A$270,'Données projet'!$B$270,GU102+GT103-HC102)))</f>
        <v>361</v>
      </c>
      <c r="GV103" s="18">
        <f>GU103*VLOOKUP('Données projet'!$B$18,Paramètres!$A$1:$I$89,3,0)*VLOOKUP('Données projet'!$B$18,Paramètres!$A$1:$I$89,5,0)</f>
        <v>349.1592</v>
      </c>
      <c r="GW103" s="14">
        <f t="shared" si="105"/>
        <v>81.389357558494837</v>
      </c>
      <c r="GX103" s="22">
        <f t="shared" si="82"/>
        <v>749.87207108104519</v>
      </c>
      <c r="GY103" s="62">
        <f t="shared" si="83"/>
        <v>1043.2054044143786</v>
      </c>
      <c r="GZ103" s="62">
        <f ca="1">AVERAGE(OFFSET($GY$3,0,0,'Données projet'!$E$18+1,1))-AVERAGE(OFFSET($H$3,0,0,'Données projet'!$E$18+1,1))</f>
        <v>562.69380557620775</v>
      </c>
      <c r="HA103" s="62">
        <f t="shared" si="106"/>
        <v>294.45557293177131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366.2</v>
      </c>
      <c r="O104" s="14">
        <f>N104*VLOOKUP('Données projet'!$B$9,Paramètres!$A$1:$I$89,3,0)*VLOOKUP('Données projet'!$B$9,Paramètres!$A$1:$I$89,5,0)</f>
        <v>331.33776</v>
      </c>
      <c r="P104" s="14">
        <f t="shared" si="87"/>
        <v>77.707593612890619</v>
      </c>
      <c r="Q104" s="22">
        <f t="shared" si="107"/>
        <v>712.42065754245107</v>
      </c>
      <c r="R104" s="62">
        <f t="shared" si="55"/>
        <v>1005.7539908757844</v>
      </c>
      <c r="S104" s="62">
        <f ca="1">AVERAGE(OFFSET($R$3,0,0,'Données projet'!$E$9+1,1))-AVERAGE(OFFSET($H$3,0,0,'Données projet'!$E$9+1,1))</f>
        <v>529.25712986118265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8.8675733422860506E-14</v>
      </c>
      <c r="AK104" s="14">
        <f t="shared" si="89"/>
        <v>1.3509285393066301E-12</v>
      </c>
      <c r="AL104" s="22">
        <f t="shared" si="58"/>
        <v>2.5073107750038623E-12</v>
      </c>
      <c r="AM104" s="62">
        <f t="shared" si="59"/>
        <v>293.33333333333582</v>
      </c>
      <c r="AN104" s="62">
        <f ca="1">AVERAGE(OFFSET($AM$3,0,0,'Données projet'!$E$10+1,1))-AVERAGE(OFFSET($H$3,0,0,'Données projet'!$E$10+1,1))</f>
        <v>292.57482726862594</v>
      </c>
      <c r="AO104" s="62">
        <f t="shared" si="90"/>
        <v>283.48738729114024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-3.4106051316484809E-13</v>
      </c>
      <c r="BE104" s="14">
        <f>BD104*VLOOKUP('Données projet'!$B$11,Paramètres!$A$1:$I$89,3,0)*VLOOKUP('Données projet'!$B$11,Paramètres!$A$1:$I$89,5,0)</f>
        <v>-2.5006556825246659E-13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397.24545766894346</v>
      </c>
      <c r="BJ104" s="62">
        <f t="shared" si="92"/>
        <v>431.44557882369696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2.2737367544323206E-13</v>
      </c>
      <c r="BZ104" s="14">
        <f>BY104*VLOOKUP('Données projet'!$B$12,Paramètres!$A$1:$I$89,3,0)*VLOOKUP('Données projet'!$B$12,Paramètres!$A$1:$I$89,5,0)</f>
        <v>1.4897523215040565E-13</v>
      </c>
      <c r="CA104" s="14">
        <f t="shared" si="93"/>
        <v>2.136562777003313E-12</v>
      </c>
      <c r="CB104" s="22">
        <f t="shared" si="64"/>
        <v>3.9806453659427267E-12</v>
      </c>
      <c r="CC104" s="62">
        <f t="shared" si="65"/>
        <v>293.33333333333729</v>
      </c>
      <c r="CD104" s="62">
        <f ca="1">AVERAGE(OFFSET($CC$3,0,0,'Données projet'!$E$12+1,1))-AVERAGE(OFFSET($H$3,0,0,'Données projet'!$E$12+1,1))</f>
        <v>277.27246253233807</v>
      </c>
      <c r="CE104" s="62">
        <f t="shared" si="94"/>
        <v>269.61868559913404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223.57295999999988</v>
      </c>
      <c r="CV104" s="14">
        <f t="shared" si="95"/>
        <v>54.890721304299568</v>
      </c>
      <c r="CW104" s="22">
        <f t="shared" si="67"/>
        <v>484.99091160498818</v>
      </c>
      <c r="CX104" s="62">
        <f t="shared" si="68"/>
        <v>778.3242449383215</v>
      </c>
      <c r="CY104" s="62">
        <f ca="1">AVERAGE(OFFSET($CX$3,0,0,'Données projet'!$E$13+1,1))-AVERAGE(OFFSET($H$3,0,0,'Données projet'!$E$13+1,1))</f>
        <v>402.15128814037058</v>
      </c>
      <c r="CZ104" s="62">
        <f t="shared" si="96"/>
        <v>232.85411068442738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3.9102564102564146</v>
      </c>
      <c r="DO104" s="13">
        <f>IF('Données projet'!$A$166&gt;35,DO103+DN104-DW103,IF(A104&lt;'Données projet'!$A$166,$DL$205^A104,IF(A104='Données projet'!$A$166,'Données projet'!$B$166,DO103+DN104-DW103)))</f>
        <v>294.2948717948716</v>
      </c>
      <c r="DP104" s="18">
        <f>DO104*VLOOKUP('Données projet'!$B$14,Paramètres!$A$1:$I$89,3,0)*VLOOKUP('Données projet'!$B$14,Paramètres!$A$1:$I$89,5,0)</f>
        <v>280.05099999999982</v>
      </c>
      <c r="DQ104" s="14">
        <f t="shared" si="97"/>
        <v>66.977786532940158</v>
      </c>
      <c r="DR104" s="22">
        <f t="shared" si="70"/>
        <v>604.40846987820373</v>
      </c>
      <c r="DS104" s="62">
        <f t="shared" si="71"/>
        <v>897.74180321153699</v>
      </c>
      <c r="DT104" s="62">
        <f ca="1">AVERAGE(OFFSET($DS$3,0,0,'Données projet'!$E$14+1,1))-AVERAGE(OFFSET($H$3,0,0,'Données projet'!$E$14+1,1))</f>
        <v>485.18236169209541</v>
      </c>
      <c r="DU104" s="62">
        <f t="shared" si="98"/>
        <v>417.30339652956951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-3.4106051316484809E-13</v>
      </c>
      <c r="EK104" s="18">
        <f>EJ104*VLOOKUP('Données projet'!$B$15,Paramètres!$A$1:$I$89,3,0)*VLOOKUP('Données projet'!$B$15,Paramètres!$A$1:$I$89,5,0)</f>
        <v>-2.7134774427395314E-13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427.78067187784063</v>
      </c>
      <c r="EP104" s="62">
        <f t="shared" si="100"/>
        <v>464.22892523825118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-1.1368683772161603E-13</v>
      </c>
      <c r="FF104" s="18">
        <f>FE104*VLOOKUP('Données projet'!$B$16,Paramètres!$A$1:$I$89,3,0)*VLOOKUP('Données projet'!$B$16,Paramètres!$A$1:$I$89,5,0)</f>
        <v>-9.7543306765146564E-14</v>
      </c>
      <c r="FG104" s="14" t="e">
        <f t="shared" si="101"/>
        <v>#NUM!</v>
      </c>
      <c r="FH104" s="22" t="e">
        <f t="shared" si="76"/>
        <v>#NUM!</v>
      </c>
      <c r="FI104" s="62" t="e">
        <f t="shared" si="77"/>
        <v>#NUM!</v>
      </c>
      <c r="FJ104" s="62">
        <f ca="1">AVERAGE(OFFSET($FI$3,0,0,'Données projet'!$E$16+1,1))-AVERAGE(OFFSET($H$3,0,0,'Données projet'!$E$16+1,1))</f>
        <v>448.44001099301806</v>
      </c>
      <c r="FK104" s="62">
        <f t="shared" si="102"/>
        <v>230.82970731138215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3.9743589743589722</v>
      </c>
      <c r="FZ104" s="13">
        <f>IF('Données projet'!$A$244&gt;35,FZ103+FY104-GH103,IF(A104&lt;'Données projet'!$A$244,$FW$205^A104,IF(A104='Données projet'!$A$244,'Données projet'!$B$244,FZ103+FY104-GH103)))</f>
        <v>374.48717948717933</v>
      </c>
      <c r="GA104" s="18">
        <f>FZ104*VLOOKUP('Données projet'!$B$17,Paramètres!$A$1:$I$89,3,0)*VLOOKUP('Données projet'!$B$17,Paramètres!$A$1:$I$89,5,0)</f>
        <v>251.2059999999999</v>
      </c>
      <c r="GB104" s="14">
        <f t="shared" si="103"/>
        <v>60.84411522655509</v>
      </c>
      <c r="GC104" s="22">
        <f t="shared" si="79"/>
        <v>543.48728401958329</v>
      </c>
      <c r="GD104" s="62">
        <f t="shared" si="80"/>
        <v>836.82061735291654</v>
      </c>
      <c r="GE104" s="62">
        <f ca="1">AVERAGE(OFFSET($GD$3,0,0,'Données projet'!$E$17+1,1))-AVERAGE(OFFSET($H$3,0,0,'Données projet'!$E$17+1,1))</f>
        <v>408.91016501484626</v>
      </c>
      <c r="GF104" s="62">
        <f t="shared" si="104"/>
        <v>354.22396807666433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5.2</v>
      </c>
      <c r="GU104" s="13">
        <f>IF('Données projet'!$A$270&gt;35,GU103+GT104-HC103,IF(A104&lt;'Données projet'!$A$270,$GR$205^A104,IF(A104='Données projet'!$A$270,'Données projet'!$B$270,GU103+GT104-HC103)))</f>
        <v>366.2</v>
      </c>
      <c r="GV104" s="18">
        <f>GU104*VLOOKUP('Données projet'!$B$18,Paramètres!$A$1:$I$89,3,0)*VLOOKUP('Données projet'!$B$18,Paramètres!$A$1:$I$89,5,0)</f>
        <v>354.18863999999996</v>
      </c>
      <c r="GW104" s="14">
        <f t="shared" si="105"/>
        <v>82.424397643862633</v>
      </c>
      <c r="GX104" s="22">
        <f t="shared" si="82"/>
        <v>760.43437389639394</v>
      </c>
      <c r="GY104" s="62">
        <f t="shared" si="83"/>
        <v>1053.7677072297272</v>
      </c>
      <c r="GZ104" s="62">
        <f ca="1">AVERAGE(OFFSET($GY$3,0,0,'Données projet'!$E$18+1,1))-AVERAGE(OFFSET($H$3,0,0,'Données projet'!$E$18+1,1))</f>
        <v>562.69380557620775</v>
      </c>
      <c r="HA104" s="62">
        <f t="shared" si="106"/>
        <v>294.45557293177131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371.4</v>
      </c>
      <c r="O105" s="14">
        <f>N105*VLOOKUP('Données projet'!$B$9,Paramètres!$A$1:$I$89,3,0)*VLOOKUP('Données projet'!$B$9,Paramètres!$A$1:$I$89,5,0)</f>
        <v>336.04271999999997</v>
      </c>
      <c r="P105" s="14">
        <f t="shared" si="87"/>
        <v>78.681791069086316</v>
      </c>
      <c r="Q105" s="22">
        <f t="shared" si="107"/>
        <v>722.31185677865858</v>
      </c>
      <c r="R105" s="62">
        <f t="shared" si="55"/>
        <v>1015.645190111992</v>
      </c>
      <c r="S105" s="62">
        <f ca="1">AVERAGE(OFFSET($R$3,0,0,'Données projet'!$E$9+1,1))-AVERAGE(OFFSET($H$3,0,0,'Données projet'!$E$9+1,1))</f>
        <v>529.25712986118265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8.8675733422860506E-14</v>
      </c>
      <c r="AK105" s="14">
        <f t="shared" si="89"/>
        <v>1.3509285393066301E-12</v>
      </c>
      <c r="AL105" s="22">
        <f t="shared" si="58"/>
        <v>2.5073107750038623E-12</v>
      </c>
      <c r="AM105" s="62">
        <f t="shared" si="59"/>
        <v>293.33333333333582</v>
      </c>
      <c r="AN105" s="62">
        <f ca="1">AVERAGE(OFFSET($AM$3,0,0,'Données projet'!$E$10+1,1))-AVERAGE(OFFSET($H$3,0,0,'Données projet'!$E$10+1,1))</f>
        <v>292.57482726862594</v>
      </c>
      <c r="AO105" s="62">
        <f t="shared" si="90"/>
        <v>283.48738729114024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-3.4106051316484809E-13</v>
      </c>
      <c r="BE105" s="14">
        <f>BD105*VLOOKUP('Données projet'!$B$11,Paramètres!$A$1:$I$89,3,0)*VLOOKUP('Données projet'!$B$11,Paramètres!$A$1:$I$89,5,0)</f>
        <v>-2.5006556825246659E-13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397.24545766894346</v>
      </c>
      <c r="BJ105" s="62">
        <f t="shared" si="92"/>
        <v>431.44557882369696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2.2737367544323206E-13</v>
      </c>
      <c r="BZ105" s="14">
        <f>BY105*VLOOKUP('Données projet'!$B$12,Paramètres!$A$1:$I$89,3,0)*VLOOKUP('Données projet'!$B$12,Paramètres!$A$1:$I$89,5,0)</f>
        <v>1.4897523215040565E-13</v>
      </c>
      <c r="CA105" s="14">
        <f t="shared" si="93"/>
        <v>2.136562777003313E-12</v>
      </c>
      <c r="CB105" s="22">
        <f t="shared" si="64"/>
        <v>3.9806453659427267E-12</v>
      </c>
      <c r="CC105" s="62">
        <f t="shared" si="65"/>
        <v>293.33333333333729</v>
      </c>
      <c r="CD105" s="62">
        <f ca="1">AVERAGE(OFFSET($CC$3,0,0,'Données projet'!$E$12+1,1))-AVERAGE(OFFSET($H$3,0,0,'Données projet'!$E$12+1,1))</f>
        <v>277.27246253233807</v>
      </c>
      <c r="CE105" s="62">
        <f t="shared" si="94"/>
        <v>269.61868559913404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227.27951999999985</v>
      </c>
      <c r="CV105" s="14">
        <f t="shared" si="95"/>
        <v>55.694043418351256</v>
      </c>
      <c r="CW105" s="22">
        <f t="shared" si="67"/>
        <v>492.84562295362815</v>
      </c>
      <c r="CX105" s="62">
        <f t="shared" si="68"/>
        <v>786.17895628696147</v>
      </c>
      <c r="CY105" s="62">
        <f ca="1">AVERAGE(OFFSET($CX$3,0,0,'Données projet'!$E$13+1,1))-AVERAGE(OFFSET($H$3,0,0,'Données projet'!$E$13+1,1))</f>
        <v>402.15128814037058</v>
      </c>
      <c r="CZ105" s="62">
        <f t="shared" si="96"/>
        <v>232.85411068442738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3.9102564102564146</v>
      </c>
      <c r="DO105" s="13">
        <f>IF('Données projet'!$A$166&gt;35,DO104+DN105-DW104,IF(A105&lt;'Données projet'!$A$166,$DL$205^A105,IF(A105='Données projet'!$A$166,'Données projet'!$B$166,DO104+DN105-DW104)))</f>
        <v>298.20512820512801</v>
      </c>
      <c r="DP105" s="18">
        <f>DO105*VLOOKUP('Données projet'!$B$14,Paramètres!$A$1:$I$89,3,0)*VLOOKUP('Données projet'!$B$14,Paramètres!$A$1:$I$89,5,0)</f>
        <v>283.77199999999982</v>
      </c>
      <c r="DQ105" s="14">
        <f t="shared" si="97"/>
        <v>67.763519043142153</v>
      </c>
      <c r="DR105" s="22">
        <f t="shared" si="70"/>
        <v>612.25769566680549</v>
      </c>
      <c r="DS105" s="62">
        <f t="shared" si="71"/>
        <v>905.59102900013886</v>
      </c>
      <c r="DT105" s="62">
        <f ca="1">AVERAGE(OFFSET($DS$3,0,0,'Données projet'!$E$14+1,1))-AVERAGE(OFFSET($H$3,0,0,'Données projet'!$E$14+1,1))</f>
        <v>485.18236169209541</v>
      </c>
      <c r="DU105" s="62">
        <f t="shared" si="98"/>
        <v>417.30339652956951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-3.4106051316484809E-13</v>
      </c>
      <c r="EK105" s="18">
        <f>EJ105*VLOOKUP('Données projet'!$B$15,Paramètres!$A$1:$I$89,3,0)*VLOOKUP('Données projet'!$B$15,Paramètres!$A$1:$I$89,5,0)</f>
        <v>-2.7134774427395314E-13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427.78067187784063</v>
      </c>
      <c r="EP105" s="62">
        <f t="shared" si="100"/>
        <v>464.22892523825118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-1.1368683772161603E-13</v>
      </c>
      <c r="FF105" s="18">
        <f>FE105*VLOOKUP('Données projet'!$B$16,Paramètres!$A$1:$I$89,3,0)*VLOOKUP('Données projet'!$B$16,Paramètres!$A$1:$I$89,5,0)</f>
        <v>-9.7543306765146564E-14</v>
      </c>
      <c r="FG105" s="14" t="e">
        <f t="shared" si="101"/>
        <v>#NUM!</v>
      </c>
      <c r="FH105" s="22" t="e">
        <f t="shared" si="76"/>
        <v>#NUM!</v>
      </c>
      <c r="FI105" s="62" t="e">
        <f t="shared" si="77"/>
        <v>#NUM!</v>
      </c>
      <c r="FJ105" s="62">
        <f ca="1">AVERAGE(OFFSET($FI$3,0,0,'Données projet'!$E$16+1,1))-AVERAGE(OFFSET($H$3,0,0,'Données projet'!$E$16+1,1))</f>
        <v>448.44001099301806</v>
      </c>
      <c r="FK105" s="62">
        <f t="shared" si="102"/>
        <v>230.82970731138215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3.9743589743589722</v>
      </c>
      <c r="FZ105" s="13">
        <f>IF('Données projet'!$A$244&gt;35,FZ104+FY105-GH104,IF(A105&lt;'Données projet'!$A$244,$FW$205^A105,IF(A105='Données projet'!$A$244,'Données projet'!$B$244,FZ104+FY105-GH104)))</f>
        <v>378.46153846153828</v>
      </c>
      <c r="GA105" s="18">
        <f>FZ105*VLOOKUP('Données projet'!$B$17,Paramètres!$A$1:$I$89,3,0)*VLOOKUP('Données projet'!$B$17,Paramètres!$A$1:$I$89,5,0)</f>
        <v>253.87199999999987</v>
      </c>
      <c r="GB105" s="14">
        <f t="shared" si="103"/>
        <v>61.414328269276858</v>
      </c>
      <c r="GC105" s="22">
        <f t="shared" si="79"/>
        <v>549.12368840232364</v>
      </c>
      <c r="GD105" s="62">
        <f t="shared" si="80"/>
        <v>842.45702173565701</v>
      </c>
      <c r="GE105" s="62">
        <f ca="1">AVERAGE(OFFSET($GD$3,0,0,'Données projet'!$E$17+1,1))-AVERAGE(OFFSET($H$3,0,0,'Données projet'!$E$17+1,1))</f>
        <v>408.91016501484626</v>
      </c>
      <c r="GF105" s="62">
        <f t="shared" si="104"/>
        <v>354.22396807666433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5.2</v>
      </c>
      <c r="GU105" s="13">
        <f>IF('Données projet'!$A$270&gt;35,GU104+GT105-HC104,IF(A105&lt;'Données projet'!$A$270,$GR$205^A105,IF(A105='Données projet'!$A$270,'Données projet'!$B$270,GU104+GT105-HC104)))</f>
        <v>371.4</v>
      </c>
      <c r="GV105" s="18">
        <f>GU105*VLOOKUP('Données projet'!$B$18,Paramètres!$A$1:$I$89,3,0)*VLOOKUP('Données projet'!$B$18,Paramètres!$A$1:$I$89,5,0)</f>
        <v>359.21807999999999</v>
      </c>
      <c r="GW105" s="14">
        <f t="shared" si="105"/>
        <v>83.457728297661106</v>
      </c>
      <c r="GX105" s="22">
        <f t="shared" si="82"/>
        <v>770.99369945175965</v>
      </c>
      <c r="GY105" s="62">
        <f t="shared" si="83"/>
        <v>1064.327032785093</v>
      </c>
      <c r="GZ105" s="62">
        <f ca="1">AVERAGE(OFFSET($GY$3,0,0,'Données projet'!$E$18+1,1))-AVERAGE(OFFSET($H$3,0,0,'Données projet'!$E$18+1,1))</f>
        <v>562.69380557620775</v>
      </c>
      <c r="HA105" s="62">
        <f t="shared" si="106"/>
        <v>294.45557293177131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376.59999999999997</v>
      </c>
      <c r="O106" s="14">
        <f>N106*VLOOKUP('Données projet'!$B$9,Paramètres!$A$1:$I$89,3,0)*VLOOKUP('Données projet'!$B$9,Paramètres!$A$1:$I$89,5,0)</f>
        <v>340.74767999999995</v>
      </c>
      <c r="P106" s="14">
        <f t="shared" si="87"/>
        <v>79.654402089206556</v>
      </c>
      <c r="Q106" s="22">
        <f t="shared" si="107"/>
        <v>732.20029297203462</v>
      </c>
      <c r="R106" s="62">
        <f t="shared" si="55"/>
        <v>1025.533626305368</v>
      </c>
      <c r="S106" s="62">
        <f ca="1">AVERAGE(OFFSET($R$3,0,0,'Données projet'!$E$9+1,1))-AVERAGE(OFFSET($H$3,0,0,'Données projet'!$E$9+1,1))</f>
        <v>529.25712986118265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8.8675733422860506E-14</v>
      </c>
      <c r="AK106" s="14">
        <f t="shared" si="89"/>
        <v>1.3509285393066301E-12</v>
      </c>
      <c r="AL106" s="22">
        <f t="shared" si="58"/>
        <v>2.5073107750038623E-12</v>
      </c>
      <c r="AM106" s="62">
        <f t="shared" si="59"/>
        <v>293.33333333333582</v>
      </c>
      <c r="AN106" s="62">
        <f ca="1">AVERAGE(OFFSET($AM$3,0,0,'Données projet'!$E$10+1,1))-AVERAGE(OFFSET($H$3,0,0,'Données projet'!$E$10+1,1))</f>
        <v>292.57482726862594</v>
      </c>
      <c r="AO106" s="62">
        <f t="shared" si="90"/>
        <v>283.48738729114024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-3.4106051316484809E-13</v>
      </c>
      <c r="BE106" s="14">
        <f>BD106*VLOOKUP('Données projet'!$B$11,Paramètres!$A$1:$I$89,3,0)*VLOOKUP('Données projet'!$B$11,Paramètres!$A$1:$I$89,5,0)</f>
        <v>-2.5006556825246659E-13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397.24545766894346</v>
      </c>
      <c r="BJ106" s="62">
        <f t="shared" si="92"/>
        <v>431.44557882369696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2.2737367544323206E-13</v>
      </c>
      <c r="BZ106" s="14">
        <f>BY106*VLOOKUP('Données projet'!$B$12,Paramètres!$A$1:$I$89,3,0)*VLOOKUP('Données projet'!$B$12,Paramètres!$A$1:$I$89,5,0)</f>
        <v>1.4897523215040565E-13</v>
      </c>
      <c r="CA106" s="14">
        <f t="shared" si="93"/>
        <v>2.136562777003313E-12</v>
      </c>
      <c r="CB106" s="22">
        <f t="shared" si="64"/>
        <v>3.9806453659427267E-12</v>
      </c>
      <c r="CC106" s="62">
        <f t="shared" si="65"/>
        <v>293.33333333333729</v>
      </c>
      <c r="CD106" s="62">
        <f ca="1">AVERAGE(OFFSET($CC$3,0,0,'Données projet'!$E$12+1,1))-AVERAGE(OFFSET($H$3,0,0,'Données projet'!$E$12+1,1))</f>
        <v>277.27246253233807</v>
      </c>
      <c r="CE106" s="62">
        <f t="shared" si="94"/>
        <v>269.61868559913404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230.98607999999982</v>
      </c>
      <c r="CV106" s="14">
        <f t="shared" si="95"/>
        <v>56.495841965100745</v>
      </c>
      <c r="CW106" s="22">
        <f t="shared" si="67"/>
        <v>500.69768075588348</v>
      </c>
      <c r="CX106" s="62">
        <f t="shared" si="68"/>
        <v>794.0310140892168</v>
      </c>
      <c r="CY106" s="62">
        <f ca="1">AVERAGE(OFFSET($CX$3,0,0,'Données projet'!$E$13+1,1))-AVERAGE(OFFSET($H$3,0,0,'Données projet'!$E$13+1,1))</f>
        <v>402.15128814037058</v>
      </c>
      <c r="CZ106" s="62">
        <f t="shared" si="96"/>
        <v>232.85411068442738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3.9102564102564146</v>
      </c>
      <c r="DO106" s="13">
        <f>IF('Données projet'!$A$166&gt;35,DO105+DN106-DW105,IF(A106&lt;'Données projet'!$A$166,$DL$205^A106,IF(A106='Données projet'!$A$166,'Données projet'!$B$166,DO105+DN106-DW105)))</f>
        <v>302.11538461538441</v>
      </c>
      <c r="DP106" s="18">
        <f>DO106*VLOOKUP('Données projet'!$B$14,Paramètres!$A$1:$I$89,3,0)*VLOOKUP('Données projet'!$B$14,Paramètres!$A$1:$I$89,5,0)</f>
        <v>287.49299999999982</v>
      </c>
      <c r="DQ106" s="14">
        <f t="shared" si="97"/>
        <v>68.548053159414593</v>
      </c>
      <c r="DR106" s="22">
        <f t="shared" si="70"/>
        <v>620.10483425264681</v>
      </c>
      <c r="DS106" s="62">
        <f t="shared" si="71"/>
        <v>913.43816758598018</v>
      </c>
      <c r="DT106" s="62">
        <f ca="1">AVERAGE(OFFSET($DS$3,0,0,'Données projet'!$E$14+1,1))-AVERAGE(OFFSET($H$3,0,0,'Données projet'!$E$14+1,1))</f>
        <v>485.18236169209541</v>
      </c>
      <c r="DU106" s="62">
        <f t="shared" si="98"/>
        <v>417.30339652956951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-3.4106051316484809E-13</v>
      </c>
      <c r="EK106" s="18">
        <f>EJ106*VLOOKUP('Données projet'!$B$15,Paramètres!$A$1:$I$89,3,0)*VLOOKUP('Données projet'!$B$15,Paramètres!$A$1:$I$89,5,0)</f>
        <v>-2.7134774427395314E-13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427.78067187784063</v>
      </c>
      <c r="EP106" s="62">
        <f t="shared" si="100"/>
        <v>464.22892523825118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-1.1368683772161603E-13</v>
      </c>
      <c r="FF106" s="18">
        <f>FE106*VLOOKUP('Données projet'!$B$16,Paramètres!$A$1:$I$89,3,0)*VLOOKUP('Données projet'!$B$16,Paramètres!$A$1:$I$89,5,0)</f>
        <v>-9.7543306765146564E-14</v>
      </c>
      <c r="FG106" s="14" t="e">
        <f t="shared" si="101"/>
        <v>#NUM!</v>
      </c>
      <c r="FH106" s="22" t="e">
        <f t="shared" si="76"/>
        <v>#NUM!</v>
      </c>
      <c r="FI106" s="62" t="e">
        <f t="shared" si="77"/>
        <v>#NUM!</v>
      </c>
      <c r="FJ106" s="62">
        <f ca="1">AVERAGE(OFFSET($FI$3,0,0,'Données projet'!$E$16+1,1))-AVERAGE(OFFSET($H$3,0,0,'Données projet'!$E$16+1,1))</f>
        <v>448.44001099301806</v>
      </c>
      <c r="FK106" s="62">
        <f t="shared" si="102"/>
        <v>230.82970731138215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3.9743589743589722</v>
      </c>
      <c r="FZ106" s="13">
        <f>IF('Données projet'!$A$244&gt;35,FZ105+FY106-GH105,IF(A106&lt;'Données projet'!$A$244,$FW$205^A106,IF(A106='Données projet'!$A$244,'Données projet'!$B$244,FZ105+FY106-GH105)))</f>
        <v>382.43589743589723</v>
      </c>
      <c r="GA106" s="18">
        <f>FZ106*VLOOKUP('Données projet'!$B$17,Paramètres!$A$1:$I$89,3,0)*VLOOKUP('Données projet'!$B$17,Paramètres!$A$1:$I$89,5,0)</f>
        <v>256.5379999999999</v>
      </c>
      <c r="GB106" s="14">
        <f t="shared" si="103"/>
        <v>61.983844719962164</v>
      </c>
      <c r="GC106" s="22">
        <f t="shared" si="79"/>
        <v>554.75887955393398</v>
      </c>
      <c r="GD106" s="62">
        <f t="shared" si="80"/>
        <v>848.09221288726735</v>
      </c>
      <c r="GE106" s="62">
        <f ca="1">AVERAGE(OFFSET($GD$3,0,0,'Données projet'!$E$17+1,1))-AVERAGE(OFFSET($H$3,0,0,'Données projet'!$E$17+1,1))</f>
        <v>408.91016501484626</v>
      </c>
      <c r="GF106" s="62">
        <f t="shared" si="104"/>
        <v>354.22396807666433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5.2</v>
      </c>
      <c r="GU106" s="13">
        <f>IF('Données projet'!$A$270&gt;35,GU105+GT106-HC105,IF(A106&lt;'Données projet'!$A$270,$GR$205^A106,IF(A106='Données projet'!$A$270,'Données projet'!$B$270,GU105+GT106-HC105)))</f>
        <v>376.59999999999997</v>
      </c>
      <c r="GV106" s="18">
        <f>GU106*VLOOKUP('Données projet'!$B$18,Paramètres!$A$1:$I$89,3,0)*VLOOKUP('Données projet'!$B$18,Paramètres!$A$1:$I$89,5,0)</f>
        <v>364.24752000000001</v>
      </c>
      <c r="GW106" s="14">
        <f t="shared" si="105"/>
        <v>84.489376219671925</v>
      </c>
      <c r="GX106" s="22">
        <f t="shared" si="82"/>
        <v>781.55009424926186</v>
      </c>
      <c r="GY106" s="62">
        <f t="shared" si="83"/>
        <v>1074.8834275825952</v>
      </c>
      <c r="GZ106" s="62">
        <f ca="1">AVERAGE(OFFSET($GY$3,0,0,'Données projet'!$E$18+1,1))-AVERAGE(OFFSET($H$3,0,0,'Données projet'!$E$18+1,1))</f>
        <v>562.69380557620775</v>
      </c>
      <c r="HA106" s="62">
        <f t="shared" si="106"/>
        <v>294.45557293177131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381.79999999999995</v>
      </c>
      <c r="O107" s="14">
        <f>N107*VLOOKUP('Données projet'!$B$9,Paramètres!$A$1:$I$89,3,0)*VLOOKUP('Données projet'!$B$9,Paramètres!$A$1:$I$89,5,0)</f>
        <v>345.45263999999997</v>
      </c>
      <c r="P107" s="14">
        <f t="shared" si="87"/>
        <v>80.625451110046569</v>
      </c>
      <c r="Q107" s="22">
        <f t="shared" si="107"/>
        <v>742.08600868333099</v>
      </c>
      <c r="R107" s="62">
        <f t="shared" si="55"/>
        <v>1035.4193420166644</v>
      </c>
      <c r="S107" s="62">
        <f ca="1">AVERAGE(OFFSET($R$3,0,0,'Données projet'!$E$9+1,1))-AVERAGE(OFFSET($H$3,0,0,'Données projet'!$E$9+1,1))</f>
        <v>529.25712986118265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8.8675733422860506E-14</v>
      </c>
      <c r="AK107" s="14">
        <f t="shared" si="89"/>
        <v>1.3509285393066301E-12</v>
      </c>
      <c r="AL107" s="22">
        <f t="shared" si="58"/>
        <v>2.5073107750038623E-12</v>
      </c>
      <c r="AM107" s="62">
        <f t="shared" si="59"/>
        <v>293.33333333333582</v>
      </c>
      <c r="AN107" s="62">
        <f ca="1">AVERAGE(OFFSET($AM$3,0,0,'Données projet'!$E$10+1,1))-AVERAGE(OFFSET($H$3,0,0,'Données projet'!$E$10+1,1))</f>
        <v>292.57482726862594</v>
      </c>
      <c r="AO107" s="62">
        <f t="shared" si="90"/>
        <v>283.48738729114024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-3.4106051316484809E-13</v>
      </c>
      <c r="BE107" s="14">
        <f>BD107*VLOOKUP('Données projet'!$B$11,Paramètres!$A$1:$I$89,3,0)*VLOOKUP('Données projet'!$B$11,Paramètres!$A$1:$I$89,5,0)</f>
        <v>-2.5006556825246659E-13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397.24545766894346</v>
      </c>
      <c r="BJ107" s="62">
        <f t="shared" si="92"/>
        <v>431.44557882369696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2.2737367544323206E-13</v>
      </c>
      <c r="BZ107" s="14">
        <f>BY107*VLOOKUP('Données projet'!$B$12,Paramètres!$A$1:$I$89,3,0)*VLOOKUP('Données projet'!$B$12,Paramètres!$A$1:$I$89,5,0)</f>
        <v>1.4897523215040565E-13</v>
      </c>
      <c r="CA107" s="14">
        <f t="shared" si="93"/>
        <v>2.136562777003313E-12</v>
      </c>
      <c r="CB107" s="22">
        <f t="shared" si="64"/>
        <v>3.9806453659427267E-12</v>
      </c>
      <c r="CC107" s="62">
        <f t="shared" si="65"/>
        <v>293.33333333333729</v>
      </c>
      <c r="CD107" s="62">
        <f ca="1">AVERAGE(OFFSET($CC$3,0,0,'Données projet'!$E$12+1,1))-AVERAGE(OFFSET($H$3,0,0,'Données projet'!$E$12+1,1))</f>
        <v>277.27246253233807</v>
      </c>
      <c r="CE107" s="62">
        <f t="shared" si="94"/>
        <v>269.61868559913404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234.69263999999981</v>
      </c>
      <c r="CV107" s="14">
        <f t="shared" si="95"/>
        <v>57.29614421540046</v>
      </c>
      <c r="CW107" s="22">
        <f t="shared" si="67"/>
        <v>508.54713250848886</v>
      </c>
      <c r="CX107" s="62">
        <f t="shared" si="68"/>
        <v>801.88046584182212</v>
      </c>
      <c r="CY107" s="62">
        <f ca="1">AVERAGE(OFFSET($CX$3,0,0,'Données projet'!$E$13+1,1))-AVERAGE(OFFSET($H$3,0,0,'Données projet'!$E$13+1,1))</f>
        <v>402.15128814037058</v>
      </c>
      <c r="CZ107" s="62">
        <f t="shared" si="96"/>
        <v>232.85411068442738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3.9102564102564146</v>
      </c>
      <c r="DO107" s="13">
        <f>IF('Données projet'!$A$166&gt;35,DO106+DN107-DW106,IF(A107&lt;'Données projet'!$A$166,$DL$205^A107,IF(A107='Données projet'!$A$166,'Données projet'!$B$166,DO106+DN107-DW106)))</f>
        <v>306.02564102564082</v>
      </c>
      <c r="DP107" s="18">
        <f>DO107*VLOOKUP('Données projet'!$B$14,Paramètres!$A$1:$I$89,3,0)*VLOOKUP('Données projet'!$B$14,Paramètres!$A$1:$I$89,5,0)</f>
        <v>291.21399999999977</v>
      </c>
      <c r="DQ107" s="14">
        <f t="shared" si="97"/>
        <v>69.331406185861368</v>
      </c>
      <c r="DR107" s="22">
        <f t="shared" si="70"/>
        <v>627.94991577370808</v>
      </c>
      <c r="DS107" s="62">
        <f t="shared" si="71"/>
        <v>921.28324910704146</v>
      </c>
      <c r="DT107" s="62">
        <f ca="1">AVERAGE(OFFSET($DS$3,0,0,'Données projet'!$E$14+1,1))-AVERAGE(OFFSET($H$3,0,0,'Données projet'!$E$14+1,1))</f>
        <v>485.18236169209541</v>
      </c>
      <c r="DU107" s="62">
        <f t="shared" si="98"/>
        <v>417.30339652956951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-3.4106051316484809E-13</v>
      </c>
      <c r="EK107" s="18">
        <f>EJ107*VLOOKUP('Données projet'!$B$15,Paramètres!$A$1:$I$89,3,0)*VLOOKUP('Données projet'!$B$15,Paramètres!$A$1:$I$89,5,0)</f>
        <v>-2.7134774427395314E-13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427.78067187784063</v>
      </c>
      <c r="EP107" s="62">
        <f t="shared" si="100"/>
        <v>464.22892523825118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-1.1368683772161603E-13</v>
      </c>
      <c r="FF107" s="18">
        <f>FE107*VLOOKUP('Données projet'!$B$16,Paramètres!$A$1:$I$89,3,0)*VLOOKUP('Données projet'!$B$16,Paramètres!$A$1:$I$89,5,0)</f>
        <v>-9.7543306765146564E-14</v>
      </c>
      <c r="FG107" s="14" t="e">
        <f t="shared" si="101"/>
        <v>#NUM!</v>
      </c>
      <c r="FH107" s="22" t="e">
        <f t="shared" si="76"/>
        <v>#NUM!</v>
      </c>
      <c r="FI107" s="62" t="e">
        <f t="shared" si="77"/>
        <v>#NUM!</v>
      </c>
      <c r="FJ107" s="62">
        <f ca="1">AVERAGE(OFFSET($FI$3,0,0,'Données projet'!$E$16+1,1))-AVERAGE(OFFSET($H$3,0,0,'Données projet'!$E$16+1,1))</f>
        <v>448.44001099301806</v>
      </c>
      <c r="FK107" s="62">
        <f t="shared" si="102"/>
        <v>230.82970731138215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3.9743589743589722</v>
      </c>
      <c r="FZ107" s="13">
        <f>IF('Données projet'!$A$244&gt;35,FZ106+FY107-GH106,IF(A107&lt;'Données projet'!$A$244,$FW$205^A107,IF(A107='Données projet'!$A$244,'Données projet'!$B$244,FZ106+FY107-GH106)))</f>
        <v>386.41025641025618</v>
      </c>
      <c r="GA107" s="18">
        <f>FZ107*VLOOKUP('Données projet'!$B$17,Paramètres!$A$1:$I$89,3,0)*VLOOKUP('Données projet'!$B$17,Paramètres!$A$1:$I$89,5,0)</f>
        <v>259.20399999999989</v>
      </c>
      <c r="GB107" s="14">
        <f t="shared" si="103"/>
        <v>62.552672655792378</v>
      </c>
      <c r="GC107" s="22">
        <f t="shared" si="79"/>
        <v>560.39287154217152</v>
      </c>
      <c r="GD107" s="62">
        <f t="shared" si="80"/>
        <v>853.72620487550489</v>
      </c>
      <c r="GE107" s="62">
        <f ca="1">AVERAGE(OFFSET($GD$3,0,0,'Données projet'!$E$17+1,1))-AVERAGE(OFFSET($H$3,0,0,'Données projet'!$E$17+1,1))</f>
        <v>408.91016501484626</v>
      </c>
      <c r="GF107" s="62">
        <f t="shared" si="104"/>
        <v>354.22396807666433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5.2</v>
      </c>
      <c r="GU107" s="13">
        <f>IF('Données projet'!$A$270&gt;35,GU106+GT107-HC106,IF(A107&lt;'Données projet'!$A$270,$GR$205^A107,IF(A107='Données projet'!$A$270,'Données projet'!$B$270,GU106+GT107-HC106)))</f>
        <v>381.79999999999995</v>
      </c>
      <c r="GV107" s="18">
        <f>GU107*VLOOKUP('Données projet'!$B$18,Paramètres!$A$1:$I$89,3,0)*VLOOKUP('Données projet'!$B$18,Paramètres!$A$1:$I$89,5,0)</f>
        <v>369.27695999999997</v>
      </c>
      <c r="GW107" s="14">
        <f t="shared" si="105"/>
        <v>85.519367329988739</v>
      </c>
      <c r="GX107" s="22">
        <f t="shared" si="82"/>
        <v>792.10360343306365</v>
      </c>
      <c r="GY107" s="62">
        <f t="shared" si="83"/>
        <v>1085.4369367663969</v>
      </c>
      <c r="GZ107" s="62">
        <f ca="1">AVERAGE(OFFSET($GY$3,0,0,'Données projet'!$E$18+1,1))-AVERAGE(OFFSET($H$3,0,0,'Données projet'!$E$18+1,1))</f>
        <v>562.69380557620775</v>
      </c>
      <c r="HA107" s="62">
        <f t="shared" si="106"/>
        <v>294.45557293177131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386.99999999999994</v>
      </c>
      <c r="O108" s="14">
        <f>N108*VLOOKUP('Données projet'!$B$9,Paramètres!$A$1:$I$89,3,0)*VLOOKUP('Données projet'!$B$9,Paramètres!$A$1:$I$89,5,0)</f>
        <v>350.15759999999995</v>
      </c>
      <c r="P108" s="14">
        <f t="shared" si="87"/>
        <v>81.59496186451068</v>
      </c>
      <c r="Q108" s="22">
        <f t="shared" si="107"/>
        <v>751.96904524735601</v>
      </c>
      <c r="R108" s="62">
        <f t="shared" si="55"/>
        <v>1045.3023785806893</v>
      </c>
      <c r="S108" s="62">
        <f ca="1">AVERAGE(OFFSET($R$3,0,0,'Données projet'!$E$9+1,1))-AVERAGE(OFFSET($H$3,0,0,'Données projet'!$E$9+1,1))</f>
        <v>529.25712986118265</v>
      </c>
      <c r="T108" s="62">
        <f t="shared" si="88"/>
        <v>278.21741231699929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8.8675733422860506E-14</v>
      </c>
      <c r="AK108" s="14">
        <f t="shared" si="89"/>
        <v>1.3509285393066301E-12</v>
      </c>
      <c r="AL108" s="22">
        <f t="shared" si="58"/>
        <v>2.5073107750038623E-12</v>
      </c>
      <c r="AM108" s="62">
        <f t="shared" si="59"/>
        <v>293.33333333333582</v>
      </c>
      <c r="AN108" s="62">
        <f ca="1">AVERAGE(OFFSET($AM$3,0,0,'Données projet'!$E$10+1,1))-AVERAGE(OFFSET($H$3,0,0,'Données projet'!$E$10+1,1))</f>
        <v>292.57482726862594</v>
      </c>
      <c r="AO108" s="62">
        <f t="shared" si="90"/>
        <v>283.48738729114024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-3.4106051316484809E-13</v>
      </c>
      <c r="BE108" s="14">
        <f>BD108*VLOOKUP('Données projet'!$B$11,Paramètres!$A$1:$I$89,3,0)*VLOOKUP('Données projet'!$B$11,Paramètres!$A$1:$I$89,5,0)</f>
        <v>-2.5006556825246659E-13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397.24545766894346</v>
      </c>
      <c r="BJ108" s="62">
        <f t="shared" si="92"/>
        <v>431.44557882369696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2.2737367544323206E-13</v>
      </c>
      <c r="BZ108" s="14">
        <f>BY108*VLOOKUP('Données projet'!$B$12,Paramètres!$A$1:$I$89,3,0)*VLOOKUP('Données projet'!$B$12,Paramètres!$A$1:$I$89,5,0)</f>
        <v>1.4897523215040565E-13</v>
      </c>
      <c r="CA108" s="14">
        <f t="shared" si="93"/>
        <v>2.136562777003313E-12</v>
      </c>
      <c r="CB108" s="22">
        <f t="shared" si="64"/>
        <v>3.9806453659427267E-12</v>
      </c>
      <c r="CC108" s="62">
        <f t="shared" si="65"/>
        <v>293.33333333333729</v>
      </c>
      <c r="CD108" s="62">
        <f ca="1">AVERAGE(OFFSET($CC$3,0,0,'Données projet'!$E$12+1,1))-AVERAGE(OFFSET($H$3,0,0,'Données projet'!$E$12+1,1))</f>
        <v>277.27246253233807</v>
      </c>
      <c r="CE108" s="62">
        <f t="shared" si="94"/>
        <v>269.61868559913404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238.39919999999978</v>
      </c>
      <c r="CV108" s="14">
        <f t="shared" si="95"/>
        <v>58.094976529303359</v>
      </c>
      <c r="CW108" s="22">
        <f t="shared" si="67"/>
        <v>516.39402412186962</v>
      </c>
      <c r="CX108" s="62">
        <f t="shared" si="68"/>
        <v>809.72735745520299</v>
      </c>
      <c r="CY108" s="62">
        <f ca="1">AVERAGE(OFFSET($CX$3,0,0,'Données projet'!$E$13+1,1))-AVERAGE(OFFSET($H$3,0,0,'Données projet'!$E$13+1,1))</f>
        <v>402.15128814037058</v>
      </c>
      <c r="CZ108" s="62">
        <f t="shared" si="96"/>
        <v>232.85411068442738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3.9102564102564146</v>
      </c>
      <c r="DO108" s="13">
        <f>IF('Données projet'!$A$166&gt;35,DO107+DN108-DW107,IF(A108&lt;'Données projet'!$A$166,$DL$205^A108,IF(A108='Données projet'!$A$166,'Données projet'!$B$166,DO107+DN108-DW107)))</f>
        <v>309.93589743589723</v>
      </c>
      <c r="DP108" s="18">
        <f>DO108*VLOOKUP('Données projet'!$B$14,Paramètres!$A$1:$I$89,3,0)*VLOOKUP('Données projet'!$B$14,Paramètres!$A$1:$I$89,5,0)</f>
        <v>294.93499999999983</v>
      </c>
      <c r="DQ108" s="14">
        <f t="shared" si="97"/>
        <v>70.113594958951822</v>
      </c>
      <c r="DR108" s="22">
        <f t="shared" si="70"/>
        <v>635.79296955350742</v>
      </c>
      <c r="DS108" s="62">
        <f t="shared" si="71"/>
        <v>929.12630288684068</v>
      </c>
      <c r="DT108" s="62">
        <f ca="1">AVERAGE(OFFSET($DS$3,0,0,'Données projet'!$E$14+1,1))-AVERAGE(OFFSET($H$3,0,0,'Données projet'!$E$14+1,1))</f>
        <v>485.18236169209541</v>
      </c>
      <c r="DU108" s="62">
        <f t="shared" si="98"/>
        <v>417.30339652956951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-3.4106051316484809E-13</v>
      </c>
      <c r="EK108" s="18">
        <f>EJ108*VLOOKUP('Données projet'!$B$15,Paramètres!$A$1:$I$89,3,0)*VLOOKUP('Données projet'!$B$15,Paramètres!$A$1:$I$89,5,0)</f>
        <v>-2.7134774427395314E-13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427.78067187784063</v>
      </c>
      <c r="EP108" s="62">
        <f t="shared" si="100"/>
        <v>464.22892523825118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-1.1368683772161603E-13</v>
      </c>
      <c r="FF108" s="18">
        <f>FE108*VLOOKUP('Données projet'!$B$16,Paramètres!$A$1:$I$89,3,0)*VLOOKUP('Données projet'!$B$16,Paramètres!$A$1:$I$89,5,0)</f>
        <v>-9.7543306765146564E-14</v>
      </c>
      <c r="FG108" s="14" t="e">
        <f t="shared" si="101"/>
        <v>#NUM!</v>
      </c>
      <c r="FH108" s="22" t="e">
        <f t="shared" si="76"/>
        <v>#NUM!</v>
      </c>
      <c r="FI108" s="62" t="e">
        <f t="shared" si="77"/>
        <v>#NUM!</v>
      </c>
      <c r="FJ108" s="62">
        <f ca="1">AVERAGE(OFFSET($FI$3,0,0,'Données projet'!$E$16+1,1))-AVERAGE(OFFSET($H$3,0,0,'Données projet'!$E$16+1,1))</f>
        <v>448.44001099301806</v>
      </c>
      <c r="FK108" s="62">
        <f t="shared" si="102"/>
        <v>230.82970731138215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3.9743589743589722</v>
      </c>
      <c r="FZ108" s="13">
        <f>IF('Données projet'!$A$244&gt;35,FZ107+FY108-GH107,IF(A108&lt;'Données projet'!$A$244,$FW$205^A108,IF(A108='Données projet'!$A$244,'Données projet'!$B$244,FZ107+FY108-GH107)))</f>
        <v>390.38461538461513</v>
      </c>
      <c r="GA108" s="18">
        <f>FZ108*VLOOKUP('Données projet'!$B$17,Paramètres!$A$1:$I$89,3,0)*VLOOKUP('Données projet'!$B$17,Paramètres!$A$1:$I$89,5,0)</f>
        <v>261.86999999999983</v>
      </c>
      <c r="GB108" s="14">
        <f t="shared" si="103"/>
        <v>63.120819978221654</v>
      </c>
      <c r="GC108" s="22">
        <f t="shared" si="79"/>
        <v>566.02567812873576</v>
      </c>
      <c r="GD108" s="62">
        <f t="shared" si="80"/>
        <v>859.35901146206902</v>
      </c>
      <c r="GE108" s="62">
        <f ca="1">AVERAGE(OFFSET($GD$3,0,0,'Données projet'!$E$17+1,1))-AVERAGE(OFFSET($H$3,0,0,'Données projet'!$E$17+1,1))</f>
        <v>408.91016501484626</v>
      </c>
      <c r="GF108" s="62">
        <f t="shared" si="104"/>
        <v>354.22396807666433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5.2</v>
      </c>
      <c r="GU108" s="13">
        <f>IF('Données projet'!$A$270&gt;35,GU107+GT108-HC107,IF(A108&lt;'Données projet'!$A$270,$GR$205^A108,IF(A108='Données projet'!$A$270,'Données projet'!$B$270,GU107+GT108-HC107)))</f>
        <v>386.99999999999994</v>
      </c>
      <c r="GV108" s="18">
        <f>GU108*VLOOKUP('Données projet'!$B$18,Paramètres!$A$1:$I$89,3,0)*VLOOKUP('Données projet'!$B$18,Paramètres!$A$1:$I$89,5,0)</f>
        <v>374.30639999999994</v>
      </c>
      <c r="GW108" s="14">
        <f t="shared" si="105"/>
        <v>86.547726802089201</v>
      </c>
      <c r="GX108" s="22">
        <f t="shared" si="82"/>
        <v>802.65427084697183</v>
      </c>
      <c r="GY108" s="62">
        <f t="shared" si="83"/>
        <v>1095.9876041803052</v>
      </c>
      <c r="GZ108" s="62">
        <f ca="1">AVERAGE(OFFSET($GY$3,0,0,'Données projet'!$E$18+1,1))-AVERAGE(OFFSET($H$3,0,0,'Données projet'!$E$18+1,1))</f>
        <v>562.69380557620775</v>
      </c>
      <c r="HA108" s="62">
        <f t="shared" si="106"/>
        <v>294.45557293177131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392.19999999999993</v>
      </c>
      <c r="O109" s="14">
        <f>N109*VLOOKUP('Données projet'!$B$9,Paramètres!$A$1:$I$89,3,0)*VLOOKUP('Données projet'!$B$9,Paramètres!$A$1:$I$89,5,0)</f>
        <v>354.86255999999992</v>
      </c>
      <c r="P109" s="14">
        <f t="shared" si="87"/>
        <v>82.56295741106787</v>
      </c>
      <c r="Q109" s="22">
        <f t="shared" si="107"/>
        <v>761.84944282427648</v>
      </c>
      <c r="R109" s="62">
        <f t="shared" si="55"/>
        <v>1055.1827761576099</v>
      </c>
      <c r="S109" s="62">
        <f ca="1">AVERAGE(OFFSET($R$3,0,0,'Données projet'!$E$9+1,1))-AVERAGE(OFFSET($H$3,0,0,'Données projet'!$E$9+1,1))</f>
        <v>529.25712986118265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8.8675733422860506E-14</v>
      </c>
      <c r="AK109" s="14">
        <f t="shared" si="89"/>
        <v>1.3509285393066301E-12</v>
      </c>
      <c r="AL109" s="22">
        <f t="shared" si="58"/>
        <v>2.5073107750038623E-12</v>
      </c>
      <c r="AM109" s="62">
        <f t="shared" si="59"/>
        <v>293.33333333333582</v>
      </c>
      <c r="AN109" s="62">
        <f ca="1">AVERAGE(OFFSET($AM$3,0,0,'Données projet'!$E$10+1,1))-AVERAGE(OFFSET($H$3,0,0,'Données projet'!$E$10+1,1))</f>
        <v>292.57482726862594</v>
      </c>
      <c r="AO109" s="62">
        <f t="shared" si="90"/>
        <v>283.48738729114024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-3.4106051316484809E-13</v>
      </c>
      <c r="BE109" s="14">
        <f>BD109*VLOOKUP('Données projet'!$B$11,Paramètres!$A$1:$I$89,3,0)*VLOOKUP('Données projet'!$B$11,Paramètres!$A$1:$I$89,5,0)</f>
        <v>-2.5006556825246659E-13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397.24545766894346</v>
      </c>
      <c r="BJ109" s="62">
        <f t="shared" si="92"/>
        <v>431.44557882369696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2.2737367544323206E-13</v>
      </c>
      <c r="BZ109" s="14">
        <f>BY109*VLOOKUP('Données projet'!$B$12,Paramètres!$A$1:$I$89,3,0)*VLOOKUP('Données projet'!$B$12,Paramètres!$A$1:$I$89,5,0)</f>
        <v>1.4897523215040565E-13</v>
      </c>
      <c r="CA109" s="14">
        <f t="shared" si="93"/>
        <v>2.136562777003313E-12</v>
      </c>
      <c r="CB109" s="22">
        <f t="shared" si="64"/>
        <v>3.9806453659427267E-12</v>
      </c>
      <c r="CC109" s="62">
        <f t="shared" si="65"/>
        <v>293.33333333333729</v>
      </c>
      <c r="CD109" s="62">
        <f ca="1">AVERAGE(OFFSET($CC$3,0,0,'Données projet'!$E$12+1,1))-AVERAGE(OFFSET($H$3,0,0,'Données projet'!$E$12+1,1))</f>
        <v>277.27246253233807</v>
      </c>
      <c r="CE109" s="62">
        <f t="shared" si="94"/>
        <v>269.61868559913404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242.10575999999978</v>
      </c>
      <c r="CV109" s="14">
        <f t="shared" si="95"/>
        <v>58.89236440016068</v>
      </c>
      <c r="CW109" s="22">
        <f t="shared" si="67"/>
        <v>524.2383999969461</v>
      </c>
      <c r="CX109" s="62">
        <f t="shared" si="68"/>
        <v>817.57173333027936</v>
      </c>
      <c r="CY109" s="62">
        <f ca="1">AVERAGE(OFFSET($CX$3,0,0,'Données projet'!$E$13+1,1))-AVERAGE(OFFSET($H$3,0,0,'Données projet'!$E$13+1,1))</f>
        <v>402.15128814037058</v>
      </c>
      <c r="CZ109" s="62">
        <f t="shared" si="96"/>
        <v>232.85411068442738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3.9102564102564146</v>
      </c>
      <c r="DO109" s="13">
        <f>IF('Données projet'!$A$166&gt;35,DO108+DN109-DW108,IF(A109&lt;'Données projet'!$A$166,$DL$205^A109,IF(A109='Données projet'!$A$166,'Données projet'!$B$166,DO108+DN109-DW108)))</f>
        <v>313.84615384615364</v>
      </c>
      <c r="DP109" s="18">
        <f>DO109*VLOOKUP('Données projet'!$B$14,Paramètres!$A$1:$I$89,3,0)*VLOOKUP('Données projet'!$B$14,Paramètres!$A$1:$I$89,5,0)</f>
        <v>298.65599999999984</v>
      </c>
      <c r="DQ109" s="14">
        <f t="shared" si="97"/>
        <v>70.894635865895509</v>
      </c>
      <c r="DR109" s="22">
        <f t="shared" si="70"/>
        <v>643.63402413310109</v>
      </c>
      <c r="DS109" s="62">
        <f t="shared" si="71"/>
        <v>936.96735746643435</v>
      </c>
      <c r="DT109" s="62">
        <f ca="1">AVERAGE(OFFSET($DS$3,0,0,'Données projet'!$E$14+1,1))-AVERAGE(OFFSET($H$3,0,0,'Données projet'!$E$14+1,1))</f>
        <v>485.18236169209541</v>
      </c>
      <c r="DU109" s="62">
        <f t="shared" si="98"/>
        <v>417.30339652956951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-3.4106051316484809E-13</v>
      </c>
      <c r="EK109" s="18">
        <f>EJ109*VLOOKUP('Données projet'!$B$15,Paramètres!$A$1:$I$89,3,0)*VLOOKUP('Données projet'!$B$15,Paramètres!$A$1:$I$89,5,0)</f>
        <v>-2.7134774427395314E-13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427.78067187784063</v>
      </c>
      <c r="EP109" s="62">
        <f t="shared" si="100"/>
        <v>464.22892523825118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-1.1368683772161603E-13</v>
      </c>
      <c r="FF109" s="18">
        <f>FE109*VLOOKUP('Données projet'!$B$16,Paramètres!$A$1:$I$89,3,0)*VLOOKUP('Données projet'!$B$16,Paramètres!$A$1:$I$89,5,0)</f>
        <v>-9.7543306765146564E-14</v>
      </c>
      <c r="FG109" s="14" t="e">
        <f t="shared" si="101"/>
        <v>#NUM!</v>
      </c>
      <c r="FH109" s="22" t="e">
        <f t="shared" si="76"/>
        <v>#NUM!</v>
      </c>
      <c r="FI109" s="62" t="e">
        <f t="shared" si="77"/>
        <v>#NUM!</v>
      </c>
      <c r="FJ109" s="62">
        <f ca="1">AVERAGE(OFFSET($FI$3,0,0,'Données projet'!$E$16+1,1))-AVERAGE(OFFSET($H$3,0,0,'Données projet'!$E$16+1,1))</f>
        <v>448.44001099301806</v>
      </c>
      <c r="FK109" s="62">
        <f t="shared" si="102"/>
        <v>230.82970731138215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3.9743589743589722</v>
      </c>
      <c r="FZ109" s="13">
        <f>IF('Données projet'!$A$244&gt;35,FZ108+FY109-GH108,IF(A109&lt;'Données projet'!$A$244,$FW$205^A109,IF(A109='Données projet'!$A$244,'Données projet'!$B$244,FZ108+FY109-GH108)))</f>
        <v>394.35897435897408</v>
      </c>
      <c r="GA109" s="18">
        <f>FZ109*VLOOKUP('Données projet'!$B$17,Paramètres!$A$1:$I$89,3,0)*VLOOKUP('Données projet'!$B$17,Paramètres!$A$1:$I$89,5,0)</f>
        <v>264.53599999999983</v>
      </c>
      <c r="GB109" s="14">
        <f t="shared" si="103"/>
        <v>63.688294418549511</v>
      </c>
      <c r="GC109" s="22">
        <f t="shared" si="79"/>
        <v>571.65731277897339</v>
      </c>
      <c r="GD109" s="62">
        <f t="shared" si="80"/>
        <v>864.99064611230665</v>
      </c>
      <c r="GE109" s="62">
        <f ca="1">AVERAGE(OFFSET($GD$3,0,0,'Données projet'!$E$17+1,1))-AVERAGE(OFFSET($H$3,0,0,'Données projet'!$E$17+1,1))</f>
        <v>408.91016501484626</v>
      </c>
      <c r="GF109" s="62">
        <f t="shared" si="104"/>
        <v>354.22396807666433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5.2</v>
      </c>
      <c r="GU109" s="13">
        <f>IF('Données projet'!$A$270&gt;35,GU108+GT109-HC108,IF(A109&lt;'Données projet'!$A$270,$GR$205^A109,IF(A109='Données projet'!$A$270,'Données projet'!$B$270,GU108+GT109-HC108)))</f>
        <v>392.19999999999993</v>
      </c>
      <c r="GV109" s="18">
        <f>GU109*VLOOKUP('Données projet'!$B$18,Paramètres!$A$1:$I$89,3,0)*VLOOKUP('Données projet'!$B$18,Paramètres!$A$1:$I$89,5,0)</f>
        <v>379.33583999999996</v>
      </c>
      <c r="GW109" s="14">
        <f t="shared" si="105"/>
        <v>87.574479094077503</v>
      </c>
      <c r="GX109" s="22">
        <f t="shared" si="82"/>
        <v>813.2021390888516</v>
      </c>
      <c r="GY109" s="62">
        <f t="shared" si="83"/>
        <v>1106.535472422185</v>
      </c>
      <c r="GZ109" s="62">
        <f ca="1">AVERAGE(OFFSET($GY$3,0,0,'Données projet'!$E$18+1,1))-AVERAGE(OFFSET($H$3,0,0,'Données projet'!$E$18+1,1))</f>
        <v>562.69380557620775</v>
      </c>
      <c r="HA109" s="62">
        <f t="shared" si="106"/>
        <v>294.45557293177131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397.39999999999992</v>
      </c>
      <c r="O110" s="14">
        <f>N110*VLOOKUP('Données projet'!$B$9,Paramètres!$A$1:$I$89,3,0)*VLOOKUP('Données projet'!$B$9,Paramètres!$A$1:$I$89,5,0)</f>
        <v>359.56751999999989</v>
      </c>
      <c r="P110" s="14">
        <f t="shared" si="87"/>
        <v>83.529460161600639</v>
      </c>
      <c r="Q110" s="22">
        <f t="shared" si="107"/>
        <v>771.72724044812094</v>
      </c>
      <c r="R110" s="62">
        <f t="shared" si="55"/>
        <v>1065.0605737814542</v>
      </c>
      <c r="S110" s="62">
        <f ca="1">AVERAGE(OFFSET($R$3,0,0,'Données projet'!$E$9+1,1))-AVERAGE(OFFSET($H$3,0,0,'Données projet'!$E$9+1,1))</f>
        <v>529.25712986118265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8.8675733422860506E-14</v>
      </c>
      <c r="AK110" s="14">
        <f t="shared" si="89"/>
        <v>1.3509285393066301E-12</v>
      </c>
      <c r="AL110" s="22">
        <f t="shared" si="58"/>
        <v>2.5073107750038623E-12</v>
      </c>
      <c r="AM110" s="62">
        <f t="shared" si="59"/>
        <v>293.33333333333582</v>
      </c>
      <c r="AN110" s="62">
        <f ca="1">AVERAGE(OFFSET($AM$3,0,0,'Données projet'!$E$10+1,1))-AVERAGE(OFFSET($H$3,0,0,'Données projet'!$E$10+1,1))</f>
        <v>292.57482726862594</v>
      </c>
      <c r="AO110" s="62">
        <f t="shared" si="90"/>
        <v>283.48738729114024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-3.4106051316484809E-13</v>
      </c>
      <c r="BE110" s="14">
        <f>BD110*VLOOKUP('Données projet'!$B$11,Paramètres!$A$1:$I$89,3,0)*VLOOKUP('Données projet'!$B$11,Paramètres!$A$1:$I$89,5,0)</f>
        <v>-2.5006556825246659E-13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397.24545766894346</v>
      </c>
      <c r="BJ110" s="62">
        <f t="shared" si="92"/>
        <v>431.44557882369696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2.2737367544323206E-13</v>
      </c>
      <c r="BZ110" s="14">
        <f>BY110*VLOOKUP('Données projet'!$B$12,Paramètres!$A$1:$I$89,3,0)*VLOOKUP('Données projet'!$B$12,Paramètres!$A$1:$I$89,5,0)</f>
        <v>1.4897523215040565E-13</v>
      </c>
      <c r="CA110" s="14">
        <f t="shared" si="93"/>
        <v>2.136562777003313E-12</v>
      </c>
      <c r="CB110" s="22">
        <f t="shared" si="64"/>
        <v>3.9806453659427267E-12</v>
      </c>
      <c r="CC110" s="62">
        <f t="shared" si="65"/>
        <v>293.33333333333729</v>
      </c>
      <c r="CD110" s="62">
        <f ca="1">AVERAGE(OFFSET($CC$3,0,0,'Données projet'!$E$12+1,1))-AVERAGE(OFFSET($H$3,0,0,'Données projet'!$E$12+1,1))</f>
        <v>277.27246253233807</v>
      </c>
      <c r="CE110" s="62">
        <f t="shared" si="94"/>
        <v>269.61868559913404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245.81231999999974</v>
      </c>
      <c r="CV110" s="14">
        <f t="shared" si="95"/>
        <v>59.68833249594293</v>
      </c>
      <c r="CW110" s="22">
        <f t="shared" si="67"/>
        <v>532.08030309710023</v>
      </c>
      <c r="CX110" s="62">
        <f t="shared" si="68"/>
        <v>825.4136364304336</v>
      </c>
      <c r="CY110" s="62">
        <f ca="1">AVERAGE(OFFSET($CX$3,0,0,'Données projet'!$E$13+1,1))-AVERAGE(OFFSET($H$3,0,0,'Données projet'!$E$13+1,1))</f>
        <v>402.15128814037058</v>
      </c>
      <c r="CZ110" s="62">
        <f t="shared" si="96"/>
        <v>232.85411068442738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3.9102564102564146</v>
      </c>
      <c r="DO110" s="13">
        <f>IF('Données projet'!$A$166&gt;35,DO109+DN110-DW109,IF(A110&lt;'Données projet'!$A$166,$DL$205^A110,IF(A110='Données projet'!$A$166,'Données projet'!$B$166,DO109+DN110-DW109)))</f>
        <v>317.75641025641005</v>
      </c>
      <c r="DP110" s="18">
        <f>DO110*VLOOKUP('Données projet'!$B$14,Paramètres!$A$1:$I$89,3,0)*VLOOKUP('Données projet'!$B$14,Paramètres!$A$1:$I$89,5,0)</f>
        <v>302.37699999999978</v>
      </c>
      <c r="DQ110" s="14">
        <f t="shared" si="97"/>
        <v>71.674544862074825</v>
      </c>
      <c r="DR110" s="22">
        <f t="shared" si="70"/>
        <v>651.47310730144648</v>
      </c>
      <c r="DS110" s="62">
        <f t="shared" si="71"/>
        <v>944.80644063477985</v>
      </c>
      <c r="DT110" s="62">
        <f ca="1">AVERAGE(OFFSET($DS$3,0,0,'Données projet'!$E$14+1,1))-AVERAGE(OFFSET($H$3,0,0,'Données projet'!$E$14+1,1))</f>
        <v>485.18236169209541</v>
      </c>
      <c r="DU110" s="62">
        <f t="shared" si="98"/>
        <v>417.30339652956951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-3.4106051316484809E-13</v>
      </c>
      <c r="EK110" s="18">
        <f>EJ110*VLOOKUP('Données projet'!$B$15,Paramètres!$A$1:$I$89,3,0)*VLOOKUP('Données projet'!$B$15,Paramètres!$A$1:$I$89,5,0)</f>
        <v>-2.7134774427395314E-13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427.78067187784063</v>
      </c>
      <c r="EP110" s="62">
        <f t="shared" si="100"/>
        <v>464.22892523825118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-1.1368683772161603E-13</v>
      </c>
      <c r="FF110" s="18">
        <f>FE110*VLOOKUP('Données projet'!$B$16,Paramètres!$A$1:$I$89,3,0)*VLOOKUP('Données projet'!$B$16,Paramètres!$A$1:$I$89,5,0)</f>
        <v>-9.7543306765146564E-14</v>
      </c>
      <c r="FG110" s="14" t="e">
        <f t="shared" si="101"/>
        <v>#NUM!</v>
      </c>
      <c r="FH110" s="22" t="e">
        <f t="shared" si="76"/>
        <v>#NUM!</v>
      </c>
      <c r="FI110" s="62" t="e">
        <f t="shared" si="77"/>
        <v>#NUM!</v>
      </c>
      <c r="FJ110" s="62">
        <f ca="1">AVERAGE(OFFSET($FI$3,0,0,'Données projet'!$E$16+1,1))-AVERAGE(OFFSET($H$3,0,0,'Données projet'!$E$16+1,1))</f>
        <v>448.44001099301806</v>
      </c>
      <c r="FK110" s="62">
        <f t="shared" si="102"/>
        <v>230.82970731138215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3.9743589743589722</v>
      </c>
      <c r="FZ110" s="13">
        <f>IF('Données projet'!$A$244&gt;35,FZ109+FY110-GH109,IF(A110&lt;'Données projet'!$A$244,$FW$205^A110,IF(A110='Données projet'!$A$244,'Données projet'!$B$244,FZ109+FY110-GH109)))</f>
        <v>398.33333333333303</v>
      </c>
      <c r="GA110" s="18">
        <f>FZ110*VLOOKUP('Données projet'!$B$17,Paramètres!$A$1:$I$89,3,0)*VLOOKUP('Données projet'!$B$17,Paramètres!$A$1:$I$89,5,0)</f>
        <v>267.20199999999977</v>
      </c>
      <c r="GB110" s="14">
        <f t="shared" si="103"/>
        <v>64.255103543261811</v>
      </c>
      <c r="GC110" s="22">
        <f t="shared" si="79"/>
        <v>577.28778867118069</v>
      </c>
      <c r="GD110" s="62">
        <f t="shared" si="80"/>
        <v>870.62112200451406</v>
      </c>
      <c r="GE110" s="62">
        <f ca="1">AVERAGE(OFFSET($GD$3,0,0,'Données projet'!$E$17+1,1))-AVERAGE(OFFSET($H$3,0,0,'Données projet'!$E$17+1,1))</f>
        <v>408.91016501484626</v>
      </c>
      <c r="GF110" s="62">
        <f t="shared" si="104"/>
        <v>354.22396807666433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5.2</v>
      </c>
      <c r="GU110" s="13">
        <f>IF('Données projet'!$A$270&gt;35,GU109+GT110-HC109,IF(A110&lt;'Données projet'!$A$270,$GR$205^A110,IF(A110='Données projet'!$A$270,'Données projet'!$B$270,GU109+GT110-HC109)))</f>
        <v>397.39999999999992</v>
      </c>
      <c r="GV110" s="18">
        <f>GU110*VLOOKUP('Données projet'!$B$18,Paramètres!$A$1:$I$89,3,0)*VLOOKUP('Données projet'!$B$18,Paramètres!$A$1:$I$89,5,0)</f>
        <v>384.36527999999993</v>
      </c>
      <c r="GW110" s="14">
        <f t="shared" si="105"/>
        <v>88.599647978223373</v>
      </c>
      <c r="GX110" s="22">
        <f t="shared" si="82"/>
        <v>823.74724956207217</v>
      </c>
      <c r="GY110" s="62">
        <f t="shared" si="83"/>
        <v>1117.0805828954055</v>
      </c>
      <c r="GZ110" s="62">
        <f ca="1">AVERAGE(OFFSET($GY$3,0,0,'Données projet'!$E$18+1,1))-AVERAGE(OFFSET($H$3,0,0,'Données projet'!$E$18+1,1))</f>
        <v>562.69380557620775</v>
      </c>
      <c r="HA110" s="62">
        <f t="shared" si="106"/>
        <v>294.45557293177131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402.59999999999991</v>
      </c>
      <c r="O111" s="14">
        <f>N111*VLOOKUP('Données projet'!$B$9,Paramètres!$A$1:$I$89,3,0)*VLOOKUP('Données projet'!$B$9,Paramètres!$A$1:$I$89,5,0)</f>
        <v>364.27247999999992</v>
      </c>
      <c r="P111" s="14">
        <f t="shared" si="87"/>
        <v>84.494491907753741</v>
      </c>
      <c r="Q111" s="22">
        <f t="shared" si="107"/>
        <v>781.60247607267092</v>
      </c>
      <c r="R111" s="62">
        <f t="shared" si="55"/>
        <v>1074.9358094060042</v>
      </c>
      <c r="S111" s="62">
        <f ca="1">AVERAGE(OFFSET($R$3,0,0,'Données projet'!$E$9+1,1))-AVERAGE(OFFSET($H$3,0,0,'Données projet'!$E$9+1,1))</f>
        <v>529.25712986118265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8.8675733422860506E-14</v>
      </c>
      <c r="AK111" s="14">
        <f t="shared" si="89"/>
        <v>1.3509285393066301E-12</v>
      </c>
      <c r="AL111" s="22">
        <f t="shared" si="58"/>
        <v>2.5073107750038623E-12</v>
      </c>
      <c r="AM111" s="62">
        <f t="shared" si="59"/>
        <v>293.33333333333582</v>
      </c>
      <c r="AN111" s="62">
        <f ca="1">AVERAGE(OFFSET($AM$3,0,0,'Données projet'!$E$10+1,1))-AVERAGE(OFFSET($H$3,0,0,'Données projet'!$E$10+1,1))</f>
        <v>292.57482726862594</v>
      </c>
      <c r="AO111" s="62">
        <f t="shared" si="90"/>
        <v>283.48738729114024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-3.4106051316484809E-13</v>
      </c>
      <c r="BE111" s="14">
        <f>BD111*VLOOKUP('Données projet'!$B$11,Paramètres!$A$1:$I$89,3,0)*VLOOKUP('Données projet'!$B$11,Paramètres!$A$1:$I$89,5,0)</f>
        <v>-2.5006556825246659E-13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397.24545766894346</v>
      </c>
      <c r="BJ111" s="62">
        <f t="shared" si="92"/>
        <v>431.44557882369696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2.2737367544323206E-13</v>
      </c>
      <c r="BZ111" s="14">
        <f>BY111*VLOOKUP('Données projet'!$B$12,Paramètres!$A$1:$I$89,3,0)*VLOOKUP('Données projet'!$B$12,Paramètres!$A$1:$I$89,5,0)</f>
        <v>1.4897523215040565E-13</v>
      </c>
      <c r="CA111" s="14">
        <f t="shared" si="93"/>
        <v>2.136562777003313E-12</v>
      </c>
      <c r="CB111" s="22">
        <f t="shared" si="64"/>
        <v>3.9806453659427267E-12</v>
      </c>
      <c r="CC111" s="62">
        <f t="shared" si="65"/>
        <v>293.33333333333729</v>
      </c>
      <c r="CD111" s="62">
        <f ca="1">AVERAGE(OFFSET($CC$3,0,0,'Données projet'!$E$12+1,1))-AVERAGE(OFFSET($H$3,0,0,'Données projet'!$E$12+1,1))</f>
        <v>277.27246253233807</v>
      </c>
      <c r="CE111" s="62">
        <f t="shared" si="94"/>
        <v>269.61868559913404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249.51887999999971</v>
      </c>
      <c r="CV111" s="14">
        <f t="shared" si="95"/>
        <v>60.482904697997853</v>
      </c>
      <c r="CW111" s="22">
        <f t="shared" si="67"/>
        <v>539.91977501567897</v>
      </c>
      <c r="CX111" s="62">
        <f t="shared" si="68"/>
        <v>833.25310834901234</v>
      </c>
      <c r="CY111" s="62">
        <f ca="1">AVERAGE(OFFSET($CX$3,0,0,'Données projet'!$E$13+1,1))-AVERAGE(OFFSET($H$3,0,0,'Données projet'!$E$13+1,1))</f>
        <v>402.15128814037058</v>
      </c>
      <c r="CZ111" s="62">
        <f t="shared" si="96"/>
        <v>232.85411068442738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3.9102564102564146</v>
      </c>
      <c r="DO111" s="13">
        <f>IF('Données projet'!$A$166&gt;35,DO110+DN111-DW110,IF(A111&lt;'Données projet'!$A$166,$DL$205^A111,IF(A111='Données projet'!$A$166,'Données projet'!$B$166,DO110+DN111-DW110)))</f>
        <v>321.66666666666646</v>
      </c>
      <c r="DP111" s="18">
        <f>DO111*VLOOKUP('Données projet'!$B$14,Paramètres!$A$1:$I$89,3,0)*VLOOKUP('Données projet'!$B$14,Paramètres!$A$1:$I$89,5,0)</f>
        <v>306.09799999999979</v>
      </c>
      <c r="DQ111" s="14">
        <f t="shared" si="97"/>
        <v>72.453337487595761</v>
      </c>
      <c r="DR111" s="22">
        <f t="shared" si="70"/>
        <v>659.31024612422891</v>
      </c>
      <c r="DS111" s="62">
        <f t="shared" si="71"/>
        <v>952.64357945756228</v>
      </c>
      <c r="DT111" s="62">
        <f ca="1">AVERAGE(OFFSET($DS$3,0,0,'Données projet'!$E$14+1,1))-AVERAGE(OFFSET($H$3,0,0,'Données projet'!$E$14+1,1))</f>
        <v>485.18236169209541</v>
      </c>
      <c r="DU111" s="62">
        <f t="shared" si="98"/>
        <v>417.30339652956951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-3.4106051316484809E-13</v>
      </c>
      <c r="EK111" s="18">
        <f>EJ111*VLOOKUP('Données projet'!$B$15,Paramètres!$A$1:$I$89,3,0)*VLOOKUP('Données projet'!$B$15,Paramètres!$A$1:$I$89,5,0)</f>
        <v>-2.7134774427395314E-13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427.78067187784063</v>
      </c>
      <c r="EP111" s="62">
        <f t="shared" si="100"/>
        <v>464.22892523825118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-1.1368683772161603E-13</v>
      </c>
      <c r="FF111" s="18">
        <f>FE111*VLOOKUP('Données projet'!$B$16,Paramètres!$A$1:$I$89,3,0)*VLOOKUP('Données projet'!$B$16,Paramètres!$A$1:$I$89,5,0)</f>
        <v>-9.7543306765146564E-14</v>
      </c>
      <c r="FG111" s="14" t="e">
        <f t="shared" si="101"/>
        <v>#NUM!</v>
      </c>
      <c r="FH111" s="22" t="e">
        <f t="shared" si="76"/>
        <v>#NUM!</v>
      </c>
      <c r="FI111" s="62" t="e">
        <f t="shared" si="77"/>
        <v>#NUM!</v>
      </c>
      <c r="FJ111" s="62">
        <f ca="1">AVERAGE(OFFSET($FI$3,0,0,'Données projet'!$E$16+1,1))-AVERAGE(OFFSET($H$3,0,0,'Données projet'!$E$16+1,1))</f>
        <v>448.44001099301806</v>
      </c>
      <c r="FK111" s="62">
        <f t="shared" si="102"/>
        <v>230.82970731138215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3.9743589743589722</v>
      </c>
      <c r="FZ111" s="13">
        <f>IF('Données projet'!$A$244&gt;35,FZ110+FY111-GH110,IF(A111&lt;'Données projet'!$A$244,$FW$205^A111,IF(A111='Données projet'!$A$244,'Données projet'!$B$244,FZ110+FY111-GH110)))</f>
        <v>402.30769230769198</v>
      </c>
      <c r="GA111" s="18">
        <f>FZ111*VLOOKUP('Données projet'!$B$17,Paramètres!$A$1:$I$89,3,0)*VLOOKUP('Données projet'!$B$17,Paramètres!$A$1:$I$89,5,0)</f>
        <v>269.86799999999977</v>
      </c>
      <c r="GB111" s="14">
        <f t="shared" si="103"/>
        <v>64.821254759153121</v>
      </c>
      <c r="GC111" s="22">
        <f t="shared" si="79"/>
        <v>582.91711870552467</v>
      </c>
      <c r="GD111" s="62">
        <f t="shared" si="80"/>
        <v>876.25045203885793</v>
      </c>
      <c r="GE111" s="62">
        <f ca="1">AVERAGE(OFFSET($GD$3,0,0,'Données projet'!$E$17+1,1))-AVERAGE(OFFSET($H$3,0,0,'Données projet'!$E$17+1,1))</f>
        <v>408.91016501484626</v>
      </c>
      <c r="GF111" s="62">
        <f t="shared" si="104"/>
        <v>354.22396807666433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5.2</v>
      </c>
      <c r="GU111" s="13">
        <f>IF('Données projet'!$A$270&gt;35,GU110+GT111-HC110,IF(A111&lt;'Données projet'!$A$270,$GR$205^A111,IF(A111='Données projet'!$A$270,'Données projet'!$B$270,GU110+GT111-HC110)))</f>
        <v>402.59999999999991</v>
      </c>
      <c r="GV111" s="18">
        <f>GU111*VLOOKUP('Données projet'!$B$18,Paramètres!$A$1:$I$89,3,0)*VLOOKUP('Données projet'!$B$18,Paramètres!$A$1:$I$89,5,0)</f>
        <v>389.39471999999989</v>
      </c>
      <c r="GW111" s="14">
        <f t="shared" si="105"/>
        <v>89.623256568911799</v>
      </c>
      <c r="GX111" s="22">
        <f t="shared" si="82"/>
        <v>834.28964252418791</v>
      </c>
      <c r="GY111" s="62">
        <f t="shared" si="83"/>
        <v>1127.6229758575212</v>
      </c>
      <c r="GZ111" s="62">
        <f ca="1">AVERAGE(OFFSET($GY$3,0,0,'Données projet'!$E$18+1,1))-AVERAGE(OFFSET($H$3,0,0,'Données projet'!$E$18+1,1))</f>
        <v>562.69380557620775</v>
      </c>
      <c r="HA111" s="62">
        <f t="shared" si="106"/>
        <v>294.45557293177131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407.7999999999999</v>
      </c>
      <c r="O112" s="14">
        <f>N112*VLOOKUP('Données projet'!$B$9,Paramètres!$A$1:$I$89,3,0)*VLOOKUP('Données projet'!$B$9,Paramètres!$A$1:$I$89,5,0)</f>
        <v>368.97743999999989</v>
      </c>
      <c r="P112" s="14">
        <f t="shared" si="87"/>
        <v>85.458073845884769</v>
      </c>
      <c r="Q112" s="22">
        <f t="shared" si="107"/>
        <v>791.47518661491574</v>
      </c>
      <c r="R112" s="62">
        <f t="shared" si="55"/>
        <v>1084.8085199482491</v>
      </c>
      <c r="S112" s="62">
        <f ca="1">AVERAGE(OFFSET($R$3,0,0,'Données projet'!$E$9+1,1))-AVERAGE(OFFSET($H$3,0,0,'Données projet'!$E$9+1,1))</f>
        <v>529.25712986118265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8.8675733422860506E-14</v>
      </c>
      <c r="AK112" s="14">
        <f t="shared" si="89"/>
        <v>1.3509285393066301E-12</v>
      </c>
      <c r="AL112" s="22">
        <f t="shared" si="58"/>
        <v>2.5073107750038623E-12</v>
      </c>
      <c r="AM112" s="62">
        <f t="shared" si="59"/>
        <v>293.33333333333582</v>
      </c>
      <c r="AN112" s="62">
        <f ca="1">AVERAGE(OFFSET($AM$3,0,0,'Données projet'!$E$10+1,1))-AVERAGE(OFFSET($H$3,0,0,'Données projet'!$E$10+1,1))</f>
        <v>292.57482726862594</v>
      </c>
      <c r="AO112" s="62">
        <f t="shared" si="90"/>
        <v>283.48738729114024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-3.4106051316484809E-13</v>
      </c>
      <c r="BE112" s="14">
        <f>BD112*VLOOKUP('Données projet'!$B$11,Paramètres!$A$1:$I$89,3,0)*VLOOKUP('Données projet'!$B$11,Paramètres!$A$1:$I$89,5,0)</f>
        <v>-2.5006556825246659E-13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397.24545766894346</v>
      </c>
      <c r="BJ112" s="62">
        <f t="shared" si="92"/>
        <v>431.44557882369696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2.2737367544323206E-13</v>
      </c>
      <c r="BZ112" s="14">
        <f>BY112*VLOOKUP('Données projet'!$B$12,Paramètres!$A$1:$I$89,3,0)*VLOOKUP('Données projet'!$B$12,Paramètres!$A$1:$I$89,5,0)</f>
        <v>1.4897523215040565E-13</v>
      </c>
      <c r="CA112" s="14">
        <f t="shared" si="93"/>
        <v>2.136562777003313E-12</v>
      </c>
      <c r="CB112" s="22">
        <f t="shared" si="64"/>
        <v>3.9806453659427267E-12</v>
      </c>
      <c r="CC112" s="62">
        <f t="shared" si="65"/>
        <v>293.33333333333729</v>
      </c>
      <c r="CD112" s="62">
        <f ca="1">AVERAGE(OFFSET($CC$3,0,0,'Données projet'!$E$12+1,1))-AVERAGE(OFFSET($H$3,0,0,'Données projet'!$E$12+1,1))</f>
        <v>277.27246253233807</v>
      </c>
      <c r="CE112" s="62">
        <f t="shared" si="94"/>
        <v>269.61868559913404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253.22543999999971</v>
      </c>
      <c r="CV112" s="14">
        <f t="shared" si="95"/>
        <v>61.276104137439418</v>
      </c>
      <c r="CW112" s="22">
        <f t="shared" si="67"/>
        <v>547.75685603937313</v>
      </c>
      <c r="CX112" s="62">
        <f t="shared" si="68"/>
        <v>841.09018937270639</v>
      </c>
      <c r="CY112" s="62">
        <f ca="1">AVERAGE(OFFSET($CX$3,0,0,'Données projet'!$E$13+1,1))-AVERAGE(OFFSET($H$3,0,0,'Données projet'!$E$13+1,1))</f>
        <v>402.15128814037058</v>
      </c>
      <c r="CZ112" s="62">
        <f t="shared" si="96"/>
        <v>232.85411068442738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3.9102564102564146</v>
      </c>
      <c r="DO112" s="13">
        <f>IF('Données projet'!$A$166&gt;35,DO111+DN112-DW111,IF(A112&lt;'Données projet'!$A$166,$DL$205^A112,IF(A112='Données projet'!$A$166,'Données projet'!$B$166,DO111+DN112-DW111)))</f>
        <v>325.57692307692287</v>
      </c>
      <c r="DP112" s="18">
        <f>DO112*VLOOKUP('Données projet'!$B$14,Paramètres!$A$1:$I$89,3,0)*VLOOKUP('Données projet'!$B$14,Paramètres!$A$1:$I$89,5,0)</f>
        <v>309.81899999999985</v>
      </c>
      <c r="DQ112" s="14">
        <f t="shared" si="97"/>
        <v>73.231028883010254</v>
      </c>
      <c r="DR112" s="22">
        <f t="shared" si="70"/>
        <v>667.14546697124263</v>
      </c>
      <c r="DS112" s="62">
        <f t="shared" si="71"/>
        <v>960.478800304576</v>
      </c>
      <c r="DT112" s="62">
        <f ca="1">AVERAGE(OFFSET($DS$3,0,0,'Données projet'!$E$14+1,1))-AVERAGE(OFFSET($H$3,0,0,'Données projet'!$E$14+1,1))</f>
        <v>485.18236169209541</v>
      </c>
      <c r="DU112" s="62">
        <f t="shared" si="98"/>
        <v>417.30339652956951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-3.4106051316484809E-13</v>
      </c>
      <c r="EK112" s="18">
        <f>EJ112*VLOOKUP('Données projet'!$B$15,Paramètres!$A$1:$I$89,3,0)*VLOOKUP('Données projet'!$B$15,Paramètres!$A$1:$I$89,5,0)</f>
        <v>-2.7134774427395314E-13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427.78067187784063</v>
      </c>
      <c r="EP112" s="62">
        <f t="shared" si="100"/>
        <v>464.22892523825118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-1.1368683772161603E-13</v>
      </c>
      <c r="FF112" s="18">
        <f>FE112*VLOOKUP('Données projet'!$B$16,Paramètres!$A$1:$I$89,3,0)*VLOOKUP('Données projet'!$B$16,Paramètres!$A$1:$I$89,5,0)</f>
        <v>-9.7543306765146564E-14</v>
      </c>
      <c r="FG112" s="14" t="e">
        <f t="shared" si="101"/>
        <v>#NUM!</v>
      </c>
      <c r="FH112" s="22" t="e">
        <f t="shared" si="76"/>
        <v>#NUM!</v>
      </c>
      <c r="FI112" s="62" t="e">
        <f t="shared" si="77"/>
        <v>#NUM!</v>
      </c>
      <c r="FJ112" s="62">
        <f ca="1">AVERAGE(OFFSET($FI$3,0,0,'Données projet'!$E$16+1,1))-AVERAGE(OFFSET($H$3,0,0,'Données projet'!$E$16+1,1))</f>
        <v>448.44001099301806</v>
      </c>
      <c r="FK112" s="62">
        <f t="shared" si="102"/>
        <v>230.82970731138215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3.9743589743589722</v>
      </c>
      <c r="FZ112" s="13">
        <f>IF('Données projet'!$A$244&gt;35,FZ111+FY112-GH111,IF(A112&lt;'Données projet'!$A$244,$FW$205^A112,IF(A112='Données projet'!$A$244,'Données projet'!$B$244,FZ111+FY112-GH111)))</f>
        <v>406.28205128205093</v>
      </c>
      <c r="GA112" s="18">
        <f>FZ112*VLOOKUP('Données projet'!$B$17,Paramètres!$A$1:$I$89,3,0)*VLOOKUP('Données projet'!$B$17,Paramètres!$A$1:$I$89,5,0)</f>
        <v>272.53399999999976</v>
      </c>
      <c r="GB112" s="14">
        <f t="shared" si="103"/>
        <v>65.386755318240361</v>
      </c>
      <c r="GC112" s="22">
        <f t="shared" si="79"/>
        <v>588.54531551260163</v>
      </c>
      <c r="GD112" s="62">
        <f t="shared" si="80"/>
        <v>881.878648845935</v>
      </c>
      <c r="GE112" s="62">
        <f ca="1">AVERAGE(OFFSET($GD$3,0,0,'Données projet'!$E$17+1,1))-AVERAGE(OFFSET($H$3,0,0,'Données projet'!$E$17+1,1))</f>
        <v>408.91016501484626</v>
      </c>
      <c r="GF112" s="62">
        <f t="shared" si="104"/>
        <v>354.22396807666433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5.2</v>
      </c>
      <c r="GU112" s="13">
        <f>IF('Données projet'!$A$270&gt;35,GU111+GT112-HC111,IF(A112&lt;'Données projet'!$A$270,$GR$205^A112,IF(A112='Données projet'!$A$270,'Données projet'!$B$270,GU111+GT112-HC111)))</f>
        <v>407.7999999999999</v>
      </c>
      <c r="GV112" s="18">
        <f>GU112*VLOOKUP('Données projet'!$B$18,Paramètres!$A$1:$I$89,3,0)*VLOOKUP('Données projet'!$B$18,Paramètres!$A$1:$I$89,5,0)</f>
        <v>394.42415999999992</v>
      </c>
      <c r="GW112" s="14">
        <f t="shared" si="105"/>
        <v>90.645327349106196</v>
      </c>
      <c r="GX112" s="22">
        <f t="shared" si="82"/>
        <v>844.82935713302641</v>
      </c>
      <c r="GY112" s="62">
        <f t="shared" si="83"/>
        <v>1138.1626904663597</v>
      </c>
      <c r="GZ112" s="62">
        <f ca="1">AVERAGE(OFFSET($GY$3,0,0,'Données projet'!$E$18+1,1))-AVERAGE(OFFSET($H$3,0,0,'Données projet'!$E$18+1,1))</f>
        <v>562.69380557620775</v>
      </c>
      <c r="HA112" s="62">
        <f t="shared" si="106"/>
        <v>294.45557293177131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413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412.99999999999989</v>
      </c>
      <c r="O113" s="14">
        <f>N113*VLOOKUP('Données projet'!$B$9,Paramètres!$A$1:$I$89,3,0)*VLOOKUP('Données projet'!$B$9,Paramètres!$A$1:$I$89,5,0)</f>
        <v>373.68239999999986</v>
      </c>
      <c r="P113" s="14">
        <f t="shared" si="87"/>
        <v>86.420226600704183</v>
      </c>
      <c r="Q113" s="22">
        <f t="shared" si="107"/>
        <v>801.34540799622619</v>
      </c>
      <c r="R113" s="62">
        <f t="shared" si="55"/>
        <v>1094.6787413295594</v>
      </c>
      <c r="S113" s="62">
        <f ca="1">AVERAGE(OFFSET($R$3,0,0,'Données projet'!$E$9+1,1))-AVERAGE(OFFSET($H$3,0,0,'Données projet'!$E$9+1,1))</f>
        <v>529.25712986118265</v>
      </c>
      <c r="T113" s="62">
        <f t="shared" si="88"/>
        <v>278.21741231699929</v>
      </c>
      <c r="U113" s="16">
        <f>IF(ISNA(VLOOKUP(A113,'Données projet'!$A$35:$I$55,3,0)),0,VLOOKUP(A113,'Données projet'!$A$35:$I$55,3,0))</f>
        <v>8</v>
      </c>
      <c r="V113" s="16">
        <f>IF(ISNA(VLOOKUP(A113,'Données projet'!$A$35:$I$55,4,0)),0,VLOOKUP(A113,'Données projet'!$A$35:$I$55,4,0))</f>
        <v>106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8.8675733422860506E-14</v>
      </c>
      <c r="AK113" s="14">
        <f t="shared" si="89"/>
        <v>1.3509285393066301E-12</v>
      </c>
      <c r="AL113" s="22">
        <f t="shared" si="58"/>
        <v>2.5073107750038623E-12</v>
      </c>
      <c r="AM113" s="62">
        <f t="shared" si="59"/>
        <v>293.33333333333582</v>
      </c>
      <c r="AN113" s="62">
        <f ca="1">AVERAGE(OFFSET($AM$3,0,0,'Données projet'!$E$10+1,1))-AVERAGE(OFFSET($H$3,0,0,'Données projet'!$E$10+1,1))</f>
        <v>292.57482726862594</v>
      </c>
      <c r="AO113" s="62">
        <f t="shared" si="90"/>
        <v>283.48738729114024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-3.4106051316484809E-13</v>
      </c>
      <c r="BE113" s="14">
        <f>BD113*VLOOKUP('Données projet'!$B$11,Paramètres!$A$1:$I$89,3,0)*VLOOKUP('Données projet'!$B$11,Paramètres!$A$1:$I$89,5,0)</f>
        <v>-2.5006556825246659E-13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397.24545766894346</v>
      </c>
      <c r="BJ113" s="62">
        <f t="shared" si="92"/>
        <v>431.44557882369696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2.2737367544323206E-13</v>
      </c>
      <c r="BZ113" s="14">
        <f>BY113*VLOOKUP('Données projet'!$B$12,Paramètres!$A$1:$I$89,3,0)*VLOOKUP('Données projet'!$B$12,Paramètres!$A$1:$I$89,5,0)</f>
        <v>1.4897523215040565E-13</v>
      </c>
      <c r="CA113" s="14">
        <f t="shared" si="93"/>
        <v>2.136562777003313E-12</v>
      </c>
      <c r="CB113" s="22">
        <f t="shared" si="64"/>
        <v>3.9806453659427267E-12</v>
      </c>
      <c r="CC113" s="62">
        <f t="shared" si="65"/>
        <v>293.33333333333729</v>
      </c>
      <c r="CD113" s="62">
        <f ca="1">AVERAGE(OFFSET($CC$3,0,0,'Données projet'!$E$12+1,1))-AVERAGE(OFFSET($H$3,0,0,'Données projet'!$E$12+1,1))</f>
        <v>277.27246253233807</v>
      </c>
      <c r="CE113" s="62">
        <f t="shared" si="94"/>
        <v>269.61868559913404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256.93199999999968</v>
      </c>
      <c r="CV113" s="14">
        <f t="shared" si="95"/>
        <v>62.0679532293465</v>
      </c>
      <c r="CW113" s="22">
        <f t="shared" si="67"/>
        <v>555.59158520777794</v>
      </c>
      <c r="CX113" s="62">
        <f t="shared" si="68"/>
        <v>848.92491854111131</v>
      </c>
      <c r="CY113" s="62">
        <f ca="1">AVERAGE(OFFSET($CX$3,0,0,'Données projet'!$E$13+1,1))-AVERAGE(OFFSET($H$3,0,0,'Données projet'!$E$13+1,1))</f>
        <v>402.15128814037058</v>
      </c>
      <c r="CZ113" s="62">
        <f t="shared" si="96"/>
        <v>232.85411068442738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329.4871794871795</v>
      </c>
      <c r="DM113" s="13">
        <f>VLOOKUP(A113,'Données projet'!$A$165:$I$185,9,0)</f>
        <v>3.9102564102564146</v>
      </c>
      <c r="DN113" s="13">
        <f t="array" ref="DN113">INDEX(DM:DM,MIN(IF(ISNUMBER(DM113:DM309),ROW(DM113:DM309),"")))</f>
        <v>3.9102564102564146</v>
      </c>
      <c r="DO113" s="13">
        <f>IF('Données projet'!$A$166&gt;35,DO112+DN113-DW112,IF(A113&lt;'Données projet'!$A$166,$DL$205^A113,IF(A113='Données projet'!$A$166,'Données projet'!$B$166,DO112+DN113-DW112)))</f>
        <v>329.48717948717928</v>
      </c>
      <c r="DP113" s="18">
        <f>DO113*VLOOKUP('Données projet'!$B$14,Paramètres!$A$1:$I$89,3,0)*VLOOKUP('Données projet'!$B$14,Paramètres!$A$1:$I$89,5,0)</f>
        <v>313.53999999999979</v>
      </c>
      <c r="DQ113" s="14">
        <f t="shared" si="97"/>
        <v>74.007633804261772</v>
      </c>
      <c r="DR113" s="22">
        <f t="shared" si="70"/>
        <v>674.97879554242218</v>
      </c>
      <c r="DS113" s="62">
        <f t="shared" si="71"/>
        <v>968.31212887575543</v>
      </c>
      <c r="DT113" s="62">
        <f ca="1">AVERAGE(OFFSET($DS$3,0,0,'Données projet'!$E$14+1,1))-AVERAGE(OFFSET($H$3,0,0,'Données projet'!$E$14+1,1))</f>
        <v>485.18236169209541</v>
      </c>
      <c r="DU113" s="62">
        <f t="shared" si="98"/>
        <v>417.30339652956951</v>
      </c>
      <c r="DV113" s="16">
        <f>IF(ISNA(VLOOKUP(A113,'Données projet'!$A$165:$I$185,3,0)),0,VLOOKUP(A113,'Données projet'!$A$165:$I$185,3,0))</f>
        <v>10</v>
      </c>
      <c r="DW113" s="16">
        <f>IF(ISNA(VLOOKUP(A113,'Données projet'!$A$165:$I$185,4,0)),0,VLOOKUP(A113,'Données projet'!$A$165:$I$185,4,0))</f>
        <v>29.487179487179485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-3.4106051316484809E-13</v>
      </c>
      <c r="EK113" s="18">
        <f>EJ113*VLOOKUP('Données projet'!$B$15,Paramètres!$A$1:$I$89,3,0)*VLOOKUP('Données projet'!$B$15,Paramètres!$A$1:$I$89,5,0)</f>
        <v>-2.7134774427395314E-13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427.78067187784063</v>
      </c>
      <c r="EP113" s="62">
        <f t="shared" si="100"/>
        <v>464.22892523825118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-1.1368683772161603E-13</v>
      </c>
      <c r="FF113" s="18">
        <f>FE113*VLOOKUP('Données projet'!$B$16,Paramètres!$A$1:$I$89,3,0)*VLOOKUP('Données projet'!$B$16,Paramètres!$A$1:$I$89,5,0)</f>
        <v>-9.7543306765146564E-14</v>
      </c>
      <c r="FG113" s="14" t="e">
        <f t="shared" si="101"/>
        <v>#NUM!</v>
      </c>
      <c r="FH113" s="22" t="e">
        <f t="shared" si="76"/>
        <v>#NUM!</v>
      </c>
      <c r="FI113" s="62" t="e">
        <f t="shared" si="77"/>
        <v>#NUM!</v>
      </c>
      <c r="FJ113" s="62">
        <f ca="1">AVERAGE(OFFSET($FI$3,0,0,'Données projet'!$E$16+1,1))-AVERAGE(OFFSET($H$3,0,0,'Données projet'!$E$16+1,1))</f>
        <v>448.44001099301806</v>
      </c>
      <c r="FK113" s="62">
        <f t="shared" si="102"/>
        <v>230.82970731138215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410.25641025641022</v>
      </c>
      <c r="FX113" s="13">
        <f>VLOOKUP(A113,'Données projet'!$A$243:$I$263,9,0)</f>
        <v>3.9743589743589722</v>
      </c>
      <c r="FY113" s="13">
        <f t="array" ref="FY113">INDEX(FX:FX,MIN(IF(ISNUMBER(FX113:FX309),ROW(FX113:FX309),"")))</f>
        <v>3.9743589743589722</v>
      </c>
      <c r="FZ113" s="13">
        <f>IF('Données projet'!$A$244&gt;35,FZ112+FY113-GH112,IF(A113&lt;'Données projet'!$A$244,$FW$205^A113,IF(A113='Données projet'!$A$244,'Données projet'!$B$244,FZ112+FY113-GH112)))</f>
        <v>410.25641025640988</v>
      </c>
      <c r="GA113" s="18">
        <f>FZ113*VLOOKUP('Données projet'!$B$17,Paramètres!$A$1:$I$89,3,0)*VLOOKUP('Données projet'!$B$17,Paramètres!$A$1:$I$89,5,0)</f>
        <v>275.19999999999976</v>
      </c>
      <c r="GB113" s="14">
        <f t="shared" si="103"/>
        <v>65.951612322478823</v>
      </c>
      <c r="GC113" s="22">
        <f t="shared" si="79"/>
        <v>594.17239146165014</v>
      </c>
      <c r="GD113" s="62">
        <f t="shared" si="80"/>
        <v>887.50572479498351</v>
      </c>
      <c r="GE113" s="62">
        <f ca="1">AVERAGE(OFFSET($GD$3,0,0,'Données projet'!$E$17+1,1))-AVERAGE(OFFSET($H$3,0,0,'Données projet'!$E$17+1,1))</f>
        <v>408.91016501484626</v>
      </c>
      <c r="GF113" s="62">
        <f t="shared" si="104"/>
        <v>354.22396807666433</v>
      </c>
      <c r="GG113" s="16">
        <f>IF(ISNA(VLOOKUP(A113,'Données projet'!$A$243:$I$263,3,0)),0,VLOOKUP(A113,'Données projet'!$A$243:$I$263,3,0))</f>
        <v>10</v>
      </c>
      <c r="GH113" s="16">
        <f>IF(ISNA(VLOOKUP(A113,'Données projet'!$A$243:$I$263,4,0)),0,VLOOKUP(A113,'Données projet'!$A$243:$I$263,4,0))</f>
        <v>410.25641025641022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413</v>
      </c>
      <c r="GS113" s="13">
        <f>VLOOKUP(A113,'Données projet'!$A$269:$I$289,9,0)</f>
        <v>5.2</v>
      </c>
      <c r="GT113" s="13">
        <f t="array" ref="GT113">INDEX(GS:GS,MIN(IF(ISNUMBER(GS113:GS309),ROW(GS113:GS309),"")))</f>
        <v>5.2</v>
      </c>
      <c r="GU113" s="13">
        <f>IF('Données projet'!$A$270&gt;35,GU112+GT113-HC112,IF(A113&lt;'Données projet'!$A$270,$GR$205^A113,IF(A113='Données projet'!$A$270,'Données projet'!$B$270,GU112+GT113-HC112)))</f>
        <v>412.99999999999989</v>
      </c>
      <c r="GV113" s="18">
        <f>GU113*VLOOKUP('Données projet'!$B$18,Paramètres!$A$1:$I$89,3,0)*VLOOKUP('Données projet'!$B$18,Paramètres!$A$1:$I$89,5,0)</f>
        <v>399.45359999999994</v>
      </c>
      <c r="GW113" s="14">
        <f t="shared" si="105"/>
        <v>91.665882195424544</v>
      </c>
      <c r="GX113" s="22">
        <f t="shared" si="82"/>
        <v>855.36643149036433</v>
      </c>
      <c r="GY113" s="62">
        <f t="shared" si="83"/>
        <v>1148.6997648236977</v>
      </c>
      <c r="GZ113" s="62">
        <f ca="1">AVERAGE(OFFSET($GY$3,0,0,'Données projet'!$E$18+1,1))-AVERAGE(OFFSET($H$3,0,0,'Données projet'!$E$18+1,1))</f>
        <v>562.69380557620775</v>
      </c>
      <c r="HA113" s="62">
        <f t="shared" si="106"/>
        <v>294.45557293177131</v>
      </c>
      <c r="HB113" s="16">
        <f>IF(ISNA(VLOOKUP(A113,'Données projet'!$A$269:$I$289,3,0)),0,VLOOKUP(A113,'Données projet'!$A$269:$I$289,3,0))</f>
        <v>8</v>
      </c>
      <c r="HC113" s="16">
        <f>IF(ISNA(VLOOKUP(A113,'Données projet'!$A$269:$I$289,4,0)),0,VLOOKUP(A113,'Données projet'!$A$269:$I$289,4,0))</f>
        <v>106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311.49999999999989</v>
      </c>
      <c r="O114" s="14">
        <f>N114*VLOOKUP('Données projet'!$B$9,Paramètres!$A$1:$I$89,3,0)*VLOOKUP('Données projet'!$B$9,Paramètres!$A$1:$I$89,5,0)</f>
        <v>281.84519999999992</v>
      </c>
      <c r="P114" s="14">
        <f t="shared" si="87"/>
        <v>67.356803491560484</v>
      </c>
      <c r="Q114" s="22">
        <f t="shared" si="107"/>
        <v>608.19348941446765</v>
      </c>
      <c r="R114" s="62">
        <f t="shared" si="55"/>
        <v>901.52682274780091</v>
      </c>
      <c r="S114" s="62">
        <f ca="1">AVERAGE(OFFSET($R$3,0,0,'Données projet'!$E$9+1,1))-AVERAGE(OFFSET($H$3,0,0,'Données projet'!$E$9+1,1))</f>
        <v>529.25712986118265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8.8675733422860506E-14</v>
      </c>
      <c r="AK114" s="14">
        <f t="shared" si="89"/>
        <v>1.3509285393066301E-12</v>
      </c>
      <c r="AL114" s="22">
        <f t="shared" si="58"/>
        <v>2.5073107750038623E-12</v>
      </c>
      <c r="AM114" s="62">
        <f t="shared" si="59"/>
        <v>293.33333333333582</v>
      </c>
      <c r="AN114" s="62">
        <f ca="1">AVERAGE(OFFSET($AM$3,0,0,'Données projet'!$E$10+1,1))-AVERAGE(OFFSET($H$3,0,0,'Données projet'!$E$10+1,1))</f>
        <v>292.57482726862594</v>
      </c>
      <c r="AO114" s="62">
        <f t="shared" si="90"/>
        <v>283.48738729114024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-3.4106051316484809E-13</v>
      </c>
      <c r="BE114" s="14">
        <f>BD114*VLOOKUP('Données projet'!$B$11,Paramètres!$A$1:$I$89,3,0)*VLOOKUP('Données projet'!$B$11,Paramètres!$A$1:$I$89,5,0)</f>
        <v>-2.5006556825246659E-13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397.24545766894346</v>
      </c>
      <c r="BJ114" s="62">
        <f t="shared" si="92"/>
        <v>431.44557882369696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2.2737367544323206E-13</v>
      </c>
      <c r="BZ114" s="14">
        <f>BY114*VLOOKUP('Données projet'!$B$12,Paramètres!$A$1:$I$89,3,0)*VLOOKUP('Données projet'!$B$12,Paramètres!$A$1:$I$89,5,0)</f>
        <v>1.4897523215040565E-13</v>
      </c>
      <c r="CA114" s="14">
        <f t="shared" si="93"/>
        <v>2.136562777003313E-12</v>
      </c>
      <c r="CB114" s="22">
        <f t="shared" si="64"/>
        <v>3.9806453659427267E-12</v>
      </c>
      <c r="CC114" s="62">
        <f t="shared" si="65"/>
        <v>293.33333333333729</v>
      </c>
      <c r="CD114" s="62">
        <f ca="1">AVERAGE(OFFSET($CC$3,0,0,'Données projet'!$E$12+1,1))-AVERAGE(OFFSET($H$3,0,0,'Données projet'!$E$12+1,1))</f>
        <v>277.27246253233807</v>
      </c>
      <c r="CE114" s="62">
        <f t="shared" si="94"/>
        <v>269.61868559913404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227.19527999999966</v>
      </c>
      <c r="CV114" s="14">
        <f t="shared" si="95"/>
        <v>55.675803122401177</v>
      </c>
      <c r="CW114" s="22">
        <f t="shared" si="67"/>
        <v>492.66713643818139</v>
      </c>
      <c r="CX114" s="62">
        <f t="shared" si="68"/>
        <v>786.00046977151464</v>
      </c>
      <c r="CY114" s="62">
        <f ca="1">AVERAGE(OFFSET($CX$3,0,0,'Données projet'!$E$13+1,1))-AVERAGE(OFFSET($H$3,0,0,'Données projet'!$E$13+1,1))</f>
        <v>402.15128814037058</v>
      </c>
      <c r="CZ114" s="62">
        <f t="shared" si="96"/>
        <v>232.85411068442738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3.7179487179487181</v>
      </c>
      <c r="DO114" s="13">
        <f>IF('Données projet'!$A$166&gt;35,DO113+DN114-DW113,IF(A114&lt;'Données projet'!$A$166,$DL$205^A114,IF(A114='Données projet'!$A$166,'Données projet'!$B$166,DO113+DN114-DW113)))</f>
        <v>303.7179487179485</v>
      </c>
      <c r="DP114" s="18">
        <f>DO114*VLOOKUP('Données projet'!$B$14,Paramètres!$A$1:$I$89,3,0)*VLOOKUP('Données projet'!$B$14,Paramètres!$A$1:$I$89,5,0)</f>
        <v>289.0179999999998</v>
      </c>
      <c r="DQ114" s="14">
        <f t="shared" si="97"/>
        <v>68.869241349874471</v>
      </c>
      <c r="DR114" s="22">
        <f t="shared" si="70"/>
        <v>623.32027868436433</v>
      </c>
      <c r="DS114" s="62">
        <f t="shared" si="71"/>
        <v>916.6536120176977</v>
      </c>
      <c r="DT114" s="62">
        <f ca="1">AVERAGE(OFFSET($DS$3,0,0,'Données projet'!$E$14+1,1))-AVERAGE(OFFSET($H$3,0,0,'Données projet'!$E$14+1,1))</f>
        <v>485.18236169209541</v>
      </c>
      <c r="DU114" s="62">
        <f t="shared" si="98"/>
        <v>417.30339652956951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-3.4106051316484809E-13</v>
      </c>
      <c r="EK114" s="18">
        <f>EJ114*VLOOKUP('Données projet'!$B$15,Paramètres!$A$1:$I$89,3,0)*VLOOKUP('Données projet'!$B$15,Paramètres!$A$1:$I$89,5,0)</f>
        <v>-2.7134774427395314E-13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427.78067187784063</v>
      </c>
      <c r="EP114" s="62">
        <f t="shared" si="100"/>
        <v>464.22892523825118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-1.1368683772161603E-13</v>
      </c>
      <c r="FF114" s="18">
        <f>FE114*VLOOKUP('Données projet'!$B$16,Paramètres!$A$1:$I$89,3,0)*VLOOKUP('Données projet'!$B$16,Paramètres!$A$1:$I$89,5,0)</f>
        <v>-9.7543306765146564E-14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448.44001099301806</v>
      </c>
      <c r="FK114" s="62">
        <f t="shared" si="102"/>
        <v>230.82970731138215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-3.4106051316484809E-13</v>
      </c>
      <c r="GA114" s="18">
        <f>FZ114*VLOOKUP('Données projet'!$B$17,Paramètres!$A$1:$I$89,3,0)*VLOOKUP('Données projet'!$B$17,Paramètres!$A$1:$I$89,5,0)</f>
        <v>-2.2878339223098009E-13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408.91016501484626</v>
      </c>
      <c r="GF114" s="62">
        <f t="shared" si="104"/>
        <v>354.22396807666433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4.5</v>
      </c>
      <c r="GU114" s="13">
        <f>IF('Données projet'!$A$270&gt;35,GU113+GT114-HC113,IF(A114&lt;'Données projet'!$A$270,$GR$205^A114,IF(A114='Données projet'!$A$270,'Données projet'!$B$270,GU113+GT114-HC113)))</f>
        <v>311.49999999999989</v>
      </c>
      <c r="GV114" s="18">
        <f>GU114*VLOOKUP('Données projet'!$B$18,Paramètres!$A$1:$I$89,3,0)*VLOOKUP('Données projet'!$B$18,Paramètres!$A$1:$I$89,5,0)</f>
        <v>301.2827999999999</v>
      </c>
      <c r="GW114" s="14">
        <f t="shared" si="105"/>
        <v>71.445320809508729</v>
      </c>
      <c r="GX114" s="22">
        <f t="shared" si="82"/>
        <v>649.16814374322746</v>
      </c>
      <c r="GY114" s="62">
        <f t="shared" si="83"/>
        <v>942.50147707656083</v>
      </c>
      <c r="GZ114" s="62">
        <f ca="1">AVERAGE(OFFSET($GY$3,0,0,'Données projet'!$E$18+1,1))-AVERAGE(OFFSET($H$3,0,0,'Données projet'!$E$18+1,1))</f>
        <v>562.69380557620775</v>
      </c>
      <c r="HA114" s="62">
        <f t="shared" si="106"/>
        <v>294.45557293177131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315.99999999999989</v>
      </c>
      <c r="O115" s="14">
        <f>N115*VLOOKUP('Données projet'!$B$9,Paramètres!$A$1:$I$89,3,0)*VLOOKUP('Données projet'!$B$9,Paramètres!$A$1:$I$89,5,0)</f>
        <v>285.91679999999985</v>
      </c>
      <c r="P115" s="14">
        <f t="shared" si="87"/>
        <v>68.215872977287475</v>
      </c>
      <c r="Q115" s="22">
        <f t="shared" si="107"/>
        <v>616.78107210210862</v>
      </c>
      <c r="R115" s="62">
        <f t="shared" si="55"/>
        <v>910.11440543544199</v>
      </c>
      <c r="S115" s="62">
        <f ca="1">AVERAGE(OFFSET($R$3,0,0,'Données projet'!$E$9+1,1))-AVERAGE(OFFSET($H$3,0,0,'Données projet'!$E$9+1,1))</f>
        <v>529.25712986118265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8.8675733422860506E-14</v>
      </c>
      <c r="AK115" s="14">
        <f t="shared" si="89"/>
        <v>1.3509285393066301E-12</v>
      </c>
      <c r="AL115" s="22">
        <f t="shared" si="58"/>
        <v>2.5073107750038623E-12</v>
      </c>
      <c r="AM115" s="62">
        <f t="shared" si="59"/>
        <v>293.33333333333582</v>
      </c>
      <c r="AN115" s="62">
        <f ca="1">AVERAGE(OFFSET($AM$3,0,0,'Données projet'!$E$10+1,1))-AVERAGE(OFFSET($H$3,0,0,'Données projet'!$E$10+1,1))</f>
        <v>292.57482726862594</v>
      </c>
      <c r="AO115" s="62">
        <f t="shared" si="90"/>
        <v>283.48738729114024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-3.4106051316484809E-13</v>
      </c>
      <c r="BE115" s="14">
        <f>BD115*VLOOKUP('Données projet'!$B$11,Paramètres!$A$1:$I$89,3,0)*VLOOKUP('Données projet'!$B$11,Paramètres!$A$1:$I$89,5,0)</f>
        <v>-2.5006556825246659E-13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397.24545766894346</v>
      </c>
      <c r="BJ115" s="62">
        <f t="shared" si="92"/>
        <v>431.44557882369696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2.2737367544323206E-13</v>
      </c>
      <c r="BZ115" s="14">
        <f>BY115*VLOOKUP('Données projet'!$B$12,Paramètres!$A$1:$I$89,3,0)*VLOOKUP('Données projet'!$B$12,Paramètres!$A$1:$I$89,5,0)</f>
        <v>1.4897523215040565E-13</v>
      </c>
      <c r="CA115" s="14">
        <f t="shared" si="93"/>
        <v>2.136562777003313E-12</v>
      </c>
      <c r="CB115" s="22">
        <f t="shared" si="64"/>
        <v>3.9806453659427267E-12</v>
      </c>
      <c r="CC115" s="62">
        <f t="shared" si="65"/>
        <v>293.33333333333729</v>
      </c>
      <c r="CD115" s="62">
        <f ca="1">AVERAGE(OFFSET($CC$3,0,0,'Données projet'!$E$12+1,1))-AVERAGE(OFFSET($H$3,0,0,'Données projet'!$E$12+1,1))</f>
        <v>277.27246253233807</v>
      </c>
      <c r="CE115" s="62">
        <f t="shared" si="94"/>
        <v>269.61868559913404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230.31215999999969</v>
      </c>
      <c r="CV115" s="14">
        <f t="shared" si="95"/>
        <v>56.350172492598332</v>
      </c>
      <c r="CW115" s="22">
        <f t="shared" si="67"/>
        <v>499.27022909127487</v>
      </c>
      <c r="CX115" s="62">
        <f t="shared" si="68"/>
        <v>792.60356242460819</v>
      </c>
      <c r="CY115" s="62">
        <f ca="1">AVERAGE(OFFSET($CX$3,0,0,'Données projet'!$E$13+1,1))-AVERAGE(OFFSET($H$3,0,0,'Données projet'!$E$13+1,1))</f>
        <v>402.15128814037058</v>
      </c>
      <c r="CZ115" s="62">
        <f t="shared" si="96"/>
        <v>232.85411068442738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3.7179487179487181</v>
      </c>
      <c r="DO115" s="13">
        <f>IF('Données projet'!$A$166&gt;35,DO114+DN115-DW114,IF(A115&lt;'Données projet'!$A$166,$DL$205^A115,IF(A115='Données projet'!$A$166,'Données projet'!$B$166,DO114+DN115-DW114)))</f>
        <v>307.43589743589723</v>
      </c>
      <c r="DP115" s="18">
        <f>DO115*VLOOKUP('Données projet'!$B$14,Paramètres!$A$1:$I$89,3,0)*VLOOKUP('Données projet'!$B$14,Paramètres!$A$1:$I$89,5,0)</f>
        <v>292.55599999999981</v>
      </c>
      <c r="DQ115" s="14">
        <f t="shared" si="97"/>
        <v>69.613640417116983</v>
      </c>
      <c r="DR115" s="22">
        <f t="shared" si="70"/>
        <v>630.77879039314507</v>
      </c>
      <c r="DS115" s="62">
        <f t="shared" si="71"/>
        <v>924.11212372647833</v>
      </c>
      <c r="DT115" s="62">
        <f ca="1">AVERAGE(OFFSET($DS$3,0,0,'Données projet'!$E$14+1,1))-AVERAGE(OFFSET($H$3,0,0,'Données projet'!$E$14+1,1))</f>
        <v>485.18236169209541</v>
      </c>
      <c r="DU115" s="62">
        <f t="shared" si="98"/>
        <v>417.30339652956951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-3.4106051316484809E-13</v>
      </c>
      <c r="EK115" s="18">
        <f>EJ115*VLOOKUP('Données projet'!$B$15,Paramètres!$A$1:$I$89,3,0)*VLOOKUP('Données projet'!$B$15,Paramètres!$A$1:$I$89,5,0)</f>
        <v>-2.7134774427395314E-13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427.78067187784063</v>
      </c>
      <c r="EP115" s="62">
        <f t="shared" si="100"/>
        <v>464.22892523825118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-1.1368683772161603E-13</v>
      </c>
      <c r="FF115" s="18">
        <f>FE115*VLOOKUP('Données projet'!$B$16,Paramètres!$A$1:$I$89,3,0)*VLOOKUP('Données projet'!$B$16,Paramètres!$A$1:$I$89,5,0)</f>
        <v>-9.7543306765146564E-14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448.44001099301806</v>
      </c>
      <c r="FK115" s="62">
        <f t="shared" si="102"/>
        <v>230.82970731138215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-3.4106051316484809E-13</v>
      </c>
      <c r="GA115" s="18">
        <f>FZ115*VLOOKUP('Données projet'!$B$17,Paramètres!$A$1:$I$89,3,0)*VLOOKUP('Données projet'!$B$17,Paramètres!$A$1:$I$89,5,0)</f>
        <v>-2.2878339223098009E-13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408.91016501484626</v>
      </c>
      <c r="GF115" s="62">
        <f t="shared" si="104"/>
        <v>354.22396807666433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4.5</v>
      </c>
      <c r="GU115" s="13">
        <f>IF('Données projet'!$A$270&gt;35,GU114+GT115-HC114,IF(A115&lt;'Données projet'!$A$270,$GR$205^A115,IF(A115='Données projet'!$A$270,'Données projet'!$B$270,GU114+GT115-HC114)))</f>
        <v>315.99999999999989</v>
      </c>
      <c r="GV115" s="18">
        <f>GU115*VLOOKUP('Données projet'!$B$18,Paramètres!$A$1:$I$89,3,0)*VLOOKUP('Données projet'!$B$18,Paramètres!$A$1:$I$89,5,0)</f>
        <v>305.63519999999988</v>
      </c>
      <c r="GW115" s="14">
        <f t="shared" si="105"/>
        <v>72.356535294517812</v>
      </c>
      <c r="GX115" s="22">
        <f t="shared" si="82"/>
        <v>658.33560563795163</v>
      </c>
      <c r="GY115" s="62">
        <f t="shared" si="83"/>
        <v>951.66893897128489</v>
      </c>
      <c r="GZ115" s="62">
        <f ca="1">AVERAGE(OFFSET($GY$3,0,0,'Données projet'!$E$18+1,1))-AVERAGE(OFFSET($H$3,0,0,'Données projet'!$E$18+1,1))</f>
        <v>562.69380557620775</v>
      </c>
      <c r="HA115" s="62">
        <f t="shared" si="106"/>
        <v>294.45557293177131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320.49999999999989</v>
      </c>
      <c r="O116" s="14">
        <f>N116*VLOOKUP('Données projet'!$B$9,Paramètres!$A$1:$I$89,3,0)*VLOOKUP('Données projet'!$B$9,Paramètres!$A$1:$I$89,5,0)</f>
        <v>289.9883999999999</v>
      </c>
      <c r="P116" s="14">
        <f t="shared" si="87"/>
        <v>69.073519602481525</v>
      </c>
      <c r="Q116" s="22">
        <f t="shared" si="107"/>
        <v>625.36617664098856</v>
      </c>
      <c r="R116" s="62">
        <f t="shared" si="55"/>
        <v>918.69950997432193</v>
      </c>
      <c r="S116" s="62">
        <f ca="1">AVERAGE(OFFSET($R$3,0,0,'Données projet'!$E$9+1,1))-AVERAGE(OFFSET($H$3,0,0,'Données projet'!$E$9+1,1))</f>
        <v>529.25712986118265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8.8675733422860506E-14</v>
      </c>
      <c r="AK116" s="14">
        <f t="shared" si="89"/>
        <v>1.3509285393066301E-12</v>
      </c>
      <c r="AL116" s="22">
        <f t="shared" si="58"/>
        <v>2.5073107750038623E-12</v>
      </c>
      <c r="AM116" s="62">
        <f t="shared" si="59"/>
        <v>293.33333333333582</v>
      </c>
      <c r="AN116" s="62">
        <f ca="1">AVERAGE(OFFSET($AM$3,0,0,'Données projet'!$E$10+1,1))-AVERAGE(OFFSET($H$3,0,0,'Données projet'!$E$10+1,1))</f>
        <v>292.57482726862594</v>
      </c>
      <c r="AO116" s="62">
        <f t="shared" si="90"/>
        <v>283.48738729114024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-3.4106051316484809E-13</v>
      </c>
      <c r="BE116" s="14">
        <f>BD116*VLOOKUP('Données projet'!$B$11,Paramètres!$A$1:$I$89,3,0)*VLOOKUP('Données projet'!$B$11,Paramètres!$A$1:$I$89,5,0)</f>
        <v>-2.5006556825246659E-13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397.24545766894346</v>
      </c>
      <c r="BJ116" s="62">
        <f t="shared" si="92"/>
        <v>431.44557882369696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2.2737367544323206E-13</v>
      </c>
      <c r="BZ116" s="14">
        <f>BY116*VLOOKUP('Données projet'!$B$12,Paramètres!$A$1:$I$89,3,0)*VLOOKUP('Données projet'!$B$12,Paramètres!$A$1:$I$89,5,0)</f>
        <v>1.4897523215040565E-13</v>
      </c>
      <c r="CA116" s="14">
        <f t="shared" si="93"/>
        <v>2.136562777003313E-12</v>
      </c>
      <c r="CB116" s="22">
        <f t="shared" si="64"/>
        <v>3.9806453659427267E-12</v>
      </c>
      <c r="CC116" s="62">
        <f t="shared" si="65"/>
        <v>293.33333333333729</v>
      </c>
      <c r="CD116" s="62">
        <f ca="1">AVERAGE(OFFSET($CC$3,0,0,'Données projet'!$E$12+1,1))-AVERAGE(OFFSET($H$3,0,0,'Données projet'!$E$12+1,1))</f>
        <v>277.27246253233807</v>
      </c>
      <c r="CE116" s="62">
        <f t="shared" si="94"/>
        <v>269.61868559913404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233.42903999999967</v>
      </c>
      <c r="CV116" s="14">
        <f t="shared" si="95"/>
        <v>57.023480348060083</v>
      </c>
      <c r="CW116" s="22">
        <f t="shared" si="67"/>
        <v>505.87147293953734</v>
      </c>
      <c r="CX116" s="62">
        <f t="shared" si="68"/>
        <v>799.20480627287066</v>
      </c>
      <c r="CY116" s="62">
        <f ca="1">AVERAGE(OFFSET($CX$3,0,0,'Données projet'!$E$13+1,1))-AVERAGE(OFFSET($H$3,0,0,'Données projet'!$E$13+1,1))</f>
        <v>402.15128814037058</v>
      </c>
      <c r="CZ116" s="62">
        <f t="shared" si="96"/>
        <v>232.85411068442738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3.7179487179487181</v>
      </c>
      <c r="DO116" s="13">
        <f>IF('Données projet'!$A$166&gt;35,DO115+DN116-DW115,IF(A116&lt;'Données projet'!$A$166,$DL$205^A116,IF(A116='Données projet'!$A$166,'Données projet'!$B$166,DO115+DN116-DW115)))</f>
        <v>311.15384615384596</v>
      </c>
      <c r="DP116" s="18">
        <f>DO116*VLOOKUP('Données projet'!$B$14,Paramètres!$A$1:$I$89,3,0)*VLOOKUP('Données projet'!$B$14,Paramètres!$A$1:$I$89,5,0)</f>
        <v>296.09399999999982</v>
      </c>
      <c r="DQ116" s="14">
        <f t="shared" si="97"/>
        <v>70.356992324037478</v>
      </c>
      <c r="DR116" s="22">
        <f t="shared" si="70"/>
        <v>638.23547829769836</v>
      </c>
      <c r="DS116" s="62">
        <f t="shared" si="71"/>
        <v>931.56881163103162</v>
      </c>
      <c r="DT116" s="62">
        <f ca="1">AVERAGE(OFFSET($DS$3,0,0,'Données projet'!$E$14+1,1))-AVERAGE(OFFSET($H$3,0,0,'Données projet'!$E$14+1,1))</f>
        <v>485.18236169209541</v>
      </c>
      <c r="DU116" s="62">
        <f t="shared" si="98"/>
        <v>417.30339652956951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-3.4106051316484809E-13</v>
      </c>
      <c r="EK116" s="18">
        <f>EJ116*VLOOKUP('Données projet'!$B$15,Paramètres!$A$1:$I$89,3,0)*VLOOKUP('Données projet'!$B$15,Paramètres!$A$1:$I$89,5,0)</f>
        <v>-2.7134774427395314E-13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427.78067187784063</v>
      </c>
      <c r="EP116" s="62">
        <f t="shared" si="100"/>
        <v>464.22892523825118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-1.1368683772161603E-13</v>
      </c>
      <c r="FF116" s="18">
        <f>FE116*VLOOKUP('Données projet'!$B$16,Paramètres!$A$1:$I$89,3,0)*VLOOKUP('Données projet'!$B$16,Paramètres!$A$1:$I$89,5,0)</f>
        <v>-9.7543306765146564E-14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448.44001099301806</v>
      </c>
      <c r="FK116" s="62">
        <f t="shared" si="102"/>
        <v>230.82970731138215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-3.4106051316484809E-13</v>
      </c>
      <c r="GA116" s="18">
        <f>FZ116*VLOOKUP('Données projet'!$B$17,Paramètres!$A$1:$I$89,3,0)*VLOOKUP('Données projet'!$B$17,Paramètres!$A$1:$I$89,5,0)</f>
        <v>-2.2878339223098009E-13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408.91016501484626</v>
      </c>
      <c r="GF116" s="62">
        <f t="shared" si="104"/>
        <v>354.22396807666433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4.5</v>
      </c>
      <c r="GU116" s="13">
        <f>IF('Données projet'!$A$270&gt;35,GU115+GT116-HC115,IF(A116&lt;'Données projet'!$A$270,$GR$205^A116,IF(A116='Données projet'!$A$270,'Données projet'!$B$270,GU115+GT116-HC115)))</f>
        <v>320.49999999999989</v>
      </c>
      <c r="GV116" s="18">
        <f>GU116*VLOOKUP('Données projet'!$B$18,Paramètres!$A$1:$I$89,3,0)*VLOOKUP('Données projet'!$B$18,Paramètres!$A$1:$I$89,5,0)</f>
        <v>309.98759999999987</v>
      </c>
      <c r="GW116" s="14">
        <f t="shared" si="105"/>
        <v>73.266240552218449</v>
      </c>
      <c r="GX116" s="22">
        <f t="shared" si="82"/>
        <v>667.50043896178022</v>
      </c>
      <c r="GY116" s="62">
        <f t="shared" si="83"/>
        <v>960.83377229511348</v>
      </c>
      <c r="GZ116" s="62">
        <f ca="1">AVERAGE(OFFSET($GY$3,0,0,'Données projet'!$E$18+1,1))-AVERAGE(OFFSET($H$3,0,0,'Données projet'!$E$18+1,1))</f>
        <v>562.69380557620775</v>
      </c>
      <c r="HA116" s="62">
        <f t="shared" si="106"/>
        <v>294.45557293177131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324.99999999999989</v>
      </c>
      <c r="O117" s="14">
        <f>N117*VLOOKUP('Données projet'!$B$9,Paramètres!$A$1:$I$89,3,0)*VLOOKUP('Données projet'!$B$9,Paramètres!$A$1:$I$89,5,0)</f>
        <v>294.05999999999989</v>
      </c>
      <c r="P117" s="14">
        <f t="shared" si="87"/>
        <v>69.929765653573313</v>
      </c>
      <c r="Q117" s="22">
        <f t="shared" si="107"/>
        <v>633.94884184663999</v>
      </c>
      <c r="R117" s="62">
        <f t="shared" si="55"/>
        <v>927.28217517997336</v>
      </c>
      <c r="S117" s="62">
        <f ca="1">AVERAGE(OFFSET($R$3,0,0,'Données projet'!$E$9+1,1))-AVERAGE(OFFSET($H$3,0,0,'Données projet'!$E$9+1,1))</f>
        <v>529.25712986118265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8.8675733422860506E-14</v>
      </c>
      <c r="AK117" s="14">
        <f t="shared" si="89"/>
        <v>1.3509285393066301E-12</v>
      </c>
      <c r="AL117" s="22">
        <f t="shared" si="58"/>
        <v>2.5073107750038623E-12</v>
      </c>
      <c r="AM117" s="62">
        <f t="shared" si="59"/>
        <v>293.33333333333582</v>
      </c>
      <c r="AN117" s="62">
        <f ca="1">AVERAGE(OFFSET($AM$3,0,0,'Données projet'!$E$10+1,1))-AVERAGE(OFFSET($H$3,0,0,'Données projet'!$E$10+1,1))</f>
        <v>292.57482726862594</v>
      </c>
      <c r="AO117" s="62">
        <f t="shared" si="90"/>
        <v>283.48738729114024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-3.4106051316484809E-13</v>
      </c>
      <c r="BE117" s="14">
        <f>BD117*VLOOKUP('Données projet'!$B$11,Paramètres!$A$1:$I$89,3,0)*VLOOKUP('Données projet'!$B$11,Paramètres!$A$1:$I$89,5,0)</f>
        <v>-2.5006556825246659E-13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397.24545766894346</v>
      </c>
      <c r="BJ117" s="62">
        <f t="shared" si="92"/>
        <v>431.44557882369696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2.2737367544323206E-13</v>
      </c>
      <c r="BZ117" s="14">
        <f>BY117*VLOOKUP('Données projet'!$B$12,Paramètres!$A$1:$I$89,3,0)*VLOOKUP('Données projet'!$B$12,Paramètres!$A$1:$I$89,5,0)</f>
        <v>1.4897523215040565E-13</v>
      </c>
      <c r="CA117" s="14">
        <f t="shared" si="93"/>
        <v>2.136562777003313E-12</v>
      </c>
      <c r="CB117" s="22">
        <f t="shared" si="64"/>
        <v>3.9806453659427267E-12</v>
      </c>
      <c r="CC117" s="62">
        <f t="shared" si="65"/>
        <v>293.33333333333729</v>
      </c>
      <c r="CD117" s="62">
        <f ca="1">AVERAGE(OFFSET($CC$3,0,0,'Données projet'!$E$12+1,1))-AVERAGE(OFFSET($H$3,0,0,'Données projet'!$E$12+1,1))</f>
        <v>277.27246253233807</v>
      </c>
      <c r="CE117" s="62">
        <f t="shared" si="94"/>
        <v>269.61868559913404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236.54591999999965</v>
      </c>
      <c r="CV117" s="14">
        <f t="shared" si="95"/>
        <v>57.695742501250976</v>
      </c>
      <c r="CW117" s="22">
        <f t="shared" si="67"/>
        <v>512.47089552301156</v>
      </c>
      <c r="CX117" s="62">
        <f t="shared" si="68"/>
        <v>805.80422885634493</v>
      </c>
      <c r="CY117" s="62">
        <f ca="1">AVERAGE(OFFSET($CX$3,0,0,'Données projet'!$E$13+1,1))-AVERAGE(OFFSET($H$3,0,0,'Données projet'!$E$13+1,1))</f>
        <v>402.15128814037058</v>
      </c>
      <c r="CZ117" s="62">
        <f t="shared" si="96"/>
        <v>232.85411068442738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3.7179487179487181</v>
      </c>
      <c r="DO117" s="13">
        <f>IF('Données projet'!$A$166&gt;35,DO116+DN117-DW116,IF(A117&lt;'Données projet'!$A$166,$DL$205^A117,IF(A117='Données projet'!$A$166,'Données projet'!$B$166,DO116+DN117-DW116)))</f>
        <v>314.87179487179469</v>
      </c>
      <c r="DP117" s="18">
        <f>DO117*VLOOKUP('Données projet'!$B$14,Paramètres!$A$1:$I$89,3,0)*VLOOKUP('Données projet'!$B$14,Paramètres!$A$1:$I$89,5,0)</f>
        <v>299.63199999999983</v>
      </c>
      <c r="DQ117" s="14">
        <f t="shared" si="97"/>
        <v>71.09931103046253</v>
      </c>
      <c r="DR117" s="22">
        <f t="shared" si="70"/>
        <v>645.69036671138861</v>
      </c>
      <c r="DS117" s="62">
        <f t="shared" si="71"/>
        <v>939.02370004472186</v>
      </c>
      <c r="DT117" s="62">
        <f ca="1">AVERAGE(OFFSET($DS$3,0,0,'Données projet'!$E$14+1,1))-AVERAGE(OFFSET($H$3,0,0,'Données projet'!$E$14+1,1))</f>
        <v>485.18236169209541</v>
      </c>
      <c r="DU117" s="62">
        <f t="shared" si="98"/>
        <v>417.30339652956951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-3.4106051316484809E-13</v>
      </c>
      <c r="EK117" s="18">
        <f>EJ117*VLOOKUP('Données projet'!$B$15,Paramètres!$A$1:$I$89,3,0)*VLOOKUP('Données projet'!$B$15,Paramètres!$A$1:$I$89,5,0)</f>
        <v>-2.7134774427395314E-13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427.78067187784063</v>
      </c>
      <c r="EP117" s="62">
        <f t="shared" si="100"/>
        <v>464.22892523825118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-1.1368683772161603E-13</v>
      </c>
      <c r="FF117" s="18">
        <f>FE117*VLOOKUP('Données projet'!$B$16,Paramètres!$A$1:$I$89,3,0)*VLOOKUP('Données projet'!$B$16,Paramètres!$A$1:$I$89,5,0)</f>
        <v>-9.7543306765146564E-14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448.44001099301806</v>
      </c>
      <c r="FK117" s="62">
        <f t="shared" si="102"/>
        <v>230.82970731138215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-3.4106051316484809E-13</v>
      </c>
      <c r="GA117" s="18">
        <f>FZ117*VLOOKUP('Données projet'!$B$17,Paramètres!$A$1:$I$89,3,0)*VLOOKUP('Données projet'!$B$17,Paramètres!$A$1:$I$89,5,0)</f>
        <v>-2.2878339223098009E-13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408.91016501484626</v>
      </c>
      <c r="GF117" s="62">
        <f t="shared" si="104"/>
        <v>354.22396807666433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4.5</v>
      </c>
      <c r="GU117" s="13">
        <f>IF('Données projet'!$A$270&gt;35,GU116+GT117-HC116,IF(A117&lt;'Données projet'!$A$270,$GR$205^A117,IF(A117='Données projet'!$A$270,'Données projet'!$B$270,GU116+GT117-HC116)))</f>
        <v>324.99999999999989</v>
      </c>
      <c r="GV117" s="18">
        <f>GU117*VLOOKUP('Données projet'!$B$18,Paramètres!$A$1:$I$89,3,0)*VLOOKUP('Données projet'!$B$18,Paramètres!$A$1:$I$89,5,0)</f>
        <v>314.33999999999986</v>
      </c>
      <c r="GW117" s="14">
        <f t="shared" si="105"/>
        <v>74.174460221814215</v>
      </c>
      <c r="GX117" s="22">
        <f t="shared" si="82"/>
        <v>676.66268488632613</v>
      </c>
      <c r="GY117" s="62">
        <f t="shared" si="83"/>
        <v>969.99601821965939</v>
      </c>
      <c r="GZ117" s="62">
        <f ca="1">AVERAGE(OFFSET($GY$3,0,0,'Données projet'!$E$18+1,1))-AVERAGE(OFFSET($H$3,0,0,'Données projet'!$E$18+1,1))</f>
        <v>562.69380557620775</v>
      </c>
      <c r="HA117" s="62">
        <f t="shared" si="106"/>
        <v>294.45557293177131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329.49999999999989</v>
      </c>
      <c r="O118" s="14">
        <f>N118*VLOOKUP('Données projet'!$B$9,Paramètres!$A$1:$I$89,3,0)*VLOOKUP('Données projet'!$B$9,Paramètres!$A$1:$I$89,5,0)</f>
        <v>298.13159999999988</v>
      </c>
      <c r="P118" s="14">
        <f t="shared" si="87"/>
        <v>70.784632764376028</v>
      </c>
      <c r="Q118" s="22">
        <f t="shared" si="107"/>
        <v>642.52910539795459</v>
      </c>
      <c r="R118" s="62">
        <f t="shared" si="55"/>
        <v>935.86243873128797</v>
      </c>
      <c r="S118" s="62">
        <f ca="1">AVERAGE(OFFSET($R$3,0,0,'Données projet'!$E$9+1,1))-AVERAGE(OFFSET($H$3,0,0,'Données projet'!$E$9+1,1))</f>
        <v>529.25712986118265</v>
      </c>
      <c r="T118" s="62">
        <f t="shared" si="88"/>
        <v>278.21741231699929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8.8675733422860506E-14</v>
      </c>
      <c r="AK118" s="14">
        <f t="shared" si="89"/>
        <v>1.3509285393066301E-12</v>
      </c>
      <c r="AL118" s="22">
        <f t="shared" si="58"/>
        <v>2.5073107750038623E-12</v>
      </c>
      <c r="AM118" s="62">
        <f t="shared" si="59"/>
        <v>293.33333333333582</v>
      </c>
      <c r="AN118" s="62">
        <f ca="1">AVERAGE(OFFSET($AM$3,0,0,'Données projet'!$E$10+1,1))-AVERAGE(OFFSET($H$3,0,0,'Données projet'!$E$10+1,1))</f>
        <v>292.57482726862594</v>
      </c>
      <c r="AO118" s="62">
        <f t="shared" si="90"/>
        <v>283.48738729114024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-3.4106051316484809E-13</v>
      </c>
      <c r="BE118" s="14">
        <f>BD118*VLOOKUP('Données projet'!$B$11,Paramètres!$A$1:$I$89,3,0)*VLOOKUP('Données projet'!$B$11,Paramètres!$A$1:$I$89,5,0)</f>
        <v>-2.5006556825246659E-13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397.24545766894346</v>
      </c>
      <c r="BJ118" s="62">
        <f t="shared" si="92"/>
        <v>431.44557882369696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2.2737367544323206E-13</v>
      </c>
      <c r="BZ118" s="14">
        <f>BY118*VLOOKUP('Données projet'!$B$12,Paramètres!$A$1:$I$89,3,0)*VLOOKUP('Données projet'!$B$12,Paramètres!$A$1:$I$89,5,0)</f>
        <v>1.4897523215040565E-13</v>
      </c>
      <c r="CA118" s="14">
        <f t="shared" si="93"/>
        <v>2.136562777003313E-12</v>
      </c>
      <c r="CB118" s="22">
        <f t="shared" si="64"/>
        <v>3.9806453659427267E-12</v>
      </c>
      <c r="CC118" s="62">
        <f t="shared" si="65"/>
        <v>293.33333333333729</v>
      </c>
      <c r="CD118" s="62">
        <f ca="1">AVERAGE(OFFSET($CC$3,0,0,'Données projet'!$E$12+1,1))-AVERAGE(OFFSET($H$3,0,0,'Données projet'!$E$12+1,1))</f>
        <v>277.27246253233807</v>
      </c>
      <c r="CE118" s="62">
        <f t="shared" si="94"/>
        <v>269.61868559913404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239.66279999999963</v>
      </c>
      <c r="CV118" s="14">
        <f t="shared" si="95"/>
        <v>58.366974323972691</v>
      </c>
      <c r="CW118" s="22">
        <f t="shared" si="67"/>
        <v>519.06852361425183</v>
      </c>
      <c r="CX118" s="62">
        <f t="shared" si="68"/>
        <v>812.4018569475852</v>
      </c>
      <c r="CY118" s="62">
        <f ca="1">AVERAGE(OFFSET($CX$3,0,0,'Données projet'!$E$13+1,1))-AVERAGE(OFFSET($H$3,0,0,'Données projet'!$E$13+1,1))</f>
        <v>402.15128814037058</v>
      </c>
      <c r="CZ118" s="62">
        <f t="shared" si="96"/>
        <v>232.85411068442738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3.7179487179487181</v>
      </c>
      <c r="DO118" s="13">
        <f>IF('Données projet'!$A$166&gt;35,DO117+DN118-DW117,IF(A118&lt;'Données projet'!$A$166,$DL$205^A118,IF(A118='Données projet'!$A$166,'Données projet'!$B$166,DO117+DN118-DW117)))</f>
        <v>318.58974358974342</v>
      </c>
      <c r="DP118" s="18">
        <f>DO118*VLOOKUP('Données projet'!$B$14,Paramètres!$A$1:$I$89,3,0)*VLOOKUP('Données projet'!$B$14,Paramètres!$A$1:$I$89,5,0)</f>
        <v>303.16999999999985</v>
      </c>
      <c r="DQ118" s="14">
        <f t="shared" si="97"/>
        <v>71.840610147577337</v>
      </c>
      <c r="DR118" s="22">
        <f t="shared" si="70"/>
        <v>653.14347934036357</v>
      </c>
      <c r="DS118" s="62">
        <f t="shared" si="71"/>
        <v>946.47681267369694</v>
      </c>
      <c r="DT118" s="62">
        <f ca="1">AVERAGE(OFFSET($DS$3,0,0,'Données projet'!$E$14+1,1))-AVERAGE(OFFSET($H$3,0,0,'Données projet'!$E$14+1,1))</f>
        <v>485.18236169209541</v>
      </c>
      <c r="DU118" s="62">
        <f t="shared" si="98"/>
        <v>417.30339652956951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-3.4106051316484809E-13</v>
      </c>
      <c r="EK118" s="18">
        <f>EJ118*VLOOKUP('Données projet'!$B$15,Paramètres!$A$1:$I$89,3,0)*VLOOKUP('Données projet'!$B$15,Paramètres!$A$1:$I$89,5,0)</f>
        <v>-2.7134774427395314E-13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427.78067187784063</v>
      </c>
      <c r="EP118" s="62">
        <f t="shared" si="100"/>
        <v>464.22892523825118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-1.1368683772161603E-13</v>
      </c>
      <c r="FF118" s="18">
        <f>FE118*VLOOKUP('Données projet'!$B$16,Paramètres!$A$1:$I$89,3,0)*VLOOKUP('Données projet'!$B$16,Paramètres!$A$1:$I$89,5,0)</f>
        <v>-9.7543306765146564E-14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448.44001099301806</v>
      </c>
      <c r="FK118" s="62">
        <f t="shared" si="102"/>
        <v>230.82970731138215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-3.4106051316484809E-13</v>
      </c>
      <c r="GA118" s="18">
        <f>FZ118*VLOOKUP('Données projet'!$B$17,Paramètres!$A$1:$I$89,3,0)*VLOOKUP('Données projet'!$B$17,Paramètres!$A$1:$I$89,5,0)</f>
        <v>-2.2878339223098009E-13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408.91016501484626</v>
      </c>
      <c r="GF118" s="62">
        <f t="shared" si="104"/>
        <v>354.22396807666433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4.5</v>
      </c>
      <c r="GU118" s="13">
        <f>IF('Données projet'!$A$270&gt;35,GU117+GT118-HC117,IF(A118&lt;'Données projet'!$A$270,$GR$205^A118,IF(A118='Données projet'!$A$270,'Données projet'!$B$270,GU117+GT118-HC117)))</f>
        <v>329.49999999999989</v>
      </c>
      <c r="GV118" s="18">
        <f>GU118*VLOOKUP('Données projet'!$B$18,Paramètres!$A$1:$I$89,3,0)*VLOOKUP('Données projet'!$B$18,Paramètres!$A$1:$I$89,5,0)</f>
        <v>318.69239999999991</v>
      </c>
      <c r="GW118" s="14">
        <f t="shared" si="105"/>
        <v>75.081217250277518</v>
      </c>
      <c r="GX118" s="22">
        <f t="shared" si="82"/>
        <v>685.82238337756644</v>
      </c>
      <c r="GY118" s="62">
        <f t="shared" si="83"/>
        <v>979.1557167108997</v>
      </c>
      <c r="GZ118" s="62">
        <f ca="1">AVERAGE(OFFSET($GY$3,0,0,'Données projet'!$E$18+1,1))-AVERAGE(OFFSET($H$3,0,0,'Données projet'!$E$18+1,1))</f>
        <v>562.69380557620775</v>
      </c>
      <c r="HA118" s="62">
        <f t="shared" si="106"/>
        <v>294.45557293177131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333.99999999999989</v>
      </c>
      <c r="O119" s="14">
        <f>N119*VLOOKUP('Données projet'!$B$9,Paramètres!$A$1:$I$89,3,0)*VLOOKUP('Données projet'!$B$9,Paramètres!$A$1:$I$89,5,0)</f>
        <v>302.20319999999987</v>
      </c>
      <c r="P119" s="14">
        <f t="shared" si="87"/>
        <v>71.638141943842228</v>
      </c>
      <c r="Q119" s="22">
        <f t="shared" si="107"/>
        <v>651.10700388552493</v>
      </c>
      <c r="R119" s="62">
        <f t="shared" si="55"/>
        <v>944.4403372188583</v>
      </c>
      <c r="S119" s="62">
        <f ca="1">AVERAGE(OFFSET($R$3,0,0,'Données projet'!$E$9+1,1))-AVERAGE(OFFSET($H$3,0,0,'Données projet'!$E$9+1,1))</f>
        <v>529.25712986118265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8.8675733422860506E-14</v>
      </c>
      <c r="AK119" s="14">
        <f t="shared" si="89"/>
        <v>1.3509285393066301E-12</v>
      </c>
      <c r="AL119" s="22">
        <f t="shared" si="58"/>
        <v>2.5073107750038623E-12</v>
      </c>
      <c r="AM119" s="62">
        <f t="shared" si="59"/>
        <v>293.33333333333582</v>
      </c>
      <c r="AN119" s="62">
        <f ca="1">AVERAGE(OFFSET($AM$3,0,0,'Données projet'!$E$10+1,1))-AVERAGE(OFFSET($H$3,0,0,'Données projet'!$E$10+1,1))</f>
        <v>292.57482726862594</v>
      </c>
      <c r="AO119" s="62">
        <f t="shared" si="90"/>
        <v>283.48738729114024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-3.4106051316484809E-13</v>
      </c>
      <c r="BE119" s="14">
        <f>BD119*VLOOKUP('Données projet'!$B$11,Paramètres!$A$1:$I$89,3,0)*VLOOKUP('Données projet'!$B$11,Paramètres!$A$1:$I$89,5,0)</f>
        <v>-2.5006556825246659E-13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397.24545766894346</v>
      </c>
      <c r="BJ119" s="62">
        <f t="shared" si="92"/>
        <v>431.44557882369696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2.2737367544323206E-13</v>
      </c>
      <c r="BZ119" s="14">
        <f>BY119*VLOOKUP('Données projet'!$B$12,Paramètres!$A$1:$I$89,3,0)*VLOOKUP('Données projet'!$B$12,Paramètres!$A$1:$I$89,5,0)</f>
        <v>1.4897523215040565E-13</v>
      </c>
      <c r="CA119" s="14">
        <f t="shared" si="93"/>
        <v>2.136562777003313E-12</v>
      </c>
      <c r="CB119" s="22">
        <f t="shared" si="64"/>
        <v>3.9806453659427267E-12</v>
      </c>
      <c r="CC119" s="62">
        <f t="shared" si="65"/>
        <v>293.33333333333729</v>
      </c>
      <c r="CD119" s="62">
        <f ca="1">AVERAGE(OFFSET($CC$3,0,0,'Données projet'!$E$12+1,1))-AVERAGE(OFFSET($H$3,0,0,'Données projet'!$E$12+1,1))</f>
        <v>277.27246253233807</v>
      </c>
      <c r="CE119" s="62">
        <f t="shared" si="94"/>
        <v>269.61868559913404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242.77967999999964</v>
      </c>
      <c r="CV119" s="14">
        <f t="shared" si="95"/>
        <v>59.037190765212706</v>
      </c>
      <c r="CW119" s="22">
        <f t="shared" si="67"/>
        <v>525.66438324941146</v>
      </c>
      <c r="CX119" s="62">
        <f t="shared" si="68"/>
        <v>818.99771658274472</v>
      </c>
      <c r="CY119" s="62">
        <f ca="1">AVERAGE(OFFSET($CX$3,0,0,'Données projet'!$E$13+1,1))-AVERAGE(OFFSET($H$3,0,0,'Données projet'!$E$13+1,1))</f>
        <v>402.15128814037058</v>
      </c>
      <c r="CZ119" s="62">
        <f t="shared" si="96"/>
        <v>232.85411068442738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3.7179487179487181</v>
      </c>
      <c r="DO119" s="13">
        <f>IF('Données projet'!$A$166&gt;35,DO118+DN119-DW118,IF(A119&lt;'Données projet'!$A$166,$DL$205^A119,IF(A119='Données projet'!$A$166,'Données projet'!$B$166,DO118+DN119-DW118)))</f>
        <v>322.30769230769215</v>
      </c>
      <c r="DP119" s="18">
        <f>DO119*VLOOKUP('Données projet'!$B$14,Paramètres!$A$1:$I$89,3,0)*VLOOKUP('Données projet'!$B$14,Paramètres!$A$1:$I$89,5,0)</f>
        <v>306.70799999999986</v>
      </c>
      <c r="DQ119" s="14">
        <f t="shared" si="97"/>
        <v>72.580902950597434</v>
      </c>
      <c r="DR119" s="22">
        <f t="shared" si="70"/>
        <v>660.59483930562362</v>
      </c>
      <c r="DS119" s="62">
        <f t="shared" si="71"/>
        <v>953.92817263895699</v>
      </c>
      <c r="DT119" s="62">
        <f ca="1">AVERAGE(OFFSET($DS$3,0,0,'Données projet'!$E$14+1,1))-AVERAGE(OFFSET($H$3,0,0,'Données projet'!$E$14+1,1))</f>
        <v>485.18236169209541</v>
      </c>
      <c r="DU119" s="62">
        <f t="shared" si="98"/>
        <v>417.30339652956951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-3.4106051316484809E-13</v>
      </c>
      <c r="EK119" s="18">
        <f>EJ119*VLOOKUP('Données projet'!$B$15,Paramètres!$A$1:$I$89,3,0)*VLOOKUP('Données projet'!$B$15,Paramètres!$A$1:$I$89,5,0)</f>
        <v>-2.7134774427395314E-13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427.78067187784063</v>
      </c>
      <c r="EP119" s="62">
        <f t="shared" si="100"/>
        <v>464.22892523825118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-1.1368683772161603E-13</v>
      </c>
      <c r="FF119" s="18">
        <f>FE119*VLOOKUP('Données projet'!$B$16,Paramètres!$A$1:$I$89,3,0)*VLOOKUP('Données projet'!$B$16,Paramètres!$A$1:$I$89,5,0)</f>
        <v>-9.7543306765146564E-14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448.44001099301806</v>
      </c>
      <c r="FK119" s="62">
        <f t="shared" si="102"/>
        <v>230.82970731138215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-3.4106051316484809E-13</v>
      </c>
      <c r="GA119" s="18">
        <f>FZ119*VLOOKUP('Données projet'!$B$17,Paramètres!$A$1:$I$89,3,0)*VLOOKUP('Données projet'!$B$17,Paramètres!$A$1:$I$89,5,0)</f>
        <v>-2.2878339223098009E-13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408.91016501484626</v>
      </c>
      <c r="GF119" s="62">
        <f t="shared" si="104"/>
        <v>354.22396807666433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4.5</v>
      </c>
      <c r="GU119" s="13">
        <f>IF('Données projet'!$A$270&gt;35,GU118+GT119-HC118,IF(A119&lt;'Données projet'!$A$270,$GR$205^A119,IF(A119='Données projet'!$A$270,'Données projet'!$B$270,GU118+GT119-HC118)))</f>
        <v>333.99999999999989</v>
      </c>
      <c r="GV119" s="18">
        <f>GU119*VLOOKUP('Données projet'!$B$18,Paramètres!$A$1:$I$89,3,0)*VLOOKUP('Données projet'!$B$18,Paramètres!$A$1:$I$89,5,0)</f>
        <v>323.0447999999999</v>
      </c>
      <c r="GW119" s="14">
        <f t="shared" si="105"/>
        <v>75.986533921791832</v>
      </c>
      <c r="GX119" s="22">
        <f t="shared" si="82"/>
        <v>694.97957324712058</v>
      </c>
      <c r="GY119" s="62">
        <f t="shared" si="83"/>
        <v>988.31290658045396</v>
      </c>
      <c r="GZ119" s="62">
        <f ca="1">AVERAGE(OFFSET($GY$3,0,0,'Données projet'!$E$18+1,1))-AVERAGE(OFFSET($H$3,0,0,'Données projet'!$E$18+1,1))</f>
        <v>562.69380557620775</v>
      </c>
      <c r="HA119" s="62">
        <f t="shared" si="106"/>
        <v>294.45557293177131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338.49999999999989</v>
      </c>
      <c r="O120" s="14">
        <f>N120*VLOOKUP('Données projet'!$B$9,Paramètres!$A$1:$I$89,3,0)*VLOOKUP('Données projet'!$B$9,Paramètres!$A$1:$I$89,5,0)</f>
        <v>306.27479999999991</v>
      </c>
      <c r="P120" s="14">
        <f t="shared" si="87"/>
        <v>72.490313602283052</v>
      </c>
      <c r="Q120" s="22">
        <f t="shared" si="107"/>
        <v>659.68257285730954</v>
      </c>
      <c r="R120" s="62">
        <f t="shared" si="55"/>
        <v>953.01590619064291</v>
      </c>
      <c r="S120" s="62">
        <f ca="1">AVERAGE(OFFSET($R$3,0,0,'Données projet'!$E$9+1,1))-AVERAGE(OFFSET($H$3,0,0,'Données projet'!$E$9+1,1))</f>
        <v>529.25712986118265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8.8675733422860506E-14</v>
      </c>
      <c r="AK120" s="14">
        <f t="shared" si="89"/>
        <v>1.3509285393066301E-12</v>
      </c>
      <c r="AL120" s="22">
        <f t="shared" si="58"/>
        <v>2.5073107750038623E-12</v>
      </c>
      <c r="AM120" s="62">
        <f t="shared" si="59"/>
        <v>293.33333333333582</v>
      </c>
      <c r="AN120" s="62">
        <f ca="1">AVERAGE(OFFSET($AM$3,0,0,'Données projet'!$E$10+1,1))-AVERAGE(OFFSET($H$3,0,0,'Données projet'!$E$10+1,1))</f>
        <v>292.57482726862594</v>
      </c>
      <c r="AO120" s="62">
        <f t="shared" si="90"/>
        <v>283.48738729114024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-3.4106051316484809E-13</v>
      </c>
      <c r="BE120" s="14">
        <f>BD120*VLOOKUP('Données projet'!$B$11,Paramètres!$A$1:$I$89,3,0)*VLOOKUP('Données projet'!$B$11,Paramètres!$A$1:$I$89,5,0)</f>
        <v>-2.5006556825246659E-13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397.24545766894346</v>
      </c>
      <c r="BJ120" s="62">
        <f t="shared" si="92"/>
        <v>431.44557882369696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2.2737367544323206E-13</v>
      </c>
      <c r="BZ120" s="14">
        <f>BY120*VLOOKUP('Données projet'!$B$12,Paramètres!$A$1:$I$89,3,0)*VLOOKUP('Données projet'!$B$12,Paramètres!$A$1:$I$89,5,0)</f>
        <v>1.4897523215040565E-13</v>
      </c>
      <c r="CA120" s="14">
        <f t="shared" si="93"/>
        <v>2.136562777003313E-12</v>
      </c>
      <c r="CB120" s="22">
        <f t="shared" si="64"/>
        <v>3.9806453659427267E-12</v>
      </c>
      <c r="CC120" s="62">
        <f t="shared" si="65"/>
        <v>293.33333333333729</v>
      </c>
      <c r="CD120" s="62">
        <f ca="1">AVERAGE(OFFSET($CC$3,0,0,'Données projet'!$E$12+1,1))-AVERAGE(OFFSET($H$3,0,0,'Données projet'!$E$12+1,1))</f>
        <v>277.27246253233807</v>
      </c>
      <c r="CE120" s="62">
        <f t="shared" si="94"/>
        <v>269.61868559913404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245.89655999999962</v>
      </c>
      <c r="CV120" s="14">
        <f t="shared" si="95"/>
        <v>59.706406368049571</v>
      </c>
      <c r="CW120" s="22">
        <f t="shared" si="67"/>
        <v>532.25849975768563</v>
      </c>
      <c r="CX120" s="62">
        <f t="shared" si="68"/>
        <v>825.591833091019</v>
      </c>
      <c r="CY120" s="62">
        <f ca="1">AVERAGE(OFFSET($CX$3,0,0,'Données projet'!$E$13+1,1))-AVERAGE(OFFSET($H$3,0,0,'Données projet'!$E$13+1,1))</f>
        <v>402.15128814037058</v>
      </c>
      <c r="CZ120" s="62">
        <f t="shared" si="96"/>
        <v>232.85411068442738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3.7179487179487181</v>
      </c>
      <c r="DO120" s="13">
        <f>IF('Données projet'!$A$166&gt;35,DO119+DN120-DW119,IF(A120&lt;'Données projet'!$A$166,$DL$205^A120,IF(A120='Données projet'!$A$166,'Données projet'!$B$166,DO119+DN120-DW119)))</f>
        <v>326.02564102564088</v>
      </c>
      <c r="DP120" s="18">
        <f>DO120*VLOOKUP('Données projet'!$B$14,Paramètres!$A$1:$I$89,3,0)*VLOOKUP('Données projet'!$B$14,Paramètres!$A$1:$I$89,5,0)</f>
        <v>310.24599999999987</v>
      </c>
      <c r="DQ120" s="14">
        <f t="shared" si="97"/>
        <v>73.320202390840123</v>
      </c>
      <c r="DR120" s="22">
        <f t="shared" si="70"/>
        <v>668.04446916404629</v>
      </c>
      <c r="DS120" s="62">
        <f t="shared" si="71"/>
        <v>961.37780249737966</v>
      </c>
      <c r="DT120" s="62">
        <f ca="1">AVERAGE(OFFSET($DS$3,0,0,'Données projet'!$E$14+1,1))-AVERAGE(OFFSET($H$3,0,0,'Données projet'!$E$14+1,1))</f>
        <v>485.18236169209541</v>
      </c>
      <c r="DU120" s="62">
        <f t="shared" si="98"/>
        <v>417.30339652956951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-3.4106051316484809E-13</v>
      </c>
      <c r="EK120" s="18">
        <f>EJ120*VLOOKUP('Données projet'!$B$15,Paramètres!$A$1:$I$89,3,0)*VLOOKUP('Données projet'!$B$15,Paramètres!$A$1:$I$89,5,0)</f>
        <v>-2.7134774427395314E-13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427.78067187784063</v>
      </c>
      <c r="EP120" s="62">
        <f t="shared" si="100"/>
        <v>464.22892523825118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-1.1368683772161603E-13</v>
      </c>
      <c r="FF120" s="18">
        <f>FE120*VLOOKUP('Données projet'!$B$16,Paramètres!$A$1:$I$89,3,0)*VLOOKUP('Données projet'!$B$16,Paramètres!$A$1:$I$89,5,0)</f>
        <v>-9.7543306765146564E-14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448.44001099301806</v>
      </c>
      <c r="FK120" s="62">
        <f t="shared" si="102"/>
        <v>230.82970731138215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-3.4106051316484809E-13</v>
      </c>
      <c r="GA120" s="18">
        <f>FZ120*VLOOKUP('Données projet'!$B$17,Paramètres!$A$1:$I$89,3,0)*VLOOKUP('Données projet'!$B$17,Paramètres!$A$1:$I$89,5,0)</f>
        <v>-2.2878339223098009E-13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408.91016501484626</v>
      </c>
      <c r="GF120" s="62">
        <f t="shared" si="104"/>
        <v>354.22396807666433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4.5</v>
      </c>
      <c r="GU120" s="13">
        <f>IF('Données projet'!$A$270&gt;35,GU119+GT120-HC119,IF(A120&lt;'Données projet'!$A$270,$GR$205^A120,IF(A120='Données projet'!$A$270,'Données projet'!$B$270,GU119+GT120-HC119)))</f>
        <v>338.49999999999989</v>
      </c>
      <c r="GV120" s="18">
        <f>GU120*VLOOKUP('Données projet'!$B$18,Paramètres!$A$1:$I$89,3,0)*VLOOKUP('Données projet'!$B$18,Paramètres!$A$1:$I$89,5,0)</f>
        <v>327.39719999999988</v>
      </c>
      <c r="GW120" s="14">
        <f t="shared" si="105"/>
        <v>76.890431885561796</v>
      </c>
      <c r="GX120" s="22">
        <f t="shared" si="82"/>
        <v>704.13429220068656</v>
      </c>
      <c r="GY120" s="62">
        <f t="shared" si="83"/>
        <v>997.46762553401982</v>
      </c>
      <c r="GZ120" s="62">
        <f ca="1">AVERAGE(OFFSET($GY$3,0,0,'Données projet'!$E$18+1,1))-AVERAGE(OFFSET($H$3,0,0,'Données projet'!$E$18+1,1))</f>
        <v>562.69380557620775</v>
      </c>
      <c r="HA120" s="62">
        <f t="shared" si="106"/>
        <v>294.45557293177131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342.99999999999989</v>
      </c>
      <c r="O121" s="14">
        <f>N121*VLOOKUP('Données projet'!$B$9,Paramètres!$A$1:$I$89,3,0)*VLOOKUP('Données projet'!$B$9,Paramètres!$A$1:$I$89,5,0)</f>
        <v>310.34639999999985</v>
      </c>
      <c r="P121" s="14">
        <f t="shared" si="87"/>
        <v>73.341167576152998</v>
      </c>
      <c r="Q121" s="22">
        <f t="shared" si="107"/>
        <v>668.25584686179957</v>
      </c>
      <c r="R121" s="62">
        <f t="shared" si="55"/>
        <v>961.58918019513294</v>
      </c>
      <c r="S121" s="62">
        <f ca="1">AVERAGE(OFFSET($R$3,0,0,'Données projet'!$E$9+1,1))-AVERAGE(OFFSET($H$3,0,0,'Données projet'!$E$9+1,1))</f>
        <v>529.25712986118265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8.8675733422860506E-14</v>
      </c>
      <c r="AK121" s="14">
        <f t="shared" si="89"/>
        <v>1.3509285393066301E-12</v>
      </c>
      <c r="AL121" s="22">
        <f t="shared" si="58"/>
        <v>2.5073107750038623E-12</v>
      </c>
      <c r="AM121" s="62">
        <f t="shared" si="59"/>
        <v>293.33333333333582</v>
      </c>
      <c r="AN121" s="62">
        <f ca="1">AVERAGE(OFFSET($AM$3,0,0,'Données projet'!$E$10+1,1))-AVERAGE(OFFSET($H$3,0,0,'Données projet'!$E$10+1,1))</f>
        <v>292.57482726862594</v>
      </c>
      <c r="AO121" s="62">
        <f t="shared" si="90"/>
        <v>283.48738729114024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-3.4106051316484809E-13</v>
      </c>
      <c r="BE121" s="14">
        <f>BD121*VLOOKUP('Données projet'!$B$11,Paramètres!$A$1:$I$89,3,0)*VLOOKUP('Données projet'!$B$11,Paramètres!$A$1:$I$89,5,0)</f>
        <v>-2.5006556825246659E-13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397.24545766894346</v>
      </c>
      <c r="BJ121" s="62">
        <f t="shared" si="92"/>
        <v>431.44557882369696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2.2737367544323206E-13</v>
      </c>
      <c r="BZ121" s="14">
        <f>BY121*VLOOKUP('Données projet'!$B$12,Paramètres!$A$1:$I$89,3,0)*VLOOKUP('Données projet'!$B$12,Paramètres!$A$1:$I$89,5,0)</f>
        <v>1.4897523215040565E-13</v>
      </c>
      <c r="CA121" s="14">
        <f t="shared" si="93"/>
        <v>2.136562777003313E-12</v>
      </c>
      <c r="CB121" s="22">
        <f t="shared" si="64"/>
        <v>3.9806453659427267E-12</v>
      </c>
      <c r="CC121" s="62">
        <f t="shared" si="65"/>
        <v>293.33333333333729</v>
      </c>
      <c r="CD121" s="62">
        <f ca="1">AVERAGE(OFFSET($CC$3,0,0,'Données projet'!$E$12+1,1))-AVERAGE(OFFSET($H$3,0,0,'Données projet'!$E$12+1,1))</f>
        <v>277.27246253233807</v>
      </c>
      <c r="CE121" s="62">
        <f t="shared" si="94"/>
        <v>269.61868559913404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249.0134399999996</v>
      </c>
      <c r="CV121" s="14">
        <f t="shared" si="95"/>
        <v>60.374635285677471</v>
      </c>
      <c r="CW121" s="22">
        <f t="shared" si="67"/>
        <v>538.85089778922088</v>
      </c>
      <c r="CX121" s="62">
        <f t="shared" si="68"/>
        <v>832.18423112255414</v>
      </c>
      <c r="CY121" s="62">
        <f ca="1">AVERAGE(OFFSET($CX$3,0,0,'Données projet'!$E$13+1,1))-AVERAGE(OFFSET($H$3,0,0,'Données projet'!$E$13+1,1))</f>
        <v>402.15128814037058</v>
      </c>
      <c r="CZ121" s="62">
        <f t="shared" si="96"/>
        <v>232.85411068442738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3.7179487179487181</v>
      </c>
      <c r="DO121" s="13">
        <f>IF('Données projet'!$A$166&gt;35,DO120+DN121-DW120,IF(A121&lt;'Données projet'!$A$166,$DL$205^A121,IF(A121='Données projet'!$A$166,'Données projet'!$B$166,DO120+DN121-DW120)))</f>
        <v>329.74358974358961</v>
      </c>
      <c r="DP121" s="18">
        <f>DO121*VLOOKUP('Données projet'!$B$14,Paramètres!$A$1:$I$89,3,0)*VLOOKUP('Données projet'!$B$14,Paramètres!$A$1:$I$89,5,0)</f>
        <v>313.78399999999988</v>
      </c>
      <c r="DQ121" s="14">
        <f t="shared" si="97"/>
        <v>74.058521107228074</v>
      </c>
      <c r="DR121" s="22">
        <f t="shared" si="70"/>
        <v>675.49239092842197</v>
      </c>
      <c r="DS121" s="62">
        <f t="shared" si="71"/>
        <v>968.82572426175534</v>
      </c>
      <c r="DT121" s="62">
        <f ca="1">AVERAGE(OFFSET($DS$3,0,0,'Données projet'!$E$14+1,1))-AVERAGE(OFFSET($H$3,0,0,'Données projet'!$E$14+1,1))</f>
        <v>485.18236169209541</v>
      </c>
      <c r="DU121" s="62">
        <f t="shared" si="98"/>
        <v>417.30339652956951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-3.4106051316484809E-13</v>
      </c>
      <c r="EK121" s="18">
        <f>EJ121*VLOOKUP('Données projet'!$B$15,Paramètres!$A$1:$I$89,3,0)*VLOOKUP('Données projet'!$B$15,Paramètres!$A$1:$I$89,5,0)</f>
        <v>-2.7134774427395314E-13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427.78067187784063</v>
      </c>
      <c r="EP121" s="62">
        <f t="shared" si="100"/>
        <v>464.22892523825118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-1.1368683772161603E-13</v>
      </c>
      <c r="FF121" s="18">
        <f>FE121*VLOOKUP('Données projet'!$B$16,Paramètres!$A$1:$I$89,3,0)*VLOOKUP('Données projet'!$B$16,Paramètres!$A$1:$I$89,5,0)</f>
        <v>-9.7543306765146564E-14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448.44001099301806</v>
      </c>
      <c r="FK121" s="62">
        <f t="shared" si="102"/>
        <v>230.82970731138215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-3.4106051316484809E-13</v>
      </c>
      <c r="GA121" s="18">
        <f>FZ121*VLOOKUP('Données projet'!$B$17,Paramètres!$A$1:$I$89,3,0)*VLOOKUP('Données projet'!$B$17,Paramètres!$A$1:$I$89,5,0)</f>
        <v>-2.2878339223098009E-13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408.91016501484626</v>
      </c>
      <c r="GF121" s="62">
        <f t="shared" si="104"/>
        <v>354.22396807666433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4.5</v>
      </c>
      <c r="GU121" s="13">
        <f>IF('Données projet'!$A$270&gt;35,GU120+GT121-HC120,IF(A121&lt;'Données projet'!$A$270,$GR$205^A121,IF(A121='Données projet'!$A$270,'Données projet'!$B$270,GU120+GT121-HC120)))</f>
        <v>342.99999999999989</v>
      </c>
      <c r="GV121" s="18">
        <f>GU121*VLOOKUP('Données projet'!$B$18,Paramètres!$A$1:$I$89,3,0)*VLOOKUP('Données projet'!$B$18,Paramètres!$A$1:$I$89,5,0)</f>
        <v>331.74959999999993</v>
      </c>
      <c r="GW121" s="14">
        <f t="shared" si="105"/>
        <v>77.792932182102803</v>
      </c>
      <c r="GX121" s="22">
        <f t="shared" si="82"/>
        <v>713.28657688382884</v>
      </c>
      <c r="GY121" s="62">
        <f t="shared" si="83"/>
        <v>1006.6199102171622</v>
      </c>
      <c r="GZ121" s="62">
        <f ca="1">AVERAGE(OFFSET($GY$3,0,0,'Données projet'!$E$18+1,1))-AVERAGE(OFFSET($H$3,0,0,'Données projet'!$E$18+1,1))</f>
        <v>562.69380557620775</v>
      </c>
      <c r="HA121" s="62">
        <f t="shared" si="106"/>
        <v>294.45557293177131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347.49999999999989</v>
      </c>
      <c r="O122" s="14">
        <f>N122*VLOOKUP('Données projet'!$B$9,Paramètres!$A$1:$I$89,3,0)*VLOOKUP('Données projet'!$B$9,Paramètres!$A$1:$I$89,5,0)</f>
        <v>314.41799999999989</v>
      </c>
      <c r="P122" s="14">
        <f t="shared" si="87"/>
        <v>74.190723151497338</v>
      </c>
      <c r="Q122" s="22">
        <f t="shared" si="107"/>
        <v>676.82685948885762</v>
      </c>
      <c r="R122" s="62">
        <f t="shared" si="55"/>
        <v>970.16019282219099</v>
      </c>
      <c r="S122" s="62">
        <f ca="1">AVERAGE(OFFSET($R$3,0,0,'Données projet'!$E$9+1,1))-AVERAGE(OFFSET($H$3,0,0,'Données projet'!$E$9+1,1))</f>
        <v>529.25712986118265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8.8675733422860506E-14</v>
      </c>
      <c r="AK122" s="14">
        <f t="shared" si="89"/>
        <v>1.3509285393066301E-12</v>
      </c>
      <c r="AL122" s="22">
        <f t="shared" si="58"/>
        <v>2.5073107750038623E-12</v>
      </c>
      <c r="AM122" s="62">
        <f t="shared" si="59"/>
        <v>293.33333333333582</v>
      </c>
      <c r="AN122" s="62">
        <f ca="1">AVERAGE(OFFSET($AM$3,0,0,'Données projet'!$E$10+1,1))-AVERAGE(OFFSET($H$3,0,0,'Données projet'!$E$10+1,1))</f>
        <v>292.57482726862594</v>
      </c>
      <c r="AO122" s="62">
        <f t="shared" si="90"/>
        <v>283.48738729114024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-3.4106051316484809E-13</v>
      </c>
      <c r="BE122" s="14">
        <f>BD122*VLOOKUP('Données projet'!$B$11,Paramètres!$A$1:$I$89,3,0)*VLOOKUP('Données projet'!$B$11,Paramètres!$A$1:$I$89,5,0)</f>
        <v>-2.5006556825246659E-13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397.24545766894346</v>
      </c>
      <c r="BJ122" s="62">
        <f t="shared" si="92"/>
        <v>431.44557882369696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2.2737367544323206E-13</v>
      </c>
      <c r="BZ122" s="14">
        <f>BY122*VLOOKUP('Données projet'!$B$12,Paramètres!$A$1:$I$89,3,0)*VLOOKUP('Données projet'!$B$12,Paramètres!$A$1:$I$89,5,0)</f>
        <v>1.4897523215040565E-13</v>
      </c>
      <c r="CA122" s="14">
        <f t="shared" si="93"/>
        <v>2.136562777003313E-12</v>
      </c>
      <c r="CB122" s="22">
        <f t="shared" si="64"/>
        <v>3.9806453659427267E-12</v>
      </c>
      <c r="CC122" s="62">
        <f t="shared" si="65"/>
        <v>293.33333333333729</v>
      </c>
      <c r="CD122" s="62">
        <f ca="1">AVERAGE(OFFSET($CC$3,0,0,'Données projet'!$E$12+1,1))-AVERAGE(OFFSET($H$3,0,0,'Données projet'!$E$12+1,1))</f>
        <v>277.27246253233807</v>
      </c>
      <c r="CE122" s="62">
        <f t="shared" si="94"/>
        <v>269.61868559913404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252.13031999999959</v>
      </c>
      <c r="CV122" s="14">
        <f t="shared" si="95"/>
        <v>61.041891296605009</v>
      </c>
      <c r="CW122" s="22">
        <f t="shared" si="67"/>
        <v>545.44160134158631</v>
      </c>
      <c r="CX122" s="62">
        <f t="shared" si="68"/>
        <v>838.77493467491968</v>
      </c>
      <c r="CY122" s="62">
        <f ca="1">AVERAGE(OFFSET($CX$3,0,0,'Données projet'!$E$13+1,1))-AVERAGE(OFFSET($H$3,0,0,'Données projet'!$E$13+1,1))</f>
        <v>402.15128814037058</v>
      </c>
      <c r="CZ122" s="62">
        <f t="shared" si="96"/>
        <v>232.85411068442738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3.7179487179487181</v>
      </c>
      <c r="DO122" s="13">
        <f>IF('Données projet'!$A$166&gt;35,DO121+DN122-DW121,IF(A122&lt;'Données projet'!$A$166,$DL$205^A122,IF(A122='Données projet'!$A$166,'Données projet'!$B$166,DO121+DN122-DW121)))</f>
        <v>333.46153846153834</v>
      </c>
      <c r="DP122" s="18">
        <f>DO122*VLOOKUP('Données projet'!$B$14,Paramètres!$A$1:$I$89,3,0)*VLOOKUP('Données projet'!$B$14,Paramètres!$A$1:$I$89,5,0)</f>
        <v>317.32199999999989</v>
      </c>
      <c r="DQ122" s="14">
        <f t="shared" si="97"/>
        <v>74.795871437260445</v>
      </c>
      <c r="DR122" s="22">
        <f t="shared" si="70"/>
        <v>682.93862608656173</v>
      </c>
      <c r="DS122" s="62">
        <f t="shared" si="71"/>
        <v>976.27195941989498</v>
      </c>
      <c r="DT122" s="62">
        <f ca="1">AVERAGE(OFFSET($DS$3,0,0,'Données projet'!$E$14+1,1))-AVERAGE(OFFSET($H$3,0,0,'Données projet'!$E$14+1,1))</f>
        <v>485.18236169209541</v>
      </c>
      <c r="DU122" s="62">
        <f t="shared" si="98"/>
        <v>417.30339652956951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-3.4106051316484809E-13</v>
      </c>
      <c r="EK122" s="18">
        <f>EJ122*VLOOKUP('Données projet'!$B$15,Paramètres!$A$1:$I$89,3,0)*VLOOKUP('Données projet'!$B$15,Paramètres!$A$1:$I$89,5,0)</f>
        <v>-2.7134774427395314E-13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427.78067187784063</v>
      </c>
      <c r="EP122" s="62">
        <f t="shared" si="100"/>
        <v>464.22892523825118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-1.1368683772161603E-13</v>
      </c>
      <c r="FF122" s="18">
        <f>FE122*VLOOKUP('Données projet'!$B$16,Paramètres!$A$1:$I$89,3,0)*VLOOKUP('Données projet'!$B$16,Paramètres!$A$1:$I$89,5,0)</f>
        <v>-9.7543306765146564E-14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448.44001099301806</v>
      </c>
      <c r="FK122" s="62">
        <f t="shared" si="102"/>
        <v>230.82970731138215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-3.4106051316484809E-13</v>
      </c>
      <c r="GA122" s="18">
        <f>FZ122*VLOOKUP('Données projet'!$B$17,Paramètres!$A$1:$I$89,3,0)*VLOOKUP('Données projet'!$B$17,Paramètres!$A$1:$I$89,5,0)</f>
        <v>-2.2878339223098009E-13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408.91016501484626</v>
      </c>
      <c r="GF122" s="62">
        <f t="shared" si="104"/>
        <v>354.22396807666433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4.5</v>
      </c>
      <c r="GU122" s="13">
        <f>IF('Données projet'!$A$270&gt;35,GU121+GT122-HC121,IF(A122&lt;'Données projet'!$A$270,$GR$205^A122,IF(A122='Données projet'!$A$270,'Données projet'!$B$270,GU121+GT122-HC121)))</f>
        <v>347.49999999999989</v>
      </c>
      <c r="GV122" s="18">
        <f>GU122*VLOOKUP('Données projet'!$B$18,Paramètres!$A$1:$I$89,3,0)*VLOOKUP('Données projet'!$B$18,Paramètres!$A$1:$I$89,5,0)</f>
        <v>336.10199999999992</v>
      </c>
      <c r="GW122" s="14">
        <f t="shared" si="105"/>
        <v>78.694055268111313</v>
      </c>
      <c r="GX122" s="22">
        <f t="shared" si="82"/>
        <v>722.43646292529365</v>
      </c>
      <c r="GY122" s="62">
        <f t="shared" si="83"/>
        <v>1015.7697962586269</v>
      </c>
      <c r="GZ122" s="62">
        <f ca="1">AVERAGE(OFFSET($GY$3,0,0,'Données projet'!$E$18+1,1))-AVERAGE(OFFSET($H$3,0,0,'Données projet'!$E$18+1,1))</f>
        <v>562.69380557620775</v>
      </c>
      <c r="HA122" s="62">
        <f t="shared" si="106"/>
        <v>294.45557293177131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351.99999999999989</v>
      </c>
      <c r="O123" s="14">
        <f>N123*VLOOKUP('Données projet'!$B$9,Paramètres!$A$1:$I$89,3,0)*VLOOKUP('Données projet'!$B$9,Paramètres!$A$1:$I$89,5,0)</f>
        <v>318.48959999999988</v>
      </c>
      <c r="P123" s="14">
        <f t="shared" si="87"/>
        <v>75.038999086150227</v>
      </c>
      <c r="Q123" s="22">
        <f t="shared" si="107"/>
        <v>685.39564340837808</v>
      </c>
      <c r="R123" s="62">
        <f t="shared" si="55"/>
        <v>978.72897674171145</v>
      </c>
      <c r="S123" s="62">
        <f ca="1">AVERAGE(OFFSET($R$3,0,0,'Données projet'!$E$9+1,1))-AVERAGE(OFFSET($H$3,0,0,'Données projet'!$E$9+1,1))</f>
        <v>529.25712986118265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8.8675733422860506E-14</v>
      </c>
      <c r="AK123" s="14">
        <f t="shared" si="89"/>
        <v>1.3509285393066301E-12</v>
      </c>
      <c r="AL123" s="22">
        <f t="shared" si="58"/>
        <v>2.5073107750038623E-12</v>
      </c>
      <c r="AM123" s="62">
        <f t="shared" si="59"/>
        <v>293.33333333333582</v>
      </c>
      <c r="AN123" s="62">
        <f ca="1">AVERAGE(OFFSET($AM$3,0,0,'Données projet'!$E$10+1,1))-AVERAGE(OFFSET($H$3,0,0,'Données projet'!$E$10+1,1))</f>
        <v>292.57482726862594</v>
      </c>
      <c r="AO123" s="62">
        <f t="shared" si="90"/>
        <v>283.48738729114024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-3.4106051316484809E-13</v>
      </c>
      <c r="BE123" s="14">
        <f>BD123*VLOOKUP('Données projet'!$B$11,Paramètres!$A$1:$I$89,3,0)*VLOOKUP('Données projet'!$B$11,Paramètres!$A$1:$I$89,5,0)</f>
        <v>-2.5006556825246659E-13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397.24545766894346</v>
      </c>
      <c r="BJ123" s="62">
        <f t="shared" si="92"/>
        <v>431.44557882369696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2.2737367544323206E-13</v>
      </c>
      <c r="BZ123" s="14">
        <f>BY123*VLOOKUP('Données projet'!$B$12,Paramètres!$A$1:$I$89,3,0)*VLOOKUP('Données projet'!$B$12,Paramètres!$A$1:$I$89,5,0)</f>
        <v>1.4897523215040565E-13</v>
      </c>
      <c r="CA123" s="14">
        <f t="shared" si="93"/>
        <v>2.136562777003313E-12</v>
      </c>
      <c r="CB123" s="22">
        <f t="shared" si="64"/>
        <v>3.9806453659427267E-12</v>
      </c>
      <c r="CC123" s="62">
        <f t="shared" si="65"/>
        <v>293.33333333333729</v>
      </c>
      <c r="CD123" s="62">
        <f ca="1">AVERAGE(OFFSET($CC$3,0,0,'Données projet'!$E$12+1,1))-AVERAGE(OFFSET($H$3,0,0,'Données projet'!$E$12+1,1))</f>
        <v>277.27246253233807</v>
      </c>
      <c r="CE123" s="62">
        <f t="shared" si="94"/>
        <v>269.61868559913404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255.24719999999957</v>
      </c>
      <c r="CV123" s="14">
        <f t="shared" si="95"/>
        <v>61.708187819081161</v>
      </c>
      <c r="CW123" s="22">
        <f t="shared" si="67"/>
        <v>552.0306337848989</v>
      </c>
      <c r="CX123" s="62">
        <f t="shared" si="68"/>
        <v>845.36396711823227</v>
      </c>
      <c r="CY123" s="62">
        <f ca="1">AVERAGE(OFFSET($CX$3,0,0,'Données projet'!$E$13+1,1))-AVERAGE(OFFSET($H$3,0,0,'Données projet'!$E$13+1,1))</f>
        <v>402.15128814037058</v>
      </c>
      <c r="CZ123" s="62">
        <f t="shared" si="96"/>
        <v>232.85411068442738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337.17948717948718</v>
      </c>
      <c r="DM123" s="13">
        <f>VLOOKUP(A123,'Données projet'!$A$165:$I$185,9,0)</f>
        <v>3.7179487179487181</v>
      </c>
      <c r="DN123" s="13">
        <f t="array" ref="DN123">INDEX(DM:DM,MIN(IF(ISNUMBER(DM123:DM319),ROW(DM123:DM319),"")))</f>
        <v>3.7179487179487181</v>
      </c>
      <c r="DO123" s="13">
        <f>IF('Données projet'!$A$166&gt;35,DO122+DN123-DW122,IF(A123&lt;'Données projet'!$A$166,$DL$205^A123,IF(A123='Données projet'!$A$166,'Données projet'!$B$166,DO122+DN123-DW122)))</f>
        <v>337.17948717948707</v>
      </c>
      <c r="DP123" s="18">
        <f>DO123*VLOOKUP('Données projet'!$B$14,Paramètres!$A$1:$I$89,3,0)*VLOOKUP('Données projet'!$B$14,Paramètres!$A$1:$I$89,5,0)</f>
        <v>320.8599999999999</v>
      </c>
      <c r="DQ123" s="14">
        <f t="shared" si="97"/>
        <v>75.53226542748034</v>
      </c>
      <c r="DR123" s="22">
        <f t="shared" si="70"/>
        <v>690.38319561952812</v>
      </c>
      <c r="DS123" s="62">
        <f t="shared" si="71"/>
        <v>983.71652895286138</v>
      </c>
      <c r="DT123" s="62">
        <f ca="1">AVERAGE(OFFSET($DS$3,0,0,'Données projet'!$E$14+1,1))-AVERAGE(OFFSET($H$3,0,0,'Données projet'!$E$14+1,1))</f>
        <v>485.18236169209541</v>
      </c>
      <c r="DU123" s="62">
        <f t="shared" si="98"/>
        <v>417.30339652956951</v>
      </c>
      <c r="DV123" s="16">
        <f>IF(ISNA(VLOOKUP(A123,'Données projet'!$A$165:$I$185,3,0)),0,VLOOKUP(A123,'Données projet'!$A$165:$I$185,3,0))</f>
        <v>11</v>
      </c>
      <c r="DW123" s="16">
        <f>IF(ISNA(VLOOKUP(A123,'Données projet'!$A$165:$I$185,4,0)),0,VLOOKUP(A123,'Données projet'!$A$165:$I$185,4,0))</f>
        <v>337.17948717948718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-3.4106051316484809E-13</v>
      </c>
      <c r="EK123" s="18">
        <f>EJ123*VLOOKUP('Données projet'!$B$15,Paramètres!$A$1:$I$89,3,0)*VLOOKUP('Données projet'!$B$15,Paramètres!$A$1:$I$89,5,0)</f>
        <v>-2.7134774427395314E-13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427.78067187784063</v>
      </c>
      <c r="EP123" s="62">
        <f t="shared" si="100"/>
        <v>464.22892523825118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-1.1368683772161603E-13</v>
      </c>
      <c r="FF123" s="18">
        <f>FE123*VLOOKUP('Données projet'!$B$16,Paramètres!$A$1:$I$89,3,0)*VLOOKUP('Données projet'!$B$16,Paramètres!$A$1:$I$89,5,0)</f>
        <v>-9.7543306765146564E-14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448.44001099301806</v>
      </c>
      <c r="FK123" s="62">
        <f t="shared" si="102"/>
        <v>230.82970731138215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-3.4106051316484809E-13</v>
      </c>
      <c r="GA123" s="18">
        <f>FZ123*VLOOKUP('Données projet'!$B$17,Paramètres!$A$1:$I$89,3,0)*VLOOKUP('Données projet'!$B$17,Paramètres!$A$1:$I$89,5,0)</f>
        <v>-2.2878339223098009E-13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408.91016501484626</v>
      </c>
      <c r="GF123" s="62">
        <f t="shared" si="104"/>
        <v>354.22396807666433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>
        <f>VLOOKUP(A123,'Données projet'!$A$269:$I$289,2,0)</f>
        <v>352</v>
      </c>
      <c r="GS123" s="13">
        <f>VLOOKUP(A123,'Données projet'!$A$269:$I$289,9,0)</f>
        <v>4.5</v>
      </c>
      <c r="GT123" s="13">
        <f t="array" ref="GT123">INDEX(GS:GS,MIN(IF(ISNUMBER(GS123:GS319),ROW(GS123:GS319),"")))</f>
        <v>4.5</v>
      </c>
      <c r="GU123" s="13">
        <f>IF('Données projet'!$A$270&gt;35,GU122+GT123-HC122,IF(A123&lt;'Données projet'!$A$270,$GR$205^A123,IF(A123='Données projet'!$A$270,'Données projet'!$B$270,GU122+GT123-HC122)))</f>
        <v>351.99999999999989</v>
      </c>
      <c r="GV123" s="18">
        <f>GU123*VLOOKUP('Données projet'!$B$18,Paramètres!$A$1:$I$89,3,0)*VLOOKUP('Données projet'!$B$18,Paramètres!$A$1:$I$89,5,0)</f>
        <v>340.45439999999991</v>
      </c>
      <c r="GW123" s="14">
        <f t="shared" si="105"/>
        <v>79.593821040010667</v>
      </c>
      <c r="GX123" s="22">
        <f t="shared" si="82"/>
        <v>731.58398497801829</v>
      </c>
      <c r="GY123" s="62">
        <f t="shared" si="83"/>
        <v>1024.9173183113517</v>
      </c>
      <c r="GZ123" s="62">
        <f ca="1">AVERAGE(OFFSET($GY$3,0,0,'Données projet'!$E$18+1,1))-AVERAGE(OFFSET($H$3,0,0,'Données projet'!$E$18+1,1))</f>
        <v>562.69380557620775</v>
      </c>
      <c r="HA123" s="62">
        <f t="shared" si="106"/>
        <v>294.45557293177131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356.19999999999987</v>
      </c>
      <c r="O124" s="14">
        <f>N124*VLOOKUP('Données projet'!$B$9,Paramètres!$A$1:$I$89,3,0)*VLOOKUP('Données projet'!$B$9,Paramètres!$A$1:$I$89,5,0)</f>
        <v>322.28975999999989</v>
      </c>
      <c r="P124" s="14">
        <f t="shared" si="87"/>
        <v>75.829584879013211</v>
      </c>
      <c r="Q124" s="22">
        <f t="shared" si="107"/>
        <v>693.39119233094789</v>
      </c>
      <c r="R124" s="62">
        <f t="shared" si="55"/>
        <v>986.72452566428115</v>
      </c>
      <c r="S124" s="62">
        <f ca="1">AVERAGE(OFFSET($R$3,0,0,'Données projet'!$E$9+1,1))-AVERAGE(OFFSET($H$3,0,0,'Données projet'!$E$9+1,1))</f>
        <v>529.25712986118265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8.8675733422860506E-14</v>
      </c>
      <c r="AK124" s="14">
        <f t="shared" si="89"/>
        <v>1.3509285393066301E-12</v>
      </c>
      <c r="AL124" s="22">
        <f t="shared" si="58"/>
        <v>2.5073107750038623E-12</v>
      </c>
      <c r="AM124" s="62">
        <f t="shared" si="59"/>
        <v>293.33333333333582</v>
      </c>
      <c r="AN124" s="62">
        <f ca="1">AVERAGE(OFFSET($AM$3,0,0,'Données projet'!$E$10+1,1))-AVERAGE(OFFSET($H$3,0,0,'Données projet'!$E$10+1,1))</f>
        <v>292.57482726862594</v>
      </c>
      <c r="AO124" s="62">
        <f t="shared" si="90"/>
        <v>283.48738729114024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-3.4106051316484809E-13</v>
      </c>
      <c r="BE124" s="14">
        <f>BD124*VLOOKUP('Données projet'!$B$11,Paramètres!$A$1:$I$89,3,0)*VLOOKUP('Données projet'!$B$11,Paramètres!$A$1:$I$89,5,0)</f>
        <v>-2.5006556825246659E-13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397.24545766894346</v>
      </c>
      <c r="BJ124" s="62">
        <f t="shared" si="92"/>
        <v>431.44557882369696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2.2737367544323206E-13</v>
      </c>
      <c r="BZ124" s="14">
        <f>BY124*VLOOKUP('Données projet'!$B$12,Paramètres!$A$1:$I$89,3,0)*VLOOKUP('Données projet'!$B$12,Paramètres!$A$1:$I$89,5,0)</f>
        <v>1.4897523215040565E-13</v>
      </c>
      <c r="CA124" s="14">
        <f t="shared" si="93"/>
        <v>2.136562777003313E-12</v>
      </c>
      <c r="CB124" s="22">
        <f t="shared" si="64"/>
        <v>3.9806453659427267E-12</v>
      </c>
      <c r="CC124" s="62">
        <f t="shared" si="65"/>
        <v>293.33333333333729</v>
      </c>
      <c r="CD124" s="62">
        <f ca="1">AVERAGE(OFFSET($CC$3,0,0,'Données projet'!$E$12+1,1))-AVERAGE(OFFSET($H$3,0,0,'Données projet'!$E$12+1,1))</f>
        <v>277.27246253233807</v>
      </c>
      <c r="CE124" s="62">
        <f t="shared" si="94"/>
        <v>269.61868559913404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228.45887999999957</v>
      </c>
      <c r="CV124" s="14">
        <f t="shared" si="95"/>
        <v>55.949325082237735</v>
      </c>
      <c r="CW124" s="22">
        <f t="shared" si="67"/>
        <v>495.34429051823003</v>
      </c>
      <c r="CX124" s="62">
        <f t="shared" si="68"/>
        <v>788.67762385156334</v>
      </c>
      <c r="CY124" s="62">
        <f ca="1">AVERAGE(OFFSET($CX$3,0,0,'Données projet'!$E$13+1,1))-AVERAGE(OFFSET($H$3,0,0,'Données projet'!$E$13+1,1))</f>
        <v>402.15128814037058</v>
      </c>
      <c r="CZ124" s="62">
        <f t="shared" si="96"/>
        <v>232.85411068442738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-1.1368683772161603E-13</v>
      </c>
      <c r="DP124" s="18">
        <f>DO124*VLOOKUP('Données projet'!$B$14,Paramètres!$A$1:$I$89,3,0)*VLOOKUP('Données projet'!$B$14,Paramètres!$A$1:$I$89,5,0)</f>
        <v>-1.0818439477588981E-13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485.18236169209541</v>
      </c>
      <c r="DU124" s="62">
        <f t="shared" si="98"/>
        <v>417.30339652956951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-3.4106051316484809E-13</v>
      </c>
      <c r="EK124" s="18">
        <f>EJ124*VLOOKUP('Données projet'!$B$15,Paramètres!$A$1:$I$89,3,0)*VLOOKUP('Données projet'!$B$15,Paramètres!$A$1:$I$89,5,0)</f>
        <v>-2.7134774427395314E-13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427.78067187784063</v>
      </c>
      <c r="EP124" s="62">
        <f t="shared" si="100"/>
        <v>464.22892523825118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-1.1368683772161603E-13</v>
      </c>
      <c r="FF124" s="18">
        <f>FE124*VLOOKUP('Données projet'!$B$16,Paramètres!$A$1:$I$89,3,0)*VLOOKUP('Données projet'!$B$16,Paramètres!$A$1:$I$89,5,0)</f>
        <v>-9.7543306765146564E-14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448.44001099301806</v>
      </c>
      <c r="FK124" s="62">
        <f t="shared" si="102"/>
        <v>230.82970731138215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-3.4106051316484809E-13</v>
      </c>
      <c r="GA124" s="18">
        <f>FZ124*VLOOKUP('Données projet'!$B$17,Paramètres!$A$1:$I$89,3,0)*VLOOKUP('Données projet'!$B$17,Paramètres!$A$1:$I$89,5,0)</f>
        <v>-2.2878339223098009E-13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408.91016501484626</v>
      </c>
      <c r="GF124" s="62">
        <f t="shared" si="104"/>
        <v>354.22396807666433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4.2</v>
      </c>
      <c r="GU124" s="13">
        <f>IF('Données projet'!$A$270&gt;35,GU123+GT124-HC123,IF(A124&lt;'Données projet'!$A$270,$GR$205^A124,IF(A124='Données projet'!$A$270,'Données projet'!$B$270,GU123+GT124-HC123)))</f>
        <v>356.19999999999987</v>
      </c>
      <c r="GV124" s="18">
        <f>GU124*VLOOKUP('Données projet'!$B$18,Paramètres!$A$1:$I$89,3,0)*VLOOKUP('Données projet'!$B$18,Paramètres!$A$1:$I$89,5,0)</f>
        <v>344.51663999999988</v>
      </c>
      <c r="GW124" s="14">
        <f t="shared" si="105"/>
        <v>80.432394913333098</v>
      </c>
      <c r="GX124" s="22">
        <f t="shared" si="82"/>
        <v>740.11956914072152</v>
      </c>
      <c r="GY124" s="62">
        <f t="shared" si="83"/>
        <v>1033.4529024740548</v>
      </c>
      <c r="GZ124" s="62">
        <f ca="1">AVERAGE(OFFSET($GY$3,0,0,'Données projet'!$E$18+1,1))-AVERAGE(OFFSET($H$3,0,0,'Données projet'!$E$18+1,1))</f>
        <v>562.69380557620775</v>
      </c>
      <c r="HA124" s="62">
        <f t="shared" si="106"/>
        <v>294.45557293177131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360.39999999999986</v>
      </c>
      <c r="O125" s="14">
        <f>N125*VLOOKUP('Données projet'!$B$9,Paramètres!$A$1:$I$89,3,0)*VLOOKUP('Données projet'!$B$9,Paramètres!$A$1:$I$89,5,0)</f>
        <v>326.08991999999984</v>
      </c>
      <c r="P125" s="14">
        <f t="shared" si="87"/>
        <v>76.619086320573132</v>
      </c>
      <c r="Q125" s="22">
        <f t="shared" si="107"/>
        <v>701.38485267499789</v>
      </c>
      <c r="R125" s="62">
        <f t="shared" si="55"/>
        <v>994.71818600833126</v>
      </c>
      <c r="S125" s="62">
        <f ca="1">AVERAGE(OFFSET($R$3,0,0,'Données projet'!$E$9+1,1))-AVERAGE(OFFSET($H$3,0,0,'Données projet'!$E$9+1,1))</f>
        <v>529.25712986118265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8.8675733422860506E-14</v>
      </c>
      <c r="AK125" s="14">
        <f t="shared" si="89"/>
        <v>1.3509285393066301E-12</v>
      </c>
      <c r="AL125" s="22">
        <f t="shared" si="58"/>
        <v>2.5073107750038623E-12</v>
      </c>
      <c r="AM125" s="62">
        <f t="shared" si="59"/>
        <v>293.33333333333582</v>
      </c>
      <c r="AN125" s="62">
        <f ca="1">AVERAGE(OFFSET($AM$3,0,0,'Données projet'!$E$10+1,1))-AVERAGE(OFFSET($H$3,0,0,'Données projet'!$E$10+1,1))</f>
        <v>292.57482726862594</v>
      </c>
      <c r="AO125" s="62">
        <f t="shared" si="90"/>
        <v>283.48738729114024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-3.4106051316484809E-13</v>
      </c>
      <c r="BE125" s="14">
        <f>BD125*VLOOKUP('Données projet'!$B$11,Paramètres!$A$1:$I$89,3,0)*VLOOKUP('Données projet'!$B$11,Paramètres!$A$1:$I$89,5,0)</f>
        <v>-2.5006556825246659E-13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397.24545766894346</v>
      </c>
      <c r="BJ125" s="62">
        <f t="shared" si="92"/>
        <v>431.44557882369696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2.2737367544323206E-13</v>
      </c>
      <c r="BZ125" s="14">
        <f>BY125*VLOOKUP('Données projet'!$B$12,Paramètres!$A$1:$I$89,3,0)*VLOOKUP('Données projet'!$B$12,Paramètres!$A$1:$I$89,5,0)</f>
        <v>1.4897523215040565E-13</v>
      </c>
      <c r="CA125" s="14">
        <f t="shared" si="93"/>
        <v>2.136562777003313E-12</v>
      </c>
      <c r="CB125" s="22">
        <f t="shared" si="64"/>
        <v>3.9806453659427267E-12</v>
      </c>
      <c r="CC125" s="62">
        <f t="shared" si="65"/>
        <v>293.33333333333729</v>
      </c>
      <c r="CD125" s="62">
        <f ca="1">AVERAGE(OFFSET($CC$3,0,0,'Données projet'!$E$12+1,1))-AVERAGE(OFFSET($H$3,0,0,'Données projet'!$E$12+1,1))</f>
        <v>277.27246253233807</v>
      </c>
      <c r="CE125" s="62">
        <f t="shared" si="94"/>
        <v>269.61868559913404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231.15455999999958</v>
      </c>
      <c r="CV125" s="14">
        <f t="shared" si="95"/>
        <v>56.532251598510435</v>
      </c>
      <c r="CW125" s="22">
        <f t="shared" si="67"/>
        <v>501.05453020073833</v>
      </c>
      <c r="CX125" s="62">
        <f t="shared" si="68"/>
        <v>794.38786353407158</v>
      </c>
      <c r="CY125" s="62">
        <f ca="1">AVERAGE(OFFSET($CX$3,0,0,'Données projet'!$E$13+1,1))-AVERAGE(OFFSET($H$3,0,0,'Données projet'!$E$13+1,1))</f>
        <v>402.15128814037058</v>
      </c>
      <c r="CZ125" s="62">
        <f t="shared" si="96"/>
        <v>232.85411068442738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-1.1368683772161603E-13</v>
      </c>
      <c r="DP125" s="18">
        <f>DO125*VLOOKUP('Données projet'!$B$14,Paramètres!$A$1:$I$89,3,0)*VLOOKUP('Données projet'!$B$14,Paramètres!$A$1:$I$89,5,0)</f>
        <v>-1.0818439477588981E-13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485.18236169209541</v>
      </c>
      <c r="DU125" s="62">
        <f t="shared" si="98"/>
        <v>417.30339652956951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-3.4106051316484809E-13</v>
      </c>
      <c r="EK125" s="18">
        <f>EJ125*VLOOKUP('Données projet'!$B$15,Paramètres!$A$1:$I$89,3,0)*VLOOKUP('Données projet'!$B$15,Paramètres!$A$1:$I$89,5,0)</f>
        <v>-2.7134774427395314E-13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427.78067187784063</v>
      </c>
      <c r="EP125" s="62">
        <f t="shared" si="100"/>
        <v>464.22892523825118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-1.1368683772161603E-13</v>
      </c>
      <c r="FF125" s="18">
        <f>FE125*VLOOKUP('Données projet'!$B$16,Paramètres!$A$1:$I$89,3,0)*VLOOKUP('Données projet'!$B$16,Paramètres!$A$1:$I$89,5,0)</f>
        <v>-9.7543306765146564E-14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448.44001099301806</v>
      </c>
      <c r="FK125" s="62">
        <f t="shared" si="102"/>
        <v>230.82970731138215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-3.4106051316484809E-13</v>
      </c>
      <c r="GA125" s="18">
        <f>FZ125*VLOOKUP('Données projet'!$B$17,Paramètres!$A$1:$I$89,3,0)*VLOOKUP('Données projet'!$B$17,Paramètres!$A$1:$I$89,5,0)</f>
        <v>-2.2878339223098009E-13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408.91016501484626</v>
      </c>
      <c r="GF125" s="62">
        <f t="shared" si="104"/>
        <v>354.22396807666433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4.2</v>
      </c>
      <c r="GU125" s="13">
        <f>IF('Données projet'!$A$270&gt;35,GU124+GT125-HC124,IF(A125&lt;'Données projet'!$A$270,$GR$205^A125,IF(A125='Données projet'!$A$270,'Données projet'!$B$270,GU124+GT125-HC124)))</f>
        <v>360.39999999999986</v>
      </c>
      <c r="GV125" s="18">
        <f>GU125*VLOOKUP('Données projet'!$B$18,Paramètres!$A$1:$I$89,3,0)*VLOOKUP('Données projet'!$B$18,Paramètres!$A$1:$I$89,5,0)</f>
        <v>348.57887999999991</v>
      </c>
      <c r="GW125" s="14">
        <f t="shared" si="105"/>
        <v>81.269818615882841</v>
      </c>
      <c r="GX125" s="22">
        <f t="shared" si="82"/>
        <v>748.65315008932919</v>
      </c>
      <c r="GY125" s="62">
        <f t="shared" si="83"/>
        <v>1041.9864834226626</v>
      </c>
      <c r="GZ125" s="62">
        <f ca="1">AVERAGE(OFFSET($GY$3,0,0,'Données projet'!$E$18+1,1))-AVERAGE(OFFSET($H$3,0,0,'Données projet'!$E$18+1,1))</f>
        <v>562.69380557620775</v>
      </c>
      <c r="HA125" s="62">
        <f t="shared" si="106"/>
        <v>294.45557293177131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364.59999999999985</v>
      </c>
      <c r="O126" s="14">
        <f>N126*VLOOKUP('Données projet'!$B$9,Paramètres!$A$1:$I$89,3,0)*VLOOKUP('Données projet'!$B$9,Paramètres!$A$1:$I$89,5,0)</f>
        <v>329.89007999999984</v>
      </c>
      <c r="P126" s="14">
        <f t="shared" si="87"/>
        <v>77.407517509546452</v>
      </c>
      <c r="Q126" s="22">
        <f t="shared" si="107"/>
        <v>709.37664899579306</v>
      </c>
      <c r="R126" s="62">
        <f t="shared" si="55"/>
        <v>1002.7099823291264</v>
      </c>
      <c r="S126" s="62">
        <f ca="1">AVERAGE(OFFSET($R$3,0,0,'Données projet'!$E$9+1,1))-AVERAGE(OFFSET($H$3,0,0,'Données projet'!$E$9+1,1))</f>
        <v>529.25712986118265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8.8675733422860506E-14</v>
      </c>
      <c r="AK126" s="14">
        <f t="shared" si="89"/>
        <v>1.3509285393066301E-12</v>
      </c>
      <c r="AL126" s="22">
        <f t="shared" si="58"/>
        <v>2.5073107750038623E-12</v>
      </c>
      <c r="AM126" s="62">
        <f t="shared" si="59"/>
        <v>293.33333333333582</v>
      </c>
      <c r="AN126" s="62">
        <f ca="1">AVERAGE(OFFSET($AM$3,0,0,'Données projet'!$E$10+1,1))-AVERAGE(OFFSET($H$3,0,0,'Données projet'!$E$10+1,1))</f>
        <v>292.57482726862594</v>
      </c>
      <c r="AO126" s="62">
        <f t="shared" si="90"/>
        <v>283.48738729114024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-3.4106051316484809E-13</v>
      </c>
      <c r="BE126" s="14">
        <f>BD126*VLOOKUP('Données projet'!$B$11,Paramètres!$A$1:$I$89,3,0)*VLOOKUP('Données projet'!$B$11,Paramètres!$A$1:$I$89,5,0)</f>
        <v>-2.5006556825246659E-13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397.24545766894346</v>
      </c>
      <c r="BJ126" s="62">
        <f t="shared" si="92"/>
        <v>431.44557882369696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2.2737367544323206E-13</v>
      </c>
      <c r="BZ126" s="14">
        <f>BY126*VLOOKUP('Données projet'!$B$12,Paramètres!$A$1:$I$89,3,0)*VLOOKUP('Données projet'!$B$12,Paramètres!$A$1:$I$89,5,0)</f>
        <v>1.4897523215040565E-13</v>
      </c>
      <c r="CA126" s="14">
        <f t="shared" si="93"/>
        <v>2.136562777003313E-12</v>
      </c>
      <c r="CB126" s="22">
        <f t="shared" si="64"/>
        <v>3.9806453659427267E-12</v>
      </c>
      <c r="CC126" s="62">
        <f t="shared" si="65"/>
        <v>293.33333333333729</v>
      </c>
      <c r="CD126" s="62">
        <f ca="1">AVERAGE(OFFSET($CC$3,0,0,'Données projet'!$E$12+1,1))-AVERAGE(OFFSET($H$3,0,0,'Données projet'!$E$12+1,1))</f>
        <v>277.27246253233807</v>
      </c>
      <c r="CE126" s="62">
        <f t="shared" si="94"/>
        <v>269.61868559913404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233.85023999999956</v>
      </c>
      <c r="CV126" s="14">
        <f t="shared" si="95"/>
        <v>57.114387348136688</v>
      </c>
      <c r="CW126" s="22">
        <f t="shared" si="67"/>
        <v>506.76339263133724</v>
      </c>
      <c r="CX126" s="62">
        <f t="shared" si="68"/>
        <v>800.09672596467055</v>
      </c>
      <c r="CY126" s="62">
        <f ca="1">AVERAGE(OFFSET($CX$3,0,0,'Données projet'!$E$13+1,1))-AVERAGE(OFFSET($H$3,0,0,'Données projet'!$E$13+1,1))</f>
        <v>402.15128814037058</v>
      </c>
      <c r="CZ126" s="62">
        <f t="shared" si="96"/>
        <v>232.85411068442738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-1.1368683772161603E-13</v>
      </c>
      <c r="DP126" s="18">
        <f>DO126*VLOOKUP('Données projet'!$B$14,Paramètres!$A$1:$I$89,3,0)*VLOOKUP('Données projet'!$B$14,Paramètres!$A$1:$I$89,5,0)</f>
        <v>-1.0818439477588981E-13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485.18236169209541</v>
      </c>
      <c r="DU126" s="62">
        <f t="shared" si="98"/>
        <v>417.30339652956951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-3.4106051316484809E-13</v>
      </c>
      <c r="EK126" s="18">
        <f>EJ126*VLOOKUP('Données projet'!$B$15,Paramètres!$A$1:$I$89,3,0)*VLOOKUP('Données projet'!$B$15,Paramètres!$A$1:$I$89,5,0)</f>
        <v>-2.7134774427395314E-13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427.78067187784063</v>
      </c>
      <c r="EP126" s="62">
        <f t="shared" si="100"/>
        <v>464.22892523825118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-1.1368683772161603E-13</v>
      </c>
      <c r="FF126" s="18">
        <f>FE126*VLOOKUP('Données projet'!$B$16,Paramètres!$A$1:$I$89,3,0)*VLOOKUP('Données projet'!$B$16,Paramètres!$A$1:$I$89,5,0)</f>
        <v>-9.7543306765146564E-14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448.44001099301806</v>
      </c>
      <c r="FK126" s="62">
        <f t="shared" si="102"/>
        <v>230.82970731138215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-3.4106051316484809E-13</v>
      </c>
      <c r="GA126" s="18">
        <f>FZ126*VLOOKUP('Données projet'!$B$17,Paramètres!$A$1:$I$89,3,0)*VLOOKUP('Données projet'!$B$17,Paramètres!$A$1:$I$89,5,0)</f>
        <v>-2.2878339223098009E-13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408.91016501484626</v>
      </c>
      <c r="GF126" s="62">
        <f t="shared" si="104"/>
        <v>354.22396807666433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4.2</v>
      </c>
      <c r="GU126" s="13">
        <f>IF('Données projet'!$A$270&gt;35,GU125+GT126-HC125,IF(A126&lt;'Données projet'!$A$270,$GR$205^A126,IF(A126='Données projet'!$A$270,'Données projet'!$B$270,GU125+GT126-HC125)))</f>
        <v>364.59999999999985</v>
      </c>
      <c r="GV126" s="18">
        <f>GU126*VLOOKUP('Données projet'!$B$18,Paramètres!$A$1:$I$89,3,0)*VLOOKUP('Données projet'!$B$18,Paramètres!$A$1:$I$89,5,0)</f>
        <v>352.64111999999989</v>
      </c>
      <c r="GW126" s="14">
        <f t="shared" si="105"/>
        <v>82.10610710216001</v>
      </c>
      <c r="GX126" s="22">
        <f t="shared" si="82"/>
        <v>757.18475386959517</v>
      </c>
      <c r="GY126" s="62">
        <f t="shared" si="83"/>
        <v>1050.5180872029284</v>
      </c>
      <c r="GZ126" s="62">
        <f ca="1">AVERAGE(OFFSET($GY$3,0,0,'Données projet'!$E$18+1,1))-AVERAGE(OFFSET($H$3,0,0,'Données projet'!$E$18+1,1))</f>
        <v>562.69380557620775</v>
      </c>
      <c r="HA126" s="62">
        <f t="shared" si="106"/>
        <v>294.45557293177131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368.79999999999984</v>
      </c>
      <c r="O127" s="14">
        <f>N127*VLOOKUP('Données projet'!$B$9,Paramètres!$A$1:$I$89,3,0)*VLOOKUP('Données projet'!$B$9,Paramètres!$A$1:$I$89,5,0)</f>
        <v>333.69023999999985</v>
      </c>
      <c r="P127" s="14">
        <f t="shared" si="87"/>
        <v>78.194892201133555</v>
      </c>
      <c r="Q127" s="22">
        <f t="shared" si="107"/>
        <v>717.36660525030732</v>
      </c>
      <c r="R127" s="62">
        <f t="shared" si="55"/>
        <v>1010.6999385836407</v>
      </c>
      <c r="S127" s="62">
        <f ca="1">AVERAGE(OFFSET($R$3,0,0,'Données projet'!$E$9+1,1))-AVERAGE(OFFSET($H$3,0,0,'Données projet'!$E$9+1,1))</f>
        <v>529.25712986118265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8.8675733422860506E-14</v>
      </c>
      <c r="AK127" s="14">
        <f t="shared" si="89"/>
        <v>1.3509285393066301E-12</v>
      </c>
      <c r="AL127" s="22">
        <f t="shared" si="58"/>
        <v>2.5073107750038623E-12</v>
      </c>
      <c r="AM127" s="62">
        <f t="shared" si="59"/>
        <v>293.33333333333582</v>
      </c>
      <c r="AN127" s="62">
        <f ca="1">AVERAGE(OFFSET($AM$3,0,0,'Données projet'!$E$10+1,1))-AVERAGE(OFFSET($H$3,0,0,'Données projet'!$E$10+1,1))</f>
        <v>292.57482726862594</v>
      </c>
      <c r="AO127" s="62">
        <f t="shared" si="90"/>
        <v>283.48738729114024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-3.4106051316484809E-13</v>
      </c>
      <c r="BE127" s="14">
        <f>BD127*VLOOKUP('Données projet'!$B$11,Paramètres!$A$1:$I$89,3,0)*VLOOKUP('Données projet'!$B$11,Paramètres!$A$1:$I$89,5,0)</f>
        <v>-2.5006556825246659E-13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397.24545766894346</v>
      </c>
      <c r="BJ127" s="62">
        <f t="shared" si="92"/>
        <v>431.44557882369696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2.2737367544323206E-13</v>
      </c>
      <c r="BZ127" s="14">
        <f>BY127*VLOOKUP('Données projet'!$B$12,Paramètres!$A$1:$I$89,3,0)*VLOOKUP('Données projet'!$B$12,Paramètres!$A$1:$I$89,5,0)</f>
        <v>1.4897523215040565E-13</v>
      </c>
      <c r="CA127" s="14">
        <f t="shared" si="93"/>
        <v>2.136562777003313E-12</v>
      </c>
      <c r="CB127" s="22">
        <f t="shared" si="64"/>
        <v>3.9806453659427267E-12</v>
      </c>
      <c r="CC127" s="62">
        <f t="shared" si="65"/>
        <v>293.33333333333729</v>
      </c>
      <c r="CD127" s="62">
        <f ca="1">AVERAGE(OFFSET($CC$3,0,0,'Données projet'!$E$12+1,1))-AVERAGE(OFFSET($H$3,0,0,'Données projet'!$E$12+1,1))</f>
        <v>277.27246253233807</v>
      </c>
      <c r="CE127" s="62">
        <f t="shared" si="94"/>
        <v>269.61868559913404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236.54591999999957</v>
      </c>
      <c r="CV127" s="14">
        <f t="shared" si="95"/>
        <v>57.695742501250926</v>
      </c>
      <c r="CW127" s="22">
        <f t="shared" si="67"/>
        <v>512.47089552301134</v>
      </c>
      <c r="CX127" s="62">
        <f t="shared" si="68"/>
        <v>805.80422885634471</v>
      </c>
      <c r="CY127" s="62">
        <f ca="1">AVERAGE(OFFSET($CX$3,0,0,'Données projet'!$E$13+1,1))-AVERAGE(OFFSET($H$3,0,0,'Données projet'!$E$13+1,1))</f>
        <v>402.15128814037058</v>
      </c>
      <c r="CZ127" s="62">
        <f t="shared" si="96"/>
        <v>232.85411068442738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-1.1368683772161603E-13</v>
      </c>
      <c r="DP127" s="18">
        <f>DO127*VLOOKUP('Données projet'!$B$14,Paramètres!$A$1:$I$89,3,0)*VLOOKUP('Données projet'!$B$14,Paramètres!$A$1:$I$89,5,0)</f>
        <v>-1.0818439477588981E-13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485.18236169209541</v>
      </c>
      <c r="DU127" s="62">
        <f t="shared" si="98"/>
        <v>417.30339652956951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-3.4106051316484809E-13</v>
      </c>
      <c r="EK127" s="18">
        <f>EJ127*VLOOKUP('Données projet'!$B$15,Paramètres!$A$1:$I$89,3,0)*VLOOKUP('Données projet'!$B$15,Paramètres!$A$1:$I$89,5,0)</f>
        <v>-2.7134774427395314E-13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427.78067187784063</v>
      </c>
      <c r="EP127" s="62">
        <f t="shared" si="100"/>
        <v>464.22892523825118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-1.1368683772161603E-13</v>
      </c>
      <c r="FF127" s="18">
        <f>FE127*VLOOKUP('Données projet'!$B$16,Paramètres!$A$1:$I$89,3,0)*VLOOKUP('Données projet'!$B$16,Paramètres!$A$1:$I$89,5,0)</f>
        <v>-9.7543306765146564E-14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448.44001099301806</v>
      </c>
      <c r="FK127" s="62">
        <f t="shared" si="102"/>
        <v>230.82970731138215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-3.4106051316484809E-13</v>
      </c>
      <c r="GA127" s="18">
        <f>FZ127*VLOOKUP('Données projet'!$B$17,Paramètres!$A$1:$I$89,3,0)*VLOOKUP('Données projet'!$B$17,Paramètres!$A$1:$I$89,5,0)</f>
        <v>-2.2878339223098009E-13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408.91016501484626</v>
      </c>
      <c r="GF127" s="62">
        <f t="shared" si="104"/>
        <v>354.22396807666433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4.2</v>
      </c>
      <c r="GU127" s="13">
        <f>IF('Données projet'!$A$270&gt;35,GU126+GT127-HC126,IF(A127&lt;'Données projet'!$A$270,$GR$205^A127,IF(A127='Données projet'!$A$270,'Données projet'!$B$270,GU126+GT127-HC126)))</f>
        <v>368.79999999999984</v>
      </c>
      <c r="GV127" s="18">
        <f>GU127*VLOOKUP('Données projet'!$B$18,Paramètres!$A$1:$I$89,3,0)*VLOOKUP('Données projet'!$B$18,Paramètres!$A$1:$I$89,5,0)</f>
        <v>356.70335999999986</v>
      </c>
      <c r="GW127" s="14">
        <f t="shared" si="105"/>
        <v>82.941274962297129</v>
      </c>
      <c r="GX127" s="22">
        <f t="shared" si="82"/>
        <v>765.71440589266729</v>
      </c>
      <c r="GY127" s="62">
        <f t="shared" si="83"/>
        <v>1059.0477392260007</v>
      </c>
      <c r="GZ127" s="62">
        <f ca="1">AVERAGE(OFFSET($GY$3,0,0,'Données projet'!$E$18+1,1))-AVERAGE(OFFSET($H$3,0,0,'Données projet'!$E$18+1,1))</f>
        <v>562.69380557620775</v>
      </c>
      <c r="HA127" s="62">
        <f t="shared" si="106"/>
        <v>294.45557293177131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372.99999999999983</v>
      </c>
      <c r="O128" s="14">
        <f>N128*VLOOKUP('Données projet'!$B$9,Paramètres!$A$1:$I$89,3,0)*VLOOKUP('Données projet'!$B$9,Paramètres!$A$1:$I$89,5,0)</f>
        <v>337.49039999999985</v>
      </c>
      <c r="P128" s="14">
        <f t="shared" si="87"/>
        <v>78.981223819202711</v>
      </c>
      <c r="Q128" s="22">
        <f t="shared" si="107"/>
        <v>725.35474481844449</v>
      </c>
      <c r="R128" s="62">
        <f t="shared" si="55"/>
        <v>1018.6880781517777</v>
      </c>
      <c r="S128" s="62">
        <f ca="1">AVERAGE(OFFSET($R$3,0,0,'Données projet'!$E$9+1,1))-AVERAGE(OFFSET($H$3,0,0,'Données projet'!$E$9+1,1))</f>
        <v>529.25712986118265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8.8675733422860506E-14</v>
      </c>
      <c r="AK128" s="14">
        <f t="shared" si="89"/>
        <v>1.3509285393066301E-12</v>
      </c>
      <c r="AL128" s="22">
        <f t="shared" si="58"/>
        <v>2.5073107750038623E-12</v>
      </c>
      <c r="AM128" s="62">
        <f t="shared" si="59"/>
        <v>293.33333333333582</v>
      </c>
      <c r="AN128" s="62">
        <f ca="1">AVERAGE(OFFSET($AM$3,0,0,'Données projet'!$E$10+1,1))-AVERAGE(OFFSET($H$3,0,0,'Données projet'!$E$10+1,1))</f>
        <v>292.57482726862594</v>
      </c>
      <c r="AO128" s="62">
        <f t="shared" si="90"/>
        <v>283.48738729114024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-3.4106051316484809E-13</v>
      </c>
      <c r="BE128" s="14">
        <f>BD128*VLOOKUP('Données projet'!$B$11,Paramètres!$A$1:$I$89,3,0)*VLOOKUP('Données projet'!$B$11,Paramètres!$A$1:$I$89,5,0)</f>
        <v>-2.5006556825246659E-13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397.24545766894346</v>
      </c>
      <c r="BJ128" s="62">
        <f t="shared" si="92"/>
        <v>431.44557882369696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2.2737367544323206E-13</v>
      </c>
      <c r="BZ128" s="14">
        <f>BY128*VLOOKUP('Données projet'!$B$12,Paramètres!$A$1:$I$89,3,0)*VLOOKUP('Données projet'!$B$12,Paramètres!$A$1:$I$89,5,0)</f>
        <v>1.4897523215040565E-13</v>
      </c>
      <c r="CA128" s="14">
        <f t="shared" si="93"/>
        <v>2.136562777003313E-12</v>
      </c>
      <c r="CB128" s="22">
        <f t="shared" si="64"/>
        <v>3.9806453659427267E-12</v>
      </c>
      <c r="CC128" s="62">
        <f t="shared" si="65"/>
        <v>293.33333333333729</v>
      </c>
      <c r="CD128" s="62">
        <f ca="1">AVERAGE(OFFSET($CC$3,0,0,'Données projet'!$E$12+1,1))-AVERAGE(OFFSET($H$3,0,0,'Données projet'!$E$12+1,1))</f>
        <v>277.27246253233807</v>
      </c>
      <c r="CE128" s="62">
        <f t="shared" si="94"/>
        <v>269.61868559913404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239.24159999999955</v>
      </c>
      <c r="CV128" s="14">
        <f t="shared" si="95"/>
        <v>58.276326982845731</v>
      </c>
      <c r="CW128" s="22">
        <f t="shared" si="67"/>
        <v>518.17705616178876</v>
      </c>
      <c r="CX128" s="62">
        <f t="shared" si="68"/>
        <v>811.51038949512213</v>
      </c>
      <c r="CY128" s="62">
        <f ca="1">AVERAGE(OFFSET($CX$3,0,0,'Données projet'!$E$13+1,1))-AVERAGE(OFFSET($H$3,0,0,'Données projet'!$E$13+1,1))</f>
        <v>402.15128814037058</v>
      </c>
      <c r="CZ128" s="62">
        <f t="shared" si="96"/>
        <v>232.85411068442738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-1.1368683772161603E-13</v>
      </c>
      <c r="DP128" s="18">
        <f>DO128*VLOOKUP('Données projet'!$B$14,Paramètres!$A$1:$I$89,3,0)*VLOOKUP('Données projet'!$B$14,Paramètres!$A$1:$I$89,5,0)</f>
        <v>-1.0818439477588981E-13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485.18236169209541</v>
      </c>
      <c r="DU128" s="62">
        <f t="shared" si="98"/>
        <v>417.30339652956951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-3.4106051316484809E-13</v>
      </c>
      <c r="EK128" s="18">
        <f>EJ128*VLOOKUP('Données projet'!$B$15,Paramètres!$A$1:$I$89,3,0)*VLOOKUP('Données projet'!$B$15,Paramètres!$A$1:$I$89,5,0)</f>
        <v>-2.7134774427395314E-13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427.78067187784063</v>
      </c>
      <c r="EP128" s="62">
        <f t="shared" si="100"/>
        <v>464.22892523825118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-1.1368683772161603E-13</v>
      </c>
      <c r="FF128" s="18">
        <f>FE128*VLOOKUP('Données projet'!$B$16,Paramètres!$A$1:$I$89,3,0)*VLOOKUP('Données projet'!$B$16,Paramètres!$A$1:$I$89,5,0)</f>
        <v>-9.7543306765146564E-14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448.44001099301806</v>
      </c>
      <c r="FK128" s="62">
        <f t="shared" si="102"/>
        <v>230.82970731138215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-3.4106051316484809E-13</v>
      </c>
      <c r="GA128" s="18">
        <f>FZ128*VLOOKUP('Données projet'!$B$17,Paramètres!$A$1:$I$89,3,0)*VLOOKUP('Données projet'!$B$17,Paramètres!$A$1:$I$89,5,0)</f>
        <v>-2.2878339223098009E-13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408.91016501484626</v>
      </c>
      <c r="GF128" s="62">
        <f t="shared" si="104"/>
        <v>354.22396807666433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4.2</v>
      </c>
      <c r="GU128" s="13">
        <f>IF('Données projet'!$A$270&gt;35,GU127+GT128-HC127,IF(A128&lt;'Données projet'!$A$270,$GR$205^A128,IF(A128='Données projet'!$A$270,'Données projet'!$B$270,GU127+GT128-HC127)))</f>
        <v>372.99999999999983</v>
      </c>
      <c r="GV128" s="18">
        <f>GU128*VLOOKUP('Données projet'!$B$18,Paramètres!$A$1:$I$89,3,0)*VLOOKUP('Données projet'!$B$18,Paramètres!$A$1:$I$89,5,0)</f>
        <v>360.76559999999989</v>
      </c>
      <c r="GW128" s="14">
        <f t="shared" si="105"/>
        <v>83.775336434983416</v>
      </c>
      <c r="GX128" s="22">
        <f t="shared" si="82"/>
        <v>774.24213095759603</v>
      </c>
      <c r="GY128" s="62">
        <f t="shared" si="83"/>
        <v>1067.5754642909294</v>
      </c>
      <c r="GZ128" s="62">
        <f ca="1">AVERAGE(OFFSET($GY$3,0,0,'Données projet'!$E$18+1,1))-AVERAGE(OFFSET($H$3,0,0,'Données projet'!$E$18+1,1))</f>
        <v>562.69380557620775</v>
      </c>
      <c r="HA128" s="62">
        <f t="shared" si="106"/>
        <v>294.45557293177131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377.19999999999982</v>
      </c>
      <c r="O129" s="14">
        <f>N129*VLOOKUP('Données projet'!$B$9,Paramètres!$A$1:$I$89,3,0)*VLOOKUP('Données projet'!$B$9,Paramètres!$A$1:$I$89,5,0)</f>
        <v>341.2905599999998</v>
      </c>
      <c r="P129" s="14">
        <f t="shared" si="87"/>
        <v>79.766525467910597</v>
      </c>
      <c r="Q129" s="22">
        <f t="shared" si="107"/>
        <v>733.34109052327722</v>
      </c>
      <c r="R129" s="62">
        <f t="shared" si="55"/>
        <v>1026.6744238566105</v>
      </c>
      <c r="S129" s="62">
        <f ca="1">AVERAGE(OFFSET($R$3,0,0,'Données projet'!$E$9+1,1))-AVERAGE(OFFSET($H$3,0,0,'Données projet'!$E$9+1,1))</f>
        <v>529.25712986118265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8.8675733422860506E-14</v>
      </c>
      <c r="AK129" s="14">
        <f t="shared" si="89"/>
        <v>1.3509285393066301E-12</v>
      </c>
      <c r="AL129" s="22">
        <f t="shared" si="58"/>
        <v>2.5073107750038623E-12</v>
      </c>
      <c r="AM129" s="62">
        <f t="shared" si="59"/>
        <v>293.33333333333582</v>
      </c>
      <c r="AN129" s="62">
        <f ca="1">AVERAGE(OFFSET($AM$3,0,0,'Données projet'!$E$10+1,1))-AVERAGE(OFFSET($H$3,0,0,'Données projet'!$E$10+1,1))</f>
        <v>292.57482726862594</v>
      </c>
      <c r="AO129" s="62">
        <f t="shared" si="90"/>
        <v>283.48738729114024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-3.4106051316484809E-13</v>
      </c>
      <c r="BE129" s="14">
        <f>BD129*VLOOKUP('Données projet'!$B$11,Paramètres!$A$1:$I$89,3,0)*VLOOKUP('Données projet'!$B$11,Paramètres!$A$1:$I$89,5,0)</f>
        <v>-2.5006556825246659E-13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397.24545766894346</v>
      </c>
      <c r="BJ129" s="62">
        <f t="shared" si="92"/>
        <v>431.44557882369696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2.2737367544323206E-13</v>
      </c>
      <c r="BZ129" s="14">
        <f>BY129*VLOOKUP('Données projet'!$B$12,Paramètres!$A$1:$I$89,3,0)*VLOOKUP('Données projet'!$B$12,Paramètres!$A$1:$I$89,5,0)</f>
        <v>1.4897523215040565E-13</v>
      </c>
      <c r="CA129" s="14">
        <f t="shared" si="93"/>
        <v>2.136562777003313E-12</v>
      </c>
      <c r="CB129" s="22">
        <f t="shared" si="64"/>
        <v>3.9806453659427267E-12</v>
      </c>
      <c r="CC129" s="62">
        <f t="shared" si="65"/>
        <v>293.33333333333729</v>
      </c>
      <c r="CD129" s="62">
        <f ca="1">AVERAGE(OFFSET($CC$3,0,0,'Données projet'!$E$12+1,1))-AVERAGE(OFFSET($H$3,0,0,'Données projet'!$E$12+1,1))</f>
        <v>277.27246253233807</v>
      </c>
      <c r="CE129" s="62">
        <f t="shared" si="94"/>
        <v>269.61868559913404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241.93727999999956</v>
      </c>
      <c r="CV129" s="14">
        <f t="shared" si="95"/>
        <v>58.85615048137516</v>
      </c>
      <c r="CW129" s="22">
        <f t="shared" si="67"/>
        <v>523.88189142172769</v>
      </c>
      <c r="CX129" s="62">
        <f t="shared" si="68"/>
        <v>817.21522475506094</v>
      </c>
      <c r="CY129" s="62">
        <f ca="1">AVERAGE(OFFSET($CX$3,0,0,'Données projet'!$E$13+1,1))-AVERAGE(OFFSET($H$3,0,0,'Données projet'!$E$13+1,1))</f>
        <v>402.15128814037058</v>
      </c>
      <c r="CZ129" s="62">
        <f t="shared" si="96"/>
        <v>232.85411068442738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-1.1368683772161603E-13</v>
      </c>
      <c r="DP129" s="18">
        <f>DO129*VLOOKUP('Données projet'!$B$14,Paramètres!$A$1:$I$89,3,0)*VLOOKUP('Données projet'!$B$14,Paramètres!$A$1:$I$89,5,0)</f>
        <v>-1.0818439477588981E-13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485.18236169209541</v>
      </c>
      <c r="DU129" s="62">
        <f t="shared" si="98"/>
        <v>417.30339652956951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-3.4106051316484809E-13</v>
      </c>
      <c r="EK129" s="18">
        <f>EJ129*VLOOKUP('Données projet'!$B$15,Paramètres!$A$1:$I$89,3,0)*VLOOKUP('Données projet'!$B$15,Paramètres!$A$1:$I$89,5,0)</f>
        <v>-2.7134774427395314E-13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427.78067187784063</v>
      </c>
      <c r="EP129" s="62">
        <f t="shared" si="100"/>
        <v>464.22892523825118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-1.1368683772161603E-13</v>
      </c>
      <c r="FF129" s="18">
        <f>FE129*VLOOKUP('Données projet'!$B$16,Paramètres!$A$1:$I$89,3,0)*VLOOKUP('Données projet'!$B$16,Paramètres!$A$1:$I$89,5,0)</f>
        <v>-9.7543306765146564E-14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448.44001099301806</v>
      </c>
      <c r="FK129" s="62">
        <f t="shared" si="102"/>
        <v>230.82970731138215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-3.4106051316484809E-13</v>
      </c>
      <c r="GA129" s="18">
        <f>FZ129*VLOOKUP('Données projet'!$B$17,Paramètres!$A$1:$I$89,3,0)*VLOOKUP('Données projet'!$B$17,Paramètres!$A$1:$I$89,5,0)</f>
        <v>-2.2878339223098009E-13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408.91016501484626</v>
      </c>
      <c r="GF129" s="62">
        <f t="shared" si="104"/>
        <v>354.22396807666433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4.2</v>
      </c>
      <c r="GU129" s="13">
        <f>IF('Données projet'!$A$270&gt;35,GU128+GT129-HC128,IF(A129&lt;'Données projet'!$A$270,$GR$205^A129,IF(A129='Données projet'!$A$270,'Données projet'!$B$270,GU128+GT129-HC128)))</f>
        <v>377.19999999999982</v>
      </c>
      <c r="GV129" s="18">
        <f>GU129*VLOOKUP('Données projet'!$B$18,Paramètres!$A$1:$I$89,3,0)*VLOOKUP('Données projet'!$B$18,Paramètres!$A$1:$I$89,5,0)</f>
        <v>364.82783999999987</v>
      </c>
      <c r="GW129" s="14">
        <f t="shared" si="105"/>
        <v>84.608305419789914</v>
      </c>
      <c r="GX129" s="22">
        <f t="shared" si="82"/>
        <v>782.76795327280058</v>
      </c>
      <c r="GY129" s="62">
        <f t="shared" si="83"/>
        <v>1076.101286606134</v>
      </c>
      <c r="GZ129" s="62">
        <f ca="1">AVERAGE(OFFSET($GY$3,0,0,'Données projet'!$E$18+1,1))-AVERAGE(OFFSET($H$3,0,0,'Données projet'!$E$18+1,1))</f>
        <v>562.69380557620775</v>
      </c>
      <c r="HA129" s="62">
        <f t="shared" si="106"/>
        <v>294.45557293177131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381.39999999999981</v>
      </c>
      <c r="O130" s="14">
        <f>N130*VLOOKUP('Données projet'!$B$9,Paramètres!$A$1:$I$89,3,0)*VLOOKUP('Données projet'!$B$9,Paramètres!$A$1:$I$89,5,0)</f>
        <v>345.09071999999981</v>
      </c>
      <c r="P130" s="14">
        <f t="shared" si="87"/>
        <v>80.550809942790039</v>
      </c>
      <c r="Q130" s="22">
        <f t="shared" si="107"/>
        <v>741.32566465035904</v>
      </c>
      <c r="R130" s="62">
        <f t="shared" si="55"/>
        <v>1034.6589979836924</v>
      </c>
      <c r="S130" s="62">
        <f ca="1">AVERAGE(OFFSET($R$3,0,0,'Données projet'!$E$9+1,1))-AVERAGE(OFFSET($H$3,0,0,'Données projet'!$E$9+1,1))</f>
        <v>529.25712986118265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8.8675733422860506E-14</v>
      </c>
      <c r="AK130" s="14">
        <f t="shared" si="89"/>
        <v>1.3509285393066301E-12</v>
      </c>
      <c r="AL130" s="22">
        <f t="shared" si="58"/>
        <v>2.5073107750038623E-12</v>
      </c>
      <c r="AM130" s="62">
        <f t="shared" si="59"/>
        <v>293.33333333333582</v>
      </c>
      <c r="AN130" s="62">
        <f ca="1">AVERAGE(OFFSET($AM$3,0,0,'Données projet'!$E$10+1,1))-AVERAGE(OFFSET($H$3,0,0,'Données projet'!$E$10+1,1))</f>
        <v>292.57482726862594</v>
      </c>
      <c r="AO130" s="62">
        <f t="shared" si="90"/>
        <v>283.48738729114024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-3.4106051316484809E-13</v>
      </c>
      <c r="BE130" s="14">
        <f>BD130*VLOOKUP('Données projet'!$B$11,Paramètres!$A$1:$I$89,3,0)*VLOOKUP('Données projet'!$B$11,Paramètres!$A$1:$I$89,5,0)</f>
        <v>-2.5006556825246659E-13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397.24545766894346</v>
      </c>
      <c r="BJ130" s="62">
        <f t="shared" si="92"/>
        <v>431.44557882369696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2.2737367544323206E-13</v>
      </c>
      <c r="BZ130" s="14">
        <f>BY130*VLOOKUP('Données projet'!$B$12,Paramètres!$A$1:$I$89,3,0)*VLOOKUP('Données projet'!$B$12,Paramètres!$A$1:$I$89,5,0)</f>
        <v>1.4897523215040565E-13</v>
      </c>
      <c r="CA130" s="14">
        <f t="shared" si="93"/>
        <v>2.136562777003313E-12</v>
      </c>
      <c r="CB130" s="22">
        <f t="shared" si="64"/>
        <v>3.9806453659427267E-12</v>
      </c>
      <c r="CC130" s="62">
        <f t="shared" si="65"/>
        <v>293.33333333333729</v>
      </c>
      <c r="CD130" s="62">
        <f ca="1">AVERAGE(OFFSET($CC$3,0,0,'Données projet'!$E$12+1,1))-AVERAGE(OFFSET($H$3,0,0,'Données projet'!$E$12+1,1))</f>
        <v>277.27246253233807</v>
      </c>
      <c r="CE130" s="62">
        <f t="shared" si="94"/>
        <v>269.61868559913404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244.63295999999951</v>
      </c>
      <c r="CV130" s="14">
        <f t="shared" si="95"/>
        <v>59.435222456963182</v>
      </c>
      <c r="CW130" s="22">
        <f t="shared" si="67"/>
        <v>529.58541777920993</v>
      </c>
      <c r="CX130" s="62">
        <f t="shared" si="68"/>
        <v>822.9187511125433</v>
      </c>
      <c r="CY130" s="62">
        <f ca="1">AVERAGE(OFFSET($CX$3,0,0,'Données projet'!$E$13+1,1))-AVERAGE(OFFSET($H$3,0,0,'Données projet'!$E$13+1,1))</f>
        <v>402.15128814037058</v>
      </c>
      <c r="CZ130" s="62">
        <f t="shared" si="96"/>
        <v>232.85411068442738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-1.1368683772161603E-13</v>
      </c>
      <c r="DP130" s="18">
        <f>DO130*VLOOKUP('Données projet'!$B$14,Paramètres!$A$1:$I$89,3,0)*VLOOKUP('Données projet'!$B$14,Paramètres!$A$1:$I$89,5,0)</f>
        <v>-1.0818439477588981E-13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485.18236169209541</v>
      </c>
      <c r="DU130" s="62">
        <f t="shared" si="98"/>
        <v>417.30339652956951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-3.4106051316484809E-13</v>
      </c>
      <c r="EK130" s="18">
        <f>EJ130*VLOOKUP('Données projet'!$B$15,Paramètres!$A$1:$I$89,3,0)*VLOOKUP('Données projet'!$B$15,Paramètres!$A$1:$I$89,5,0)</f>
        <v>-2.7134774427395314E-13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427.78067187784063</v>
      </c>
      <c r="EP130" s="62">
        <f t="shared" si="100"/>
        <v>464.22892523825118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-1.1368683772161603E-13</v>
      </c>
      <c r="FF130" s="18">
        <f>FE130*VLOOKUP('Données projet'!$B$16,Paramètres!$A$1:$I$89,3,0)*VLOOKUP('Données projet'!$B$16,Paramètres!$A$1:$I$89,5,0)</f>
        <v>-9.7543306765146564E-14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448.44001099301806</v>
      </c>
      <c r="FK130" s="62">
        <f t="shared" si="102"/>
        <v>230.82970731138215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-3.4106051316484809E-13</v>
      </c>
      <c r="GA130" s="18">
        <f>FZ130*VLOOKUP('Données projet'!$B$17,Paramètres!$A$1:$I$89,3,0)*VLOOKUP('Données projet'!$B$17,Paramètres!$A$1:$I$89,5,0)</f>
        <v>-2.2878339223098009E-13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408.91016501484626</v>
      </c>
      <c r="GF130" s="62">
        <f t="shared" si="104"/>
        <v>354.22396807666433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4.2</v>
      </c>
      <c r="GU130" s="13">
        <f>IF('Données projet'!$A$270&gt;35,GU129+GT130-HC129,IF(A130&lt;'Données projet'!$A$270,$GR$205^A130,IF(A130='Données projet'!$A$270,'Données projet'!$B$270,GU129+GT130-HC129)))</f>
        <v>381.39999999999981</v>
      </c>
      <c r="GV130" s="18">
        <f>GU130*VLOOKUP('Données projet'!$B$18,Paramètres!$A$1:$I$89,3,0)*VLOOKUP('Données projet'!$B$18,Paramètres!$A$1:$I$89,5,0)</f>
        <v>368.89007999999984</v>
      </c>
      <c r="GW130" s="14">
        <f t="shared" si="105"/>
        <v>85.440195488930357</v>
      </c>
      <c r="GX130" s="22">
        <f t="shared" si="82"/>
        <v>791.29189647655346</v>
      </c>
      <c r="GY130" s="62">
        <f t="shared" si="83"/>
        <v>1084.6252298098868</v>
      </c>
      <c r="GZ130" s="62">
        <f ca="1">AVERAGE(OFFSET($GY$3,0,0,'Données projet'!$E$18+1,1))-AVERAGE(OFFSET($H$3,0,0,'Données projet'!$E$18+1,1))</f>
        <v>562.69380557620775</v>
      </c>
      <c r="HA130" s="62">
        <f t="shared" si="106"/>
        <v>294.45557293177131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385.5999999999998</v>
      </c>
      <c r="O131" s="14">
        <f>N131*VLOOKUP('Données projet'!$B$9,Paramètres!$A$1:$I$89,3,0)*VLOOKUP('Données projet'!$B$9,Paramètres!$A$1:$I$89,5,0)</f>
        <v>348.89087999999981</v>
      </c>
      <c r="P131" s="14">
        <f t="shared" si="87"/>
        <v>81.33408974133495</v>
      </c>
      <c r="Q131" s="22">
        <f t="shared" ref="Q131:Q153" si="108">(O131+P131)*0.475*44/12</f>
        <v>749.30848896615805</v>
      </c>
      <c r="R131" s="62">
        <f t="shared" ref="R131:R194" si="109">Q131+(I131+J131)*44/12</f>
        <v>1042.6418222994914</v>
      </c>
      <c r="S131" s="62">
        <f ca="1">AVERAGE(OFFSET($R$3,0,0,'Données projet'!$E$9+1,1))-AVERAGE(OFFSET($H$3,0,0,'Données projet'!$E$9+1,1))</f>
        <v>529.25712986118265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8.8675733422860506E-14</v>
      </c>
      <c r="AK131" s="14">
        <f t="shared" si="89"/>
        <v>1.3509285393066301E-12</v>
      </c>
      <c r="AL131" s="22">
        <f t="shared" si="58"/>
        <v>2.5073107750038623E-12</v>
      </c>
      <c r="AM131" s="62">
        <f t="shared" si="59"/>
        <v>293.33333333333582</v>
      </c>
      <c r="AN131" s="62">
        <f ca="1">AVERAGE(OFFSET($AM$3,0,0,'Données projet'!$E$10+1,1))-AVERAGE(OFFSET($H$3,0,0,'Données projet'!$E$10+1,1))</f>
        <v>292.57482726862594</v>
      </c>
      <c r="AO131" s="62">
        <f t="shared" si="90"/>
        <v>283.48738729114024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-3.4106051316484809E-13</v>
      </c>
      <c r="BE131" s="14">
        <f>BD131*VLOOKUP('Données projet'!$B$11,Paramètres!$A$1:$I$89,3,0)*VLOOKUP('Données projet'!$B$11,Paramètres!$A$1:$I$89,5,0)</f>
        <v>-2.5006556825246659E-13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397.24545766894346</v>
      </c>
      <c r="BJ131" s="62">
        <f t="shared" si="92"/>
        <v>431.44557882369696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2.2737367544323206E-13</v>
      </c>
      <c r="BZ131" s="14">
        <f>BY131*VLOOKUP('Données projet'!$B$12,Paramètres!$A$1:$I$89,3,0)*VLOOKUP('Données projet'!$B$12,Paramètres!$A$1:$I$89,5,0)</f>
        <v>1.4897523215040565E-13</v>
      </c>
      <c r="CA131" s="14">
        <f t="shared" si="93"/>
        <v>2.136562777003313E-12</v>
      </c>
      <c r="CB131" s="22">
        <f t="shared" si="64"/>
        <v>3.9806453659427267E-12</v>
      </c>
      <c r="CC131" s="62">
        <f t="shared" si="65"/>
        <v>293.33333333333729</v>
      </c>
      <c r="CD131" s="62">
        <f ca="1">AVERAGE(OFFSET($CC$3,0,0,'Données projet'!$E$12+1,1))-AVERAGE(OFFSET($H$3,0,0,'Données projet'!$E$12+1,1))</f>
        <v>277.27246253233807</v>
      </c>
      <c r="CE131" s="62">
        <f t="shared" si="94"/>
        <v>269.61868559913404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247.32863999999952</v>
      </c>
      <c r="CV131" s="14">
        <f t="shared" si="95"/>
        <v>60.013552149240361</v>
      </c>
      <c r="CW131" s="22">
        <f t="shared" si="67"/>
        <v>535.28765132659282</v>
      </c>
      <c r="CX131" s="62">
        <f t="shared" si="68"/>
        <v>828.62098465992608</v>
      </c>
      <c r="CY131" s="62">
        <f ca="1">AVERAGE(OFFSET($CX$3,0,0,'Données projet'!$E$13+1,1))-AVERAGE(OFFSET($H$3,0,0,'Données projet'!$E$13+1,1))</f>
        <v>402.15128814037058</v>
      </c>
      <c r="CZ131" s="62">
        <f t="shared" si="96"/>
        <v>232.85411068442738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-1.1368683772161603E-13</v>
      </c>
      <c r="DP131" s="18">
        <f>DO131*VLOOKUP('Données projet'!$B$14,Paramètres!$A$1:$I$89,3,0)*VLOOKUP('Données projet'!$B$14,Paramètres!$A$1:$I$89,5,0)</f>
        <v>-1.0818439477588981E-13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485.18236169209541</v>
      </c>
      <c r="DU131" s="62">
        <f t="shared" si="98"/>
        <v>417.30339652956951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-3.4106051316484809E-13</v>
      </c>
      <c r="EK131" s="18">
        <f>EJ131*VLOOKUP('Données projet'!$B$15,Paramètres!$A$1:$I$89,3,0)*VLOOKUP('Données projet'!$B$15,Paramètres!$A$1:$I$89,5,0)</f>
        <v>-2.7134774427395314E-13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427.78067187784063</v>
      </c>
      <c r="EP131" s="62">
        <f t="shared" si="100"/>
        <v>464.22892523825118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-1.1368683772161603E-13</v>
      </c>
      <c r="FF131" s="18">
        <f>FE131*VLOOKUP('Données projet'!$B$16,Paramètres!$A$1:$I$89,3,0)*VLOOKUP('Données projet'!$B$16,Paramètres!$A$1:$I$89,5,0)</f>
        <v>-9.7543306765146564E-14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448.44001099301806</v>
      </c>
      <c r="FK131" s="62">
        <f t="shared" si="102"/>
        <v>230.82970731138215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-3.4106051316484809E-13</v>
      </c>
      <c r="GA131" s="18">
        <f>FZ131*VLOOKUP('Données projet'!$B$17,Paramètres!$A$1:$I$89,3,0)*VLOOKUP('Données projet'!$B$17,Paramètres!$A$1:$I$89,5,0)</f>
        <v>-2.2878339223098009E-13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408.91016501484626</v>
      </c>
      <c r="GF131" s="62">
        <f t="shared" si="104"/>
        <v>354.22396807666433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4.2</v>
      </c>
      <c r="GU131" s="13">
        <f>IF('Données projet'!$A$270&gt;35,GU130+GT131-HC130,IF(A131&lt;'Données projet'!$A$270,$GR$205^A131,IF(A131='Données projet'!$A$270,'Données projet'!$B$270,GU130+GT131-HC130)))</f>
        <v>385.5999999999998</v>
      </c>
      <c r="GV131" s="18">
        <f>GU131*VLOOKUP('Données projet'!$B$18,Paramètres!$A$1:$I$89,3,0)*VLOOKUP('Données projet'!$B$18,Paramètres!$A$1:$I$89,5,0)</f>
        <v>372.95231999999982</v>
      </c>
      <c r="GW131" s="14">
        <f t="shared" si="105"/>
        <v>86.271019898489143</v>
      </c>
      <c r="GX131" s="22">
        <f t="shared" si="82"/>
        <v>799.81398365653479</v>
      </c>
      <c r="GY131" s="62">
        <f t="shared" si="83"/>
        <v>1093.1473169898682</v>
      </c>
      <c r="GZ131" s="62">
        <f ca="1">AVERAGE(OFFSET($GY$3,0,0,'Données projet'!$E$18+1,1))-AVERAGE(OFFSET($H$3,0,0,'Données projet'!$E$18+1,1))</f>
        <v>562.69380557620775</v>
      </c>
      <c r="HA131" s="62">
        <f t="shared" si="106"/>
        <v>294.45557293177131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389.79999999999978</v>
      </c>
      <c r="O132" s="14">
        <f>N132*VLOOKUP('Données projet'!$B$9,Paramètres!$A$1:$I$89,3,0)*VLOOKUP('Données projet'!$B$9,Paramètres!$A$1:$I$89,5,0)</f>
        <v>352.69103999999982</v>
      </c>
      <c r="P132" s="14">
        <f t="shared" si="87"/>
        <v>82.116377073111735</v>
      </c>
      <c r="Q132" s="22">
        <f t="shared" si="108"/>
        <v>757.28958473566934</v>
      </c>
      <c r="R132" s="62">
        <f t="shared" si="109"/>
        <v>1050.6229180690027</v>
      </c>
      <c r="S132" s="62">
        <f ca="1">AVERAGE(OFFSET($R$3,0,0,'Données projet'!$E$9+1,1))-AVERAGE(OFFSET($H$3,0,0,'Données projet'!$E$9+1,1))</f>
        <v>529.25712986118265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8.8675733422860506E-14</v>
      </c>
      <c r="AK132" s="14">
        <f t="shared" si="89"/>
        <v>1.3509285393066301E-12</v>
      </c>
      <c r="AL132" s="22">
        <f t="shared" ref="AL132:AL153" si="112">(AJ132+AK132)*0.475*44/12</f>
        <v>2.5073107750038623E-12</v>
      </c>
      <c r="AM132" s="62">
        <f t="shared" ref="AM132:AM195" si="113">AL132+(AD132+AE132)*44/12</f>
        <v>293.33333333333582</v>
      </c>
      <c r="AN132" s="62">
        <f ca="1">AVERAGE(OFFSET($AM$3,0,0,'Données projet'!$E$10+1,1))-AVERAGE(OFFSET($H$3,0,0,'Données projet'!$E$10+1,1))</f>
        <v>292.57482726862594</v>
      </c>
      <c r="AO132" s="62">
        <f t="shared" si="90"/>
        <v>283.48738729114024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-3.4106051316484809E-13</v>
      </c>
      <c r="BE132" s="14">
        <f>BD132*VLOOKUP('Données projet'!$B$11,Paramètres!$A$1:$I$89,3,0)*VLOOKUP('Données projet'!$B$11,Paramètres!$A$1:$I$89,5,0)</f>
        <v>-2.5006556825246659E-13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397.24545766894346</v>
      </c>
      <c r="BJ132" s="62">
        <f t="shared" si="92"/>
        <v>431.44557882369696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2.2737367544323206E-13</v>
      </c>
      <c r="BZ132" s="14">
        <f>BY132*VLOOKUP('Données projet'!$B$12,Paramètres!$A$1:$I$89,3,0)*VLOOKUP('Données projet'!$B$12,Paramètres!$A$1:$I$89,5,0)</f>
        <v>1.4897523215040565E-13</v>
      </c>
      <c r="CA132" s="14">
        <f t="shared" si="93"/>
        <v>2.136562777003313E-12</v>
      </c>
      <c r="CB132" s="22">
        <f t="shared" ref="CB132:CB153" si="118">(BZ132+CA132)*0.475*44/12</f>
        <v>3.9806453659427267E-12</v>
      </c>
      <c r="CC132" s="62">
        <f t="shared" ref="CC132:CC195" si="119">CB132+(BT132+BU132)*44/12</f>
        <v>293.33333333333729</v>
      </c>
      <c r="CD132" s="62">
        <f ca="1">AVERAGE(OFFSET($CC$3,0,0,'Données projet'!$E$12+1,1))-AVERAGE(OFFSET($H$3,0,0,'Données projet'!$E$12+1,1))</f>
        <v>277.27246253233807</v>
      </c>
      <c r="CE132" s="62">
        <f t="shared" si="94"/>
        <v>269.61868559913404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250.02431999999951</v>
      </c>
      <c r="CV132" s="14">
        <f t="shared" si="95"/>
        <v>60.591148584829156</v>
      </c>
      <c r="CW132" s="22">
        <f t="shared" ref="CW132:CW153" si="121">(CU132+CV132)*0.475*44/12</f>
        <v>540.98860778524329</v>
      </c>
      <c r="CX132" s="62">
        <f t="shared" ref="CX132:CX195" si="122">CW132+(CO132+CP132)*44/12</f>
        <v>834.32194111857666</v>
      </c>
      <c r="CY132" s="62">
        <f ca="1">AVERAGE(OFFSET($CX$3,0,0,'Données projet'!$E$13+1,1))-AVERAGE(OFFSET($H$3,0,0,'Données projet'!$E$13+1,1))</f>
        <v>402.15128814037058</v>
      </c>
      <c r="CZ132" s="62">
        <f t="shared" si="96"/>
        <v>232.85411068442738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-1.1368683772161603E-13</v>
      </c>
      <c r="DP132" s="18">
        <f>DO132*VLOOKUP('Données projet'!$B$14,Paramètres!$A$1:$I$89,3,0)*VLOOKUP('Données projet'!$B$14,Paramètres!$A$1:$I$89,5,0)</f>
        <v>-1.0818439477588981E-13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485.18236169209541</v>
      </c>
      <c r="DU132" s="62">
        <f t="shared" si="98"/>
        <v>417.30339652956951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-3.4106051316484809E-13</v>
      </c>
      <c r="EK132" s="18">
        <f>EJ132*VLOOKUP('Données projet'!$B$15,Paramètres!$A$1:$I$89,3,0)*VLOOKUP('Données projet'!$B$15,Paramètres!$A$1:$I$89,5,0)</f>
        <v>-2.7134774427395314E-13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427.78067187784063</v>
      </c>
      <c r="EP132" s="62">
        <f t="shared" si="100"/>
        <v>464.22892523825118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-1.1368683772161603E-13</v>
      </c>
      <c r="FF132" s="18">
        <f>FE132*VLOOKUP('Données projet'!$B$16,Paramètres!$A$1:$I$89,3,0)*VLOOKUP('Données projet'!$B$16,Paramètres!$A$1:$I$89,5,0)</f>
        <v>-9.7543306765146564E-14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448.44001099301806</v>
      </c>
      <c r="FK132" s="62">
        <f t="shared" si="102"/>
        <v>230.82970731138215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-3.4106051316484809E-13</v>
      </c>
      <c r="GA132" s="18">
        <f>FZ132*VLOOKUP('Données projet'!$B$17,Paramètres!$A$1:$I$89,3,0)*VLOOKUP('Données projet'!$B$17,Paramètres!$A$1:$I$89,5,0)</f>
        <v>-2.2878339223098009E-13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408.91016501484626</v>
      </c>
      <c r="GF132" s="62">
        <f t="shared" si="104"/>
        <v>354.22396807666433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4.2</v>
      </c>
      <c r="GU132" s="13">
        <f>IF('Données projet'!$A$270&gt;35,GU131+GT132-HC131,IF(A132&lt;'Données projet'!$A$270,$GR$205^A132,IF(A132='Données projet'!$A$270,'Données projet'!$B$270,GU131+GT132-HC131)))</f>
        <v>389.79999999999978</v>
      </c>
      <c r="GV132" s="18">
        <f>GU132*VLOOKUP('Données projet'!$B$18,Paramètres!$A$1:$I$89,3,0)*VLOOKUP('Données projet'!$B$18,Paramètres!$A$1:$I$89,5,0)</f>
        <v>377.01455999999979</v>
      </c>
      <c r="GW132" s="14">
        <f t="shared" si="105"/>
        <v>87.100791599146149</v>
      </c>
      <c r="GX132" s="22">
        <f t="shared" ref="GX132:GX153" si="136">(GV132+GW132)*0.475*44/12</f>
        <v>808.33423736851239</v>
      </c>
      <c r="GY132" s="62">
        <f t="shared" ref="GY132:GY195" si="137">GX132+(GP132+GQ132)*44/12</f>
        <v>1101.6675707018458</v>
      </c>
      <c r="GZ132" s="62">
        <f ca="1">AVERAGE(OFFSET($GY$3,0,0,'Données projet'!$E$18+1,1))-AVERAGE(OFFSET($H$3,0,0,'Données projet'!$E$18+1,1))</f>
        <v>562.69380557620775</v>
      </c>
      <c r="HA132" s="62">
        <f t="shared" si="106"/>
        <v>294.45557293177131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394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393.99999999999977</v>
      </c>
      <c r="O133" s="14">
        <f>N133*VLOOKUP('Données projet'!$B$9,Paramètres!$A$1:$I$89,3,0)*VLOOKUP('Données projet'!$B$9,Paramètres!$A$1:$I$89,5,0)</f>
        <v>356.49119999999976</v>
      </c>
      <c r="P133" s="14">
        <f t="shared" ref="P133:P196" si="141">EXP(-1.0587+0.8836*LN(O133)+0.284)</f>
        <v>82.897683869422281</v>
      </c>
      <c r="Q133" s="22">
        <f t="shared" si="108"/>
        <v>765.2689727392434</v>
      </c>
      <c r="R133" s="62">
        <f t="shared" si="109"/>
        <v>1058.6023060725768</v>
      </c>
      <c r="S133" s="62">
        <f ca="1">AVERAGE(OFFSET($R$3,0,0,'Données projet'!$E$9+1,1))-AVERAGE(OFFSET($H$3,0,0,'Données projet'!$E$9+1,1))</f>
        <v>529.25712986118265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9</v>
      </c>
      <c r="V133" s="16">
        <f>IF(ISNA(VLOOKUP(A133,'Données projet'!$A$35:$I$55,4,0)),0,VLOOKUP(A133,'Données projet'!$A$35:$I$55,4,0))</f>
        <v>91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8.8675733422860506E-14</v>
      </c>
      <c r="AK133" s="14">
        <f t="shared" ref="AK133:AK153" si="143">EXP(-1.0587+0.8836*LN(AJ133)+0.284)</f>
        <v>1.3509285393066301E-12</v>
      </c>
      <c r="AL133" s="22">
        <f t="shared" si="112"/>
        <v>2.5073107750038623E-12</v>
      </c>
      <c r="AM133" s="62">
        <f t="shared" si="113"/>
        <v>293.33333333333582</v>
      </c>
      <c r="AN133" s="62">
        <f ca="1">AVERAGE(OFFSET($AM$3,0,0,'Données projet'!$E$10+1,1))-AVERAGE(OFFSET($H$3,0,0,'Données projet'!$E$10+1,1))</f>
        <v>292.57482726862594</v>
      </c>
      <c r="AO133" s="62">
        <f t="shared" ref="AO133:AO196" si="144">$AO$3</f>
        <v>283.48738729114024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-3.4106051316484809E-13</v>
      </c>
      <c r="BE133" s="14">
        <f>BD133*VLOOKUP('Données projet'!$B$11,Paramètres!$A$1:$I$89,3,0)*VLOOKUP('Données projet'!$B$11,Paramètres!$A$1:$I$89,5,0)</f>
        <v>-2.5006556825246659E-13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397.24545766894346</v>
      </c>
      <c r="BJ133" s="62">
        <f t="shared" ref="BJ133:BJ196" si="146">$BJ$3</f>
        <v>431.44557882369696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2.2737367544323206E-13</v>
      </c>
      <c r="BZ133" s="14">
        <f>BY133*VLOOKUP('Données projet'!$B$12,Paramètres!$A$1:$I$89,3,0)*VLOOKUP('Données projet'!$B$12,Paramètres!$A$1:$I$89,5,0)</f>
        <v>1.4897523215040565E-13</v>
      </c>
      <c r="CA133" s="14">
        <f t="shared" ref="CA133:CA153" si="147">EXP(-1.0587+0.8836*LN(BZ133)+0.284)</f>
        <v>2.136562777003313E-12</v>
      </c>
      <c r="CB133" s="22">
        <f t="shared" si="118"/>
        <v>3.9806453659427267E-12</v>
      </c>
      <c r="CC133" s="62">
        <f t="shared" si="119"/>
        <v>293.33333333333729</v>
      </c>
      <c r="CD133" s="62">
        <f ca="1">AVERAGE(OFFSET($CC$3,0,0,'Données projet'!$E$12+1,1))-AVERAGE(OFFSET($H$3,0,0,'Données projet'!$E$12+1,1))</f>
        <v>277.27246253233807</v>
      </c>
      <c r="CE133" s="62">
        <f t="shared" ref="CE133:CE196" si="148">$CE$3</f>
        <v>269.61868559913404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252.71999999999949</v>
      </c>
      <c r="CV133" s="14">
        <f t="shared" ref="CV133:CV153" si="149">EXP(-1.0587+0.8836*LN(CU133)+0.284)</f>
        <v>61.168020584496766</v>
      </c>
      <c r="CW133" s="22">
        <f t="shared" si="121"/>
        <v>546.68830251799761</v>
      </c>
      <c r="CX133" s="62">
        <f t="shared" si="122"/>
        <v>840.02163585133098</v>
      </c>
      <c r="CY133" s="62">
        <f ca="1">AVERAGE(OFFSET($CX$3,0,0,'Données projet'!$E$13+1,1))-AVERAGE(OFFSET($H$3,0,0,'Données projet'!$E$13+1,1))</f>
        <v>402.15128814037058</v>
      </c>
      <c r="CZ133" s="62">
        <f t="shared" ref="CZ133:CZ196" si="150">$CZ$3</f>
        <v>232.85411068442738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-1.1368683772161603E-13</v>
      </c>
      <c r="DP133" s="18">
        <f>DO133*VLOOKUP('Données projet'!$B$14,Paramètres!$A$1:$I$89,3,0)*VLOOKUP('Données projet'!$B$14,Paramètres!$A$1:$I$89,5,0)</f>
        <v>-1.0818439477588981E-13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485.18236169209541</v>
      </c>
      <c r="DU133" s="62">
        <f t="shared" ref="DU133:DU196" si="152">$DU$3</f>
        <v>417.30339652956951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-3.4106051316484809E-13</v>
      </c>
      <c r="EK133" s="18">
        <f>EJ133*VLOOKUP('Données projet'!$B$15,Paramètres!$A$1:$I$89,3,0)*VLOOKUP('Données projet'!$B$15,Paramètres!$A$1:$I$89,5,0)</f>
        <v>-2.7134774427395314E-13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427.78067187784063</v>
      </c>
      <c r="EP133" s="62">
        <f t="shared" ref="EP133:EP196" si="154">$EP$3</f>
        <v>464.22892523825118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-1.1368683772161603E-13</v>
      </c>
      <c r="FF133" s="18">
        <f>FE133*VLOOKUP('Données projet'!$B$16,Paramètres!$A$1:$I$89,3,0)*VLOOKUP('Données projet'!$B$16,Paramètres!$A$1:$I$89,5,0)</f>
        <v>-9.7543306765146564E-14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448.44001099301806</v>
      </c>
      <c r="FK133" s="62">
        <f t="shared" ref="FK133:FK196" si="156">$FK$3</f>
        <v>230.82970731138215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-3.4106051316484809E-13</v>
      </c>
      <c r="GA133" s="18">
        <f>FZ133*VLOOKUP('Données projet'!$B$17,Paramètres!$A$1:$I$89,3,0)*VLOOKUP('Données projet'!$B$17,Paramètres!$A$1:$I$89,5,0)</f>
        <v>-2.2878339223098009E-13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408.91016501484626</v>
      </c>
      <c r="GF133" s="62">
        <f t="shared" ref="GF133:GF196" si="158">$GF$3</f>
        <v>354.22396807666433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>
        <f>VLOOKUP(A133,'Données projet'!$A$269:$I$289,2,0)</f>
        <v>394</v>
      </c>
      <c r="GS133" s="13">
        <f>VLOOKUP(A133,'Données projet'!$A$269:$I$289,9,0)</f>
        <v>4.2</v>
      </c>
      <c r="GT133" s="13">
        <f t="array" ref="GT133">INDEX(GS:GS,MIN(IF(ISNUMBER(GS133:GS329),ROW(GS133:GS329),"")))</f>
        <v>4.2</v>
      </c>
      <c r="GU133" s="13">
        <f>IF('Données projet'!$A$270&gt;35,GU132+GT133-HC132,IF(A133&lt;'Données projet'!$A$270,$GR$205^A133,IF(A133='Données projet'!$A$270,'Données projet'!$B$270,GU132+GT133-HC132)))</f>
        <v>393.99999999999977</v>
      </c>
      <c r="GV133" s="18">
        <f>GU133*VLOOKUP('Données projet'!$B$18,Paramètres!$A$1:$I$89,3,0)*VLOOKUP('Données projet'!$B$18,Paramètres!$A$1:$I$89,5,0)</f>
        <v>381.07679999999982</v>
      </c>
      <c r="GW133" s="14">
        <f t="shared" ref="GW133:GW153" si="159">EXP(-1.0587+0.8836*LN(GV133)+0.284)</f>
        <v>87.929523246425944</v>
      </c>
      <c r="GX133" s="22">
        <f t="shared" si="136"/>
        <v>816.85267965419155</v>
      </c>
      <c r="GY133" s="62">
        <f t="shared" si="137"/>
        <v>1110.1860129875249</v>
      </c>
      <c r="GZ133" s="62">
        <f ca="1">AVERAGE(OFFSET($GY$3,0,0,'Données projet'!$E$18+1,1))-AVERAGE(OFFSET($H$3,0,0,'Données projet'!$E$18+1,1))</f>
        <v>562.69380557620775</v>
      </c>
      <c r="HA133" s="62">
        <f t="shared" ref="HA133:HA196" si="160">$HA$3</f>
        <v>294.45557293177131</v>
      </c>
      <c r="HB133" s="16">
        <f>IF(ISNA(VLOOKUP(A133,'Données projet'!$A$269:$I$289,3,0)),0,VLOOKUP(A133,'Données projet'!$A$269:$I$289,3,0))</f>
        <v>9</v>
      </c>
      <c r="HC133" s="16">
        <f>IF(ISNA(VLOOKUP(A133,'Données projet'!$A$269:$I$289,4,0)),0,VLOOKUP(A133,'Données projet'!$A$269:$I$289,4,0))</f>
        <v>91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3.8</v>
      </c>
      <c r="N134" s="14">
        <f>IF('Données projet'!$A$36&gt;35,N133+M134-V133,IF(A134&lt;'Données projet'!$A$36,$K$205^A134,IF(A134='Données projet'!$A$36,'Données projet'!$B$36,N133+M134-V133)))</f>
        <v>306.79999999999978</v>
      </c>
      <c r="O134" s="14">
        <f>N134*VLOOKUP('Données projet'!$B$9,Paramètres!$A$1:$I$89,3,0)*VLOOKUP('Données projet'!$B$9,Paramètres!$A$1:$I$89,5,0)</f>
        <v>277.59263999999979</v>
      </c>
      <c r="P134" s="14">
        <f t="shared" si="141"/>
        <v>66.458009122425523</v>
      </c>
      <c r="Q134" s="22">
        <f t="shared" si="108"/>
        <v>599.22154722155733</v>
      </c>
      <c r="R134" s="62">
        <f t="shared" si="109"/>
        <v>892.55488055489059</v>
      </c>
      <c r="S134" s="62">
        <f ca="1">AVERAGE(OFFSET($R$3,0,0,'Données projet'!$E$9+1,1))-AVERAGE(OFFSET($H$3,0,0,'Données projet'!$E$9+1,1))</f>
        <v>529.25712986118265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8.8675733422860506E-14</v>
      </c>
      <c r="AK134" s="14">
        <f t="shared" si="143"/>
        <v>1.3509285393066301E-12</v>
      </c>
      <c r="AL134" s="22">
        <f t="shared" si="112"/>
        <v>2.5073107750038623E-12</v>
      </c>
      <c r="AM134" s="62">
        <f t="shared" si="113"/>
        <v>293.33333333333582</v>
      </c>
      <c r="AN134" s="62">
        <f ca="1">AVERAGE(OFFSET($AM$3,0,0,'Données projet'!$E$10+1,1))-AVERAGE(OFFSET($H$3,0,0,'Données projet'!$E$10+1,1))</f>
        <v>292.57482726862594</v>
      </c>
      <c r="AO134" s="62">
        <f t="shared" si="144"/>
        <v>283.48738729114024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-3.4106051316484809E-13</v>
      </c>
      <c r="BE134" s="14">
        <f>BD134*VLOOKUP('Données projet'!$B$11,Paramètres!$A$1:$I$89,3,0)*VLOOKUP('Données projet'!$B$11,Paramètres!$A$1:$I$89,5,0)</f>
        <v>-2.5006556825246659E-13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397.24545766894346</v>
      </c>
      <c r="BJ134" s="62">
        <f t="shared" si="146"/>
        <v>431.44557882369696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2.2737367544323206E-13</v>
      </c>
      <c r="BZ134" s="14">
        <f>BY134*VLOOKUP('Données projet'!$B$12,Paramètres!$A$1:$I$89,3,0)*VLOOKUP('Données projet'!$B$12,Paramètres!$A$1:$I$89,5,0)</f>
        <v>1.4897523215040565E-13</v>
      </c>
      <c r="CA134" s="14">
        <f t="shared" si="147"/>
        <v>2.136562777003313E-12</v>
      </c>
      <c r="CB134" s="22">
        <f t="shared" si="118"/>
        <v>3.9806453659427267E-12</v>
      </c>
      <c r="CC134" s="62">
        <f t="shared" si="119"/>
        <v>293.33333333333729</v>
      </c>
      <c r="CD134" s="62">
        <f ca="1">AVERAGE(OFFSET($CC$3,0,0,'Données projet'!$E$12+1,1))-AVERAGE(OFFSET($H$3,0,0,'Données projet'!$E$12+1,1))</f>
        <v>277.27246253233807</v>
      </c>
      <c r="CE134" s="62">
        <f t="shared" si="148"/>
        <v>269.61868559913404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228.88007999999951</v>
      </c>
      <c r="CV134" s="14">
        <f t="shared" si="149"/>
        <v>56.040459895408119</v>
      </c>
      <c r="CW134" s="22">
        <f t="shared" si="121"/>
        <v>496.23660698450158</v>
      </c>
      <c r="CX134" s="62">
        <f t="shared" si="122"/>
        <v>789.56994031783483</v>
      </c>
      <c r="CY134" s="62">
        <f ca="1">AVERAGE(OFFSET($CX$3,0,0,'Données projet'!$E$13+1,1))-AVERAGE(OFFSET($H$3,0,0,'Données projet'!$E$13+1,1))</f>
        <v>402.15128814037058</v>
      </c>
      <c r="CZ134" s="62">
        <f t="shared" si="150"/>
        <v>232.85411068442738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-1.1368683772161603E-13</v>
      </c>
      <c r="DP134" s="18">
        <f>DO134*VLOOKUP('Données projet'!$B$14,Paramètres!$A$1:$I$89,3,0)*VLOOKUP('Données projet'!$B$14,Paramètres!$A$1:$I$89,5,0)</f>
        <v>-1.0818439477588981E-13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485.18236169209541</v>
      </c>
      <c r="DU134" s="62">
        <f t="shared" si="152"/>
        <v>417.30339652956951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-3.4106051316484809E-13</v>
      </c>
      <c r="EK134" s="18">
        <f>EJ134*VLOOKUP('Données projet'!$B$15,Paramètres!$A$1:$I$89,3,0)*VLOOKUP('Données projet'!$B$15,Paramètres!$A$1:$I$89,5,0)</f>
        <v>-2.7134774427395314E-13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427.78067187784063</v>
      </c>
      <c r="EP134" s="62">
        <f t="shared" si="154"/>
        <v>464.22892523825118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-1.1368683772161603E-13</v>
      </c>
      <c r="FF134" s="18">
        <f>FE134*VLOOKUP('Données projet'!$B$16,Paramètres!$A$1:$I$89,3,0)*VLOOKUP('Données projet'!$B$16,Paramètres!$A$1:$I$89,5,0)</f>
        <v>-9.7543306765146564E-14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448.44001099301806</v>
      </c>
      <c r="FK134" s="62">
        <f t="shared" si="156"/>
        <v>230.82970731138215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-3.4106051316484809E-13</v>
      </c>
      <c r="GA134" s="18">
        <f>FZ134*VLOOKUP('Données projet'!$B$17,Paramètres!$A$1:$I$89,3,0)*VLOOKUP('Données projet'!$B$17,Paramètres!$A$1:$I$89,5,0)</f>
        <v>-2.2878339223098009E-13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408.91016501484626</v>
      </c>
      <c r="GF134" s="62">
        <f t="shared" si="158"/>
        <v>354.22396807666433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3.8</v>
      </c>
      <c r="GU134" s="13">
        <f>IF('Données projet'!$A$270&gt;35,GU133+GT134-HC133,IF(A134&lt;'Données projet'!$A$270,$GR$205^A134,IF(A134='Données projet'!$A$270,'Données projet'!$B$270,GU133+GT134-HC133)))</f>
        <v>306.79999999999978</v>
      </c>
      <c r="GV134" s="18">
        <f>GU134*VLOOKUP('Données projet'!$B$18,Paramètres!$A$1:$I$89,3,0)*VLOOKUP('Données projet'!$B$18,Paramètres!$A$1:$I$89,5,0)</f>
        <v>296.73695999999978</v>
      </c>
      <c r="GW134" s="14">
        <f t="shared" si="159"/>
        <v>70.491970164645096</v>
      </c>
      <c r="GX134" s="22">
        <f t="shared" si="136"/>
        <v>639.59038670342318</v>
      </c>
      <c r="GY134" s="62">
        <f t="shared" si="137"/>
        <v>932.92372003675655</v>
      </c>
      <c r="GZ134" s="62">
        <f ca="1">AVERAGE(OFFSET($GY$3,0,0,'Données projet'!$E$18+1,1))-AVERAGE(OFFSET($H$3,0,0,'Données projet'!$E$18+1,1))</f>
        <v>562.69380557620775</v>
      </c>
      <c r="HA134" s="62">
        <f t="shared" si="160"/>
        <v>294.45557293177131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3.8</v>
      </c>
      <c r="N135" s="14">
        <f>IF('Données projet'!$A$36&gt;35,N134+M135-V134,IF(A135&lt;'Données projet'!$A$36,$K$205^A135,IF(A135='Données projet'!$A$36,'Données projet'!$B$36,N134+M135-V134)))</f>
        <v>310.5999999999998</v>
      </c>
      <c r="O135" s="14">
        <f>N135*VLOOKUP('Données projet'!$B$9,Paramètres!$A$1:$I$89,3,0)*VLOOKUP('Données projet'!$B$9,Paramètres!$A$1:$I$89,5,0)</f>
        <v>281.03087999999985</v>
      </c>
      <c r="P135" s="14">
        <f t="shared" si="141"/>
        <v>67.184816842275467</v>
      </c>
      <c r="Q135" s="22">
        <f t="shared" si="108"/>
        <v>606.47567200029607</v>
      </c>
      <c r="R135" s="62">
        <f t="shared" si="109"/>
        <v>899.80900533362933</v>
      </c>
      <c r="S135" s="62">
        <f ca="1">AVERAGE(OFFSET($R$3,0,0,'Données projet'!$E$9+1,1))-AVERAGE(OFFSET($H$3,0,0,'Données projet'!$E$9+1,1))</f>
        <v>529.25712986118265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8.8675733422860506E-14</v>
      </c>
      <c r="AK135" s="14">
        <f t="shared" si="143"/>
        <v>1.3509285393066301E-12</v>
      </c>
      <c r="AL135" s="22">
        <f t="shared" si="112"/>
        <v>2.5073107750038623E-12</v>
      </c>
      <c r="AM135" s="62">
        <f t="shared" si="113"/>
        <v>293.33333333333582</v>
      </c>
      <c r="AN135" s="62">
        <f ca="1">AVERAGE(OFFSET($AM$3,0,0,'Données projet'!$E$10+1,1))-AVERAGE(OFFSET($H$3,0,0,'Données projet'!$E$10+1,1))</f>
        <v>292.57482726862594</v>
      </c>
      <c r="AO135" s="62">
        <f t="shared" si="144"/>
        <v>283.48738729114024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-3.4106051316484809E-13</v>
      </c>
      <c r="BE135" s="14">
        <f>BD135*VLOOKUP('Données projet'!$B$11,Paramètres!$A$1:$I$89,3,0)*VLOOKUP('Données projet'!$B$11,Paramètres!$A$1:$I$89,5,0)</f>
        <v>-2.5006556825246659E-13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397.24545766894346</v>
      </c>
      <c r="BJ135" s="62">
        <f t="shared" si="146"/>
        <v>431.44557882369696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2.2737367544323206E-13</v>
      </c>
      <c r="BZ135" s="14">
        <f>BY135*VLOOKUP('Données projet'!$B$12,Paramètres!$A$1:$I$89,3,0)*VLOOKUP('Données projet'!$B$12,Paramètres!$A$1:$I$89,5,0)</f>
        <v>1.4897523215040565E-13</v>
      </c>
      <c r="CA135" s="14">
        <f t="shared" si="147"/>
        <v>2.136562777003313E-12</v>
      </c>
      <c r="CB135" s="22">
        <f t="shared" si="118"/>
        <v>3.9806453659427267E-12</v>
      </c>
      <c r="CC135" s="62">
        <f t="shared" si="119"/>
        <v>293.33333333333729</v>
      </c>
      <c r="CD135" s="62">
        <f ca="1">AVERAGE(OFFSET($CC$3,0,0,'Données projet'!$E$12+1,1))-AVERAGE(OFFSET($H$3,0,0,'Données projet'!$E$12+1,1))</f>
        <v>277.27246253233807</v>
      </c>
      <c r="CE135" s="62">
        <f t="shared" si="148"/>
        <v>269.61868559913404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231.15455999999946</v>
      </c>
      <c r="CV135" s="14">
        <f t="shared" si="149"/>
        <v>56.532251598510435</v>
      </c>
      <c r="CW135" s="22">
        <f t="shared" si="121"/>
        <v>501.0545302007381</v>
      </c>
      <c r="CX135" s="62">
        <f t="shared" si="122"/>
        <v>794.38786353407136</v>
      </c>
      <c r="CY135" s="62">
        <f ca="1">AVERAGE(OFFSET($CX$3,0,0,'Données projet'!$E$13+1,1))-AVERAGE(OFFSET($H$3,0,0,'Données projet'!$E$13+1,1))</f>
        <v>402.15128814037058</v>
      </c>
      <c r="CZ135" s="62">
        <f t="shared" si="150"/>
        <v>232.85411068442738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-1.1368683772161603E-13</v>
      </c>
      <c r="DP135" s="18">
        <f>DO135*VLOOKUP('Données projet'!$B$14,Paramètres!$A$1:$I$89,3,0)*VLOOKUP('Données projet'!$B$14,Paramètres!$A$1:$I$89,5,0)</f>
        <v>-1.0818439477588981E-13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485.18236169209541</v>
      </c>
      <c r="DU135" s="62">
        <f t="shared" si="152"/>
        <v>417.30339652956951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-3.4106051316484809E-13</v>
      </c>
      <c r="EK135" s="18">
        <f>EJ135*VLOOKUP('Données projet'!$B$15,Paramètres!$A$1:$I$89,3,0)*VLOOKUP('Données projet'!$B$15,Paramètres!$A$1:$I$89,5,0)</f>
        <v>-2.7134774427395314E-13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427.78067187784063</v>
      </c>
      <c r="EP135" s="62">
        <f t="shared" si="154"/>
        <v>464.22892523825118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-1.1368683772161603E-13</v>
      </c>
      <c r="FF135" s="18">
        <f>FE135*VLOOKUP('Données projet'!$B$16,Paramètres!$A$1:$I$89,3,0)*VLOOKUP('Données projet'!$B$16,Paramètres!$A$1:$I$89,5,0)</f>
        <v>-9.7543306765146564E-14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448.44001099301806</v>
      </c>
      <c r="FK135" s="62">
        <f t="shared" si="156"/>
        <v>230.82970731138215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-3.4106051316484809E-13</v>
      </c>
      <c r="GA135" s="18">
        <f>FZ135*VLOOKUP('Données projet'!$B$17,Paramètres!$A$1:$I$89,3,0)*VLOOKUP('Données projet'!$B$17,Paramètres!$A$1:$I$89,5,0)</f>
        <v>-2.2878339223098009E-13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408.91016501484626</v>
      </c>
      <c r="GF135" s="62">
        <f t="shared" si="158"/>
        <v>354.22396807666433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3.8</v>
      </c>
      <c r="GU135" s="13">
        <f>IF('Données projet'!$A$270&gt;35,GU134+GT135-HC134,IF(A135&lt;'Données projet'!$A$270,$GR$205^A135,IF(A135='Données projet'!$A$270,'Données projet'!$B$270,GU134+GT135-HC134)))</f>
        <v>310.5999999999998</v>
      </c>
      <c r="GV135" s="18">
        <f>GU135*VLOOKUP('Données projet'!$B$18,Paramètres!$A$1:$I$89,3,0)*VLOOKUP('Données projet'!$B$18,Paramètres!$A$1:$I$89,5,0)</f>
        <v>300.4123199999998</v>
      </c>
      <c r="GW135" s="14">
        <f t="shared" si="159"/>
        <v>71.262894674416614</v>
      </c>
      <c r="GX135" s="22">
        <f t="shared" si="136"/>
        <v>647.33433222460849</v>
      </c>
      <c r="GY135" s="62">
        <f t="shared" si="137"/>
        <v>940.66766555794175</v>
      </c>
      <c r="GZ135" s="62">
        <f ca="1">AVERAGE(OFFSET($GY$3,0,0,'Données projet'!$E$18+1,1))-AVERAGE(OFFSET($H$3,0,0,'Données projet'!$E$18+1,1))</f>
        <v>562.69380557620775</v>
      </c>
      <c r="HA135" s="62">
        <f t="shared" si="160"/>
        <v>294.45557293177131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3.8</v>
      </c>
      <c r="N136" s="14">
        <f>IF('Données projet'!$A$36&gt;35,N135+M136-V135,IF(A136&lt;'Données projet'!$A$36,$K$205^A136,IF(A136='Données projet'!$A$36,'Données projet'!$B$36,N135+M136-V135)))</f>
        <v>314.39999999999981</v>
      </c>
      <c r="O136" s="14">
        <f>N136*VLOOKUP('Données projet'!$B$9,Paramètres!$A$1:$I$89,3,0)*VLOOKUP('Données projet'!$B$9,Paramètres!$A$1:$I$89,5,0)</f>
        <v>284.4691199999998</v>
      </c>
      <c r="P136" s="14">
        <f t="shared" si="141"/>
        <v>67.910590237378983</v>
      </c>
      <c r="Q136" s="22">
        <f t="shared" si="108"/>
        <v>613.72799533010129</v>
      </c>
      <c r="R136" s="62">
        <f t="shared" si="109"/>
        <v>907.06132866343455</v>
      </c>
      <c r="S136" s="62">
        <f ca="1">AVERAGE(OFFSET($R$3,0,0,'Données projet'!$E$9+1,1))-AVERAGE(OFFSET($H$3,0,0,'Données projet'!$E$9+1,1))</f>
        <v>529.25712986118265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8.8675733422860506E-14</v>
      </c>
      <c r="AK136" s="14">
        <f t="shared" si="143"/>
        <v>1.3509285393066301E-12</v>
      </c>
      <c r="AL136" s="22">
        <f t="shared" si="112"/>
        <v>2.5073107750038623E-12</v>
      </c>
      <c r="AM136" s="62">
        <f t="shared" si="113"/>
        <v>293.33333333333582</v>
      </c>
      <c r="AN136" s="62">
        <f ca="1">AVERAGE(OFFSET($AM$3,0,0,'Données projet'!$E$10+1,1))-AVERAGE(OFFSET($H$3,0,0,'Données projet'!$E$10+1,1))</f>
        <v>292.57482726862594</v>
      </c>
      <c r="AO136" s="62">
        <f t="shared" si="144"/>
        <v>283.48738729114024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-3.4106051316484809E-13</v>
      </c>
      <c r="BE136" s="14">
        <f>BD136*VLOOKUP('Données projet'!$B$11,Paramètres!$A$1:$I$89,3,0)*VLOOKUP('Données projet'!$B$11,Paramètres!$A$1:$I$89,5,0)</f>
        <v>-2.5006556825246659E-13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397.24545766894346</v>
      </c>
      <c r="BJ136" s="62">
        <f t="shared" si="146"/>
        <v>431.44557882369696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2.2737367544323206E-13</v>
      </c>
      <c r="BZ136" s="14">
        <f>BY136*VLOOKUP('Données projet'!$B$12,Paramètres!$A$1:$I$89,3,0)*VLOOKUP('Données projet'!$B$12,Paramètres!$A$1:$I$89,5,0)</f>
        <v>1.4897523215040565E-13</v>
      </c>
      <c r="CA136" s="14">
        <f t="shared" si="147"/>
        <v>2.136562777003313E-12</v>
      </c>
      <c r="CB136" s="22">
        <f t="shared" si="118"/>
        <v>3.9806453659427267E-12</v>
      </c>
      <c r="CC136" s="62">
        <f t="shared" si="119"/>
        <v>293.33333333333729</v>
      </c>
      <c r="CD136" s="62">
        <f ca="1">AVERAGE(OFFSET($CC$3,0,0,'Données projet'!$E$12+1,1))-AVERAGE(OFFSET($H$3,0,0,'Données projet'!$E$12+1,1))</f>
        <v>277.27246253233807</v>
      </c>
      <c r="CE136" s="62">
        <f t="shared" si="148"/>
        <v>269.61868559913404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233.42903999999945</v>
      </c>
      <c r="CV136" s="14">
        <f t="shared" si="149"/>
        <v>57.023480348060033</v>
      </c>
      <c r="CW136" s="22">
        <f t="shared" si="121"/>
        <v>505.87147293953677</v>
      </c>
      <c r="CX136" s="62">
        <f t="shared" si="122"/>
        <v>799.20480627287009</v>
      </c>
      <c r="CY136" s="62">
        <f ca="1">AVERAGE(OFFSET($CX$3,0,0,'Données projet'!$E$13+1,1))-AVERAGE(OFFSET($H$3,0,0,'Données projet'!$E$13+1,1))</f>
        <v>402.15128814037058</v>
      </c>
      <c r="CZ136" s="62">
        <f t="shared" si="150"/>
        <v>232.85411068442738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-1.1368683772161603E-13</v>
      </c>
      <c r="DP136" s="18">
        <f>DO136*VLOOKUP('Données projet'!$B$14,Paramètres!$A$1:$I$89,3,0)*VLOOKUP('Données projet'!$B$14,Paramètres!$A$1:$I$89,5,0)</f>
        <v>-1.0818439477588981E-13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485.18236169209541</v>
      </c>
      <c r="DU136" s="62">
        <f t="shared" si="152"/>
        <v>417.30339652956951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-3.4106051316484809E-13</v>
      </c>
      <c r="EK136" s="18">
        <f>EJ136*VLOOKUP('Données projet'!$B$15,Paramètres!$A$1:$I$89,3,0)*VLOOKUP('Données projet'!$B$15,Paramètres!$A$1:$I$89,5,0)</f>
        <v>-2.7134774427395314E-13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427.78067187784063</v>
      </c>
      <c r="EP136" s="62">
        <f t="shared" si="154"/>
        <v>464.22892523825118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-1.1368683772161603E-13</v>
      </c>
      <c r="FF136" s="18">
        <f>FE136*VLOOKUP('Données projet'!$B$16,Paramètres!$A$1:$I$89,3,0)*VLOOKUP('Données projet'!$B$16,Paramètres!$A$1:$I$89,5,0)</f>
        <v>-9.7543306765146564E-14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448.44001099301806</v>
      </c>
      <c r="FK136" s="62">
        <f t="shared" si="156"/>
        <v>230.82970731138215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-3.4106051316484809E-13</v>
      </c>
      <c r="GA136" s="18">
        <f>FZ136*VLOOKUP('Données projet'!$B$17,Paramètres!$A$1:$I$89,3,0)*VLOOKUP('Données projet'!$B$17,Paramètres!$A$1:$I$89,5,0)</f>
        <v>-2.2878339223098009E-13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408.91016501484626</v>
      </c>
      <c r="GF136" s="62">
        <f t="shared" si="158"/>
        <v>354.22396807666433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3.8</v>
      </c>
      <c r="GU136" s="13">
        <f>IF('Données projet'!$A$270&gt;35,GU135+GT136-HC135,IF(A136&lt;'Données projet'!$A$270,$GR$205^A136,IF(A136='Données projet'!$A$270,'Données projet'!$B$270,GU135+GT136-HC135)))</f>
        <v>314.39999999999981</v>
      </c>
      <c r="GV136" s="18">
        <f>GU136*VLOOKUP('Données projet'!$B$18,Paramètres!$A$1:$I$89,3,0)*VLOOKUP('Données projet'!$B$18,Paramètres!$A$1:$I$89,5,0)</f>
        <v>304.08767999999981</v>
      </c>
      <c r="GW136" s="14">
        <f t="shared" si="159"/>
        <v>72.032722076553924</v>
      </c>
      <c r="GX136" s="22">
        <f t="shared" si="136"/>
        <v>655.07636694999781</v>
      </c>
      <c r="GY136" s="62">
        <f t="shared" si="137"/>
        <v>948.40970028333118</v>
      </c>
      <c r="GZ136" s="62">
        <f ca="1">AVERAGE(OFFSET($GY$3,0,0,'Données projet'!$E$18+1,1))-AVERAGE(OFFSET($H$3,0,0,'Données projet'!$E$18+1,1))</f>
        <v>562.69380557620775</v>
      </c>
      <c r="HA136" s="62">
        <f t="shared" si="160"/>
        <v>294.45557293177131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3.8</v>
      </c>
      <c r="N137" s="14">
        <f>IF('Données projet'!$A$36&gt;35,N136+M137-V136,IF(A137&lt;'Données projet'!$A$36,$K$205^A137,IF(A137='Données projet'!$A$36,'Données projet'!$B$36,N136+M137-V136)))</f>
        <v>318.19999999999982</v>
      </c>
      <c r="O137" s="14">
        <f>N137*VLOOKUP('Données projet'!$B$9,Paramètres!$A$1:$I$89,3,0)*VLOOKUP('Données projet'!$B$9,Paramètres!$A$1:$I$89,5,0)</f>
        <v>287.90735999999981</v>
      </c>
      <c r="P137" s="14">
        <f t="shared" si="141"/>
        <v>68.635343255147305</v>
      </c>
      <c r="Q137" s="22">
        <f t="shared" si="108"/>
        <v>620.97854150271451</v>
      </c>
      <c r="R137" s="62">
        <f t="shared" si="109"/>
        <v>914.31187483604776</v>
      </c>
      <c r="S137" s="62">
        <f ca="1">AVERAGE(OFFSET($R$3,0,0,'Données projet'!$E$9+1,1))-AVERAGE(OFFSET($H$3,0,0,'Données projet'!$E$9+1,1))</f>
        <v>529.25712986118265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8.8675733422860506E-14</v>
      </c>
      <c r="AK137" s="14">
        <f t="shared" si="143"/>
        <v>1.3509285393066301E-12</v>
      </c>
      <c r="AL137" s="22">
        <f t="shared" si="112"/>
        <v>2.5073107750038623E-12</v>
      </c>
      <c r="AM137" s="62">
        <f t="shared" si="113"/>
        <v>293.33333333333582</v>
      </c>
      <c r="AN137" s="62">
        <f ca="1">AVERAGE(OFFSET($AM$3,0,0,'Données projet'!$E$10+1,1))-AVERAGE(OFFSET($H$3,0,0,'Données projet'!$E$10+1,1))</f>
        <v>292.57482726862594</v>
      </c>
      <c r="AO137" s="62">
        <f t="shared" si="144"/>
        <v>283.48738729114024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-3.4106051316484809E-13</v>
      </c>
      <c r="BE137" s="14">
        <f>BD137*VLOOKUP('Données projet'!$B$11,Paramètres!$A$1:$I$89,3,0)*VLOOKUP('Données projet'!$B$11,Paramètres!$A$1:$I$89,5,0)</f>
        <v>-2.5006556825246659E-13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397.24545766894346</v>
      </c>
      <c r="BJ137" s="62">
        <f t="shared" si="146"/>
        <v>431.44557882369696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2.2737367544323206E-13</v>
      </c>
      <c r="BZ137" s="14">
        <f>BY137*VLOOKUP('Données projet'!$B$12,Paramètres!$A$1:$I$89,3,0)*VLOOKUP('Données projet'!$B$12,Paramètres!$A$1:$I$89,5,0)</f>
        <v>1.4897523215040565E-13</v>
      </c>
      <c r="CA137" s="14">
        <f t="shared" si="147"/>
        <v>2.136562777003313E-12</v>
      </c>
      <c r="CB137" s="22">
        <f t="shared" si="118"/>
        <v>3.9806453659427267E-12</v>
      </c>
      <c r="CC137" s="62">
        <f t="shared" si="119"/>
        <v>293.33333333333729</v>
      </c>
      <c r="CD137" s="62">
        <f ca="1">AVERAGE(OFFSET($CC$3,0,0,'Données projet'!$E$12+1,1))-AVERAGE(OFFSET($H$3,0,0,'Données projet'!$E$12+1,1))</f>
        <v>277.27246253233807</v>
      </c>
      <c r="CE137" s="62">
        <f t="shared" si="148"/>
        <v>269.61868559913404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235.70351999999946</v>
      </c>
      <c r="CV137" s="14">
        <f t="shared" si="149"/>
        <v>57.51415226456087</v>
      </c>
      <c r="CW137" s="22">
        <f t="shared" si="121"/>
        <v>510.68744586077599</v>
      </c>
      <c r="CX137" s="62">
        <f t="shared" si="122"/>
        <v>804.02077919410931</v>
      </c>
      <c r="CY137" s="62">
        <f ca="1">AVERAGE(OFFSET($CX$3,0,0,'Données projet'!$E$13+1,1))-AVERAGE(OFFSET($H$3,0,0,'Données projet'!$E$13+1,1))</f>
        <v>402.15128814037058</v>
      </c>
      <c r="CZ137" s="62">
        <f t="shared" si="150"/>
        <v>232.85411068442738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-1.1368683772161603E-13</v>
      </c>
      <c r="DP137" s="18">
        <f>DO137*VLOOKUP('Données projet'!$B$14,Paramètres!$A$1:$I$89,3,0)*VLOOKUP('Données projet'!$B$14,Paramètres!$A$1:$I$89,5,0)</f>
        <v>-1.0818439477588981E-13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485.18236169209541</v>
      </c>
      <c r="DU137" s="62">
        <f t="shared" si="152"/>
        <v>417.30339652956951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-3.4106051316484809E-13</v>
      </c>
      <c r="EK137" s="18">
        <f>EJ137*VLOOKUP('Données projet'!$B$15,Paramètres!$A$1:$I$89,3,0)*VLOOKUP('Données projet'!$B$15,Paramètres!$A$1:$I$89,5,0)</f>
        <v>-2.7134774427395314E-13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427.78067187784063</v>
      </c>
      <c r="EP137" s="62">
        <f t="shared" si="154"/>
        <v>464.22892523825118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-1.1368683772161603E-13</v>
      </c>
      <c r="FF137" s="18">
        <f>FE137*VLOOKUP('Données projet'!$B$16,Paramètres!$A$1:$I$89,3,0)*VLOOKUP('Données projet'!$B$16,Paramètres!$A$1:$I$89,5,0)</f>
        <v>-9.7543306765146564E-14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448.44001099301806</v>
      </c>
      <c r="FK137" s="62">
        <f t="shared" si="156"/>
        <v>230.82970731138215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-3.4106051316484809E-13</v>
      </c>
      <c r="GA137" s="18">
        <f>FZ137*VLOOKUP('Données projet'!$B$17,Paramètres!$A$1:$I$89,3,0)*VLOOKUP('Données projet'!$B$17,Paramètres!$A$1:$I$89,5,0)</f>
        <v>-2.2878339223098009E-13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408.91016501484626</v>
      </c>
      <c r="GF137" s="62">
        <f t="shared" si="158"/>
        <v>354.22396807666433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3.8</v>
      </c>
      <c r="GU137" s="13">
        <f>IF('Données projet'!$A$270&gt;35,GU136+GT137-HC136,IF(A137&lt;'Données projet'!$A$270,$GR$205^A137,IF(A137='Données projet'!$A$270,'Données projet'!$B$270,GU136+GT137-HC136)))</f>
        <v>318.19999999999982</v>
      </c>
      <c r="GV137" s="18">
        <f>GU137*VLOOKUP('Données projet'!$B$18,Paramètres!$A$1:$I$89,3,0)*VLOOKUP('Données projet'!$B$18,Paramètres!$A$1:$I$89,5,0)</f>
        <v>307.76303999999982</v>
      </c>
      <c r="GW137" s="14">
        <f t="shared" si="159"/>
        <v>72.801467165067464</v>
      </c>
      <c r="GX137" s="22">
        <f t="shared" si="136"/>
        <v>662.81651664582557</v>
      </c>
      <c r="GY137" s="62">
        <f t="shared" si="137"/>
        <v>956.14984997915894</v>
      </c>
      <c r="GZ137" s="62">
        <f ca="1">AVERAGE(OFFSET($GY$3,0,0,'Données projet'!$E$18+1,1))-AVERAGE(OFFSET($H$3,0,0,'Données projet'!$E$18+1,1))</f>
        <v>562.69380557620775</v>
      </c>
      <c r="HA137" s="62">
        <f t="shared" si="160"/>
        <v>294.45557293177131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3.8</v>
      </c>
      <c r="N138" s="14">
        <f>IF('Données projet'!$A$36&gt;35,N137+M138-V137,IF(A138&lt;'Données projet'!$A$36,$K$205^A138,IF(A138='Données projet'!$A$36,'Données projet'!$B$36,N137+M138-V137)))</f>
        <v>321.99999999999983</v>
      </c>
      <c r="O138" s="14">
        <f>N138*VLOOKUP('Données projet'!$B$9,Paramètres!$A$1:$I$89,3,0)*VLOOKUP('Données projet'!$B$9,Paramètres!$A$1:$I$89,5,0)</f>
        <v>291.34559999999982</v>
      </c>
      <c r="P138" s="14">
        <f t="shared" si="141"/>
        <v>69.359089490698651</v>
      </c>
      <c r="Q138" s="22">
        <f t="shared" si="108"/>
        <v>628.22733419629969</v>
      </c>
      <c r="R138" s="62">
        <f t="shared" si="109"/>
        <v>921.56066752963306</v>
      </c>
      <c r="S138" s="62">
        <f ca="1">AVERAGE(OFFSET($R$3,0,0,'Données projet'!$E$9+1,1))-AVERAGE(OFFSET($H$3,0,0,'Données projet'!$E$9+1,1))</f>
        <v>529.25712986118265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8.8675733422860506E-14</v>
      </c>
      <c r="AK138" s="14">
        <f t="shared" si="143"/>
        <v>1.3509285393066301E-12</v>
      </c>
      <c r="AL138" s="22">
        <f t="shared" si="112"/>
        <v>2.5073107750038623E-12</v>
      </c>
      <c r="AM138" s="62">
        <f t="shared" si="113"/>
        <v>293.33333333333582</v>
      </c>
      <c r="AN138" s="62">
        <f ca="1">AVERAGE(OFFSET($AM$3,0,0,'Données projet'!$E$10+1,1))-AVERAGE(OFFSET($H$3,0,0,'Données projet'!$E$10+1,1))</f>
        <v>292.57482726862594</v>
      </c>
      <c r="AO138" s="62">
        <f t="shared" si="144"/>
        <v>283.48738729114024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-3.4106051316484809E-13</v>
      </c>
      <c r="BE138" s="14">
        <f>BD138*VLOOKUP('Données projet'!$B$11,Paramètres!$A$1:$I$89,3,0)*VLOOKUP('Données projet'!$B$11,Paramètres!$A$1:$I$89,5,0)</f>
        <v>-2.5006556825246659E-13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397.24545766894346</v>
      </c>
      <c r="BJ138" s="62">
        <f t="shared" si="146"/>
        <v>431.44557882369696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2.2737367544323206E-13</v>
      </c>
      <c r="BZ138" s="14">
        <f>BY138*VLOOKUP('Données projet'!$B$12,Paramètres!$A$1:$I$89,3,0)*VLOOKUP('Données projet'!$B$12,Paramètres!$A$1:$I$89,5,0)</f>
        <v>1.4897523215040565E-13</v>
      </c>
      <c r="CA138" s="14">
        <f t="shared" si="147"/>
        <v>2.136562777003313E-12</v>
      </c>
      <c r="CB138" s="22">
        <f t="shared" si="118"/>
        <v>3.9806453659427267E-12</v>
      </c>
      <c r="CC138" s="62">
        <f t="shared" si="119"/>
        <v>293.33333333333729</v>
      </c>
      <c r="CD138" s="62">
        <f ca="1">AVERAGE(OFFSET($CC$3,0,0,'Données projet'!$E$12+1,1))-AVERAGE(OFFSET($H$3,0,0,'Données projet'!$E$12+1,1))</f>
        <v>277.27246253233807</v>
      </c>
      <c r="CE138" s="62">
        <f t="shared" si="148"/>
        <v>269.61868559913404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237.97799999999944</v>
      </c>
      <c r="CV138" s="14">
        <f t="shared" si="149"/>
        <v>58.004273343583726</v>
      </c>
      <c r="CW138" s="22">
        <f t="shared" si="121"/>
        <v>515.50245940674063</v>
      </c>
      <c r="CX138" s="62">
        <f t="shared" si="122"/>
        <v>808.83579274007388</v>
      </c>
      <c r="CY138" s="62">
        <f ca="1">AVERAGE(OFFSET($CX$3,0,0,'Données projet'!$E$13+1,1))-AVERAGE(OFFSET($H$3,0,0,'Données projet'!$E$13+1,1))</f>
        <v>402.15128814037058</v>
      </c>
      <c r="CZ138" s="62">
        <f t="shared" si="150"/>
        <v>232.85411068442738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-1.1368683772161603E-13</v>
      </c>
      <c r="DP138" s="18">
        <f>DO138*VLOOKUP('Données projet'!$B$14,Paramètres!$A$1:$I$89,3,0)*VLOOKUP('Données projet'!$B$14,Paramètres!$A$1:$I$89,5,0)</f>
        <v>-1.0818439477588981E-13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485.18236169209541</v>
      </c>
      <c r="DU138" s="62">
        <f t="shared" si="152"/>
        <v>417.30339652956951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-3.4106051316484809E-13</v>
      </c>
      <c r="EK138" s="18">
        <f>EJ138*VLOOKUP('Données projet'!$B$15,Paramètres!$A$1:$I$89,3,0)*VLOOKUP('Données projet'!$B$15,Paramètres!$A$1:$I$89,5,0)</f>
        <v>-2.7134774427395314E-13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427.78067187784063</v>
      </c>
      <c r="EP138" s="62">
        <f t="shared" si="154"/>
        <v>464.22892523825118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-1.1368683772161603E-13</v>
      </c>
      <c r="FF138" s="18">
        <f>FE138*VLOOKUP('Données projet'!$B$16,Paramètres!$A$1:$I$89,3,0)*VLOOKUP('Données projet'!$B$16,Paramètres!$A$1:$I$89,5,0)</f>
        <v>-9.7543306765146564E-14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448.44001099301806</v>
      </c>
      <c r="FK138" s="62">
        <f t="shared" si="156"/>
        <v>230.82970731138215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-3.4106051316484809E-13</v>
      </c>
      <c r="GA138" s="18">
        <f>FZ138*VLOOKUP('Données projet'!$B$17,Paramètres!$A$1:$I$89,3,0)*VLOOKUP('Données projet'!$B$17,Paramètres!$A$1:$I$89,5,0)</f>
        <v>-2.2878339223098009E-13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408.91016501484626</v>
      </c>
      <c r="GF138" s="62">
        <f t="shared" si="158"/>
        <v>354.22396807666433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3.8</v>
      </c>
      <c r="GU138" s="13">
        <f>IF('Données projet'!$A$270&gt;35,GU137+GT138-HC137,IF(A138&lt;'Données projet'!$A$270,$GR$205^A138,IF(A138='Données projet'!$A$270,'Données projet'!$B$270,GU137+GT138-HC137)))</f>
        <v>321.99999999999983</v>
      </c>
      <c r="GV138" s="18">
        <f>GU138*VLOOKUP('Données projet'!$B$18,Paramètres!$A$1:$I$89,3,0)*VLOOKUP('Données projet'!$B$18,Paramètres!$A$1:$I$89,5,0)</f>
        <v>311.43839999999983</v>
      </c>
      <c r="GW138" s="14">
        <f t="shared" si="159"/>
        <v>73.569144360291361</v>
      </c>
      <c r="GX138" s="22">
        <f t="shared" si="136"/>
        <v>670.55480642750706</v>
      </c>
      <c r="GY138" s="62">
        <f t="shared" si="137"/>
        <v>963.88813976084043</v>
      </c>
      <c r="GZ138" s="62">
        <f ca="1">AVERAGE(OFFSET($GY$3,0,0,'Données projet'!$E$18+1,1))-AVERAGE(OFFSET($H$3,0,0,'Données projet'!$E$18+1,1))</f>
        <v>562.69380557620775</v>
      </c>
      <c r="HA138" s="62">
        <f t="shared" si="160"/>
        <v>294.45557293177131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3.8</v>
      </c>
      <c r="N139" s="14">
        <f>IF('Données projet'!$A$36&gt;35,N138+M139-V138,IF(A139&lt;'Données projet'!$A$36,$K$205^A139,IF(A139='Données projet'!$A$36,'Données projet'!$B$36,N138+M139-V138)))</f>
        <v>325.79999999999984</v>
      </c>
      <c r="O139" s="14">
        <f>N139*VLOOKUP('Données projet'!$B$9,Paramètres!$A$1:$I$89,3,0)*VLOOKUP('Données projet'!$B$9,Paramètres!$A$1:$I$89,5,0)</f>
        <v>294.78383999999983</v>
      </c>
      <c r="P139" s="14">
        <f t="shared" si="141"/>
        <v>70.081842199807596</v>
      </c>
      <c r="Q139" s="22">
        <f t="shared" si="108"/>
        <v>635.47439649799799</v>
      </c>
      <c r="R139" s="62">
        <f t="shared" si="109"/>
        <v>928.80772983133124</v>
      </c>
      <c r="S139" s="62">
        <f ca="1">AVERAGE(OFFSET($R$3,0,0,'Données projet'!$E$9+1,1))-AVERAGE(OFFSET($H$3,0,0,'Données projet'!$E$9+1,1))</f>
        <v>529.25712986118265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8.8675733422860506E-14</v>
      </c>
      <c r="AK139" s="14">
        <f t="shared" si="143"/>
        <v>1.3509285393066301E-12</v>
      </c>
      <c r="AL139" s="22">
        <f t="shared" si="112"/>
        <v>2.5073107750038623E-12</v>
      </c>
      <c r="AM139" s="62">
        <f t="shared" si="113"/>
        <v>293.33333333333582</v>
      </c>
      <c r="AN139" s="62">
        <f ca="1">AVERAGE(OFFSET($AM$3,0,0,'Données projet'!$E$10+1,1))-AVERAGE(OFFSET($H$3,0,0,'Données projet'!$E$10+1,1))</f>
        <v>292.57482726862594</v>
      </c>
      <c r="AO139" s="62">
        <f t="shared" si="144"/>
        <v>283.48738729114024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-3.4106051316484809E-13</v>
      </c>
      <c r="BE139" s="14">
        <f>BD139*VLOOKUP('Données projet'!$B$11,Paramètres!$A$1:$I$89,3,0)*VLOOKUP('Données projet'!$B$11,Paramètres!$A$1:$I$89,5,0)</f>
        <v>-2.5006556825246659E-13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397.24545766894346</v>
      </c>
      <c r="BJ139" s="62">
        <f t="shared" si="146"/>
        <v>431.44557882369696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2.2737367544323206E-13</v>
      </c>
      <c r="BZ139" s="14">
        <f>BY139*VLOOKUP('Données projet'!$B$12,Paramètres!$A$1:$I$89,3,0)*VLOOKUP('Données projet'!$B$12,Paramètres!$A$1:$I$89,5,0)</f>
        <v>1.4897523215040565E-13</v>
      </c>
      <c r="CA139" s="14">
        <f t="shared" si="147"/>
        <v>2.136562777003313E-12</v>
      </c>
      <c r="CB139" s="22">
        <f t="shared" si="118"/>
        <v>3.9806453659427267E-12</v>
      </c>
      <c r="CC139" s="62">
        <f t="shared" si="119"/>
        <v>293.33333333333729</v>
      </c>
      <c r="CD139" s="62">
        <f ca="1">AVERAGE(OFFSET($CC$3,0,0,'Données projet'!$E$12+1,1))-AVERAGE(OFFSET($H$3,0,0,'Données projet'!$E$12+1,1))</f>
        <v>277.27246253233807</v>
      </c>
      <c r="CE139" s="62">
        <f t="shared" si="148"/>
        <v>269.61868559913404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240.25247999999945</v>
      </c>
      <c r="CV139" s="14">
        <f t="shared" si="149"/>
        <v>58.493849459485787</v>
      </c>
      <c r="CW139" s="22">
        <f t="shared" si="121"/>
        <v>520.31652380860351</v>
      </c>
      <c r="CX139" s="62">
        <f t="shared" si="122"/>
        <v>813.64985714193676</v>
      </c>
      <c r="CY139" s="62">
        <f ca="1">AVERAGE(OFFSET($CX$3,0,0,'Données projet'!$E$13+1,1))-AVERAGE(OFFSET($H$3,0,0,'Données projet'!$E$13+1,1))</f>
        <v>402.15128814037058</v>
      </c>
      <c r="CZ139" s="62">
        <f t="shared" si="150"/>
        <v>232.85411068442738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-1.1368683772161603E-13</v>
      </c>
      <c r="DP139" s="18">
        <f>DO139*VLOOKUP('Données projet'!$B$14,Paramètres!$A$1:$I$89,3,0)*VLOOKUP('Données projet'!$B$14,Paramètres!$A$1:$I$89,5,0)</f>
        <v>-1.0818439477588981E-13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485.18236169209541</v>
      </c>
      <c r="DU139" s="62">
        <f t="shared" si="152"/>
        <v>417.30339652956951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-3.4106051316484809E-13</v>
      </c>
      <c r="EK139" s="18">
        <f>EJ139*VLOOKUP('Données projet'!$B$15,Paramètres!$A$1:$I$89,3,0)*VLOOKUP('Données projet'!$B$15,Paramètres!$A$1:$I$89,5,0)</f>
        <v>-2.7134774427395314E-13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427.78067187784063</v>
      </c>
      <c r="EP139" s="62">
        <f t="shared" si="154"/>
        <v>464.22892523825118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-1.1368683772161603E-13</v>
      </c>
      <c r="FF139" s="18">
        <f>FE139*VLOOKUP('Données projet'!$B$16,Paramètres!$A$1:$I$89,3,0)*VLOOKUP('Données projet'!$B$16,Paramètres!$A$1:$I$89,5,0)</f>
        <v>-9.7543306765146564E-14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448.44001099301806</v>
      </c>
      <c r="FK139" s="62">
        <f t="shared" si="156"/>
        <v>230.82970731138215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-3.4106051316484809E-13</v>
      </c>
      <c r="GA139" s="18">
        <f>FZ139*VLOOKUP('Données projet'!$B$17,Paramètres!$A$1:$I$89,3,0)*VLOOKUP('Données projet'!$B$17,Paramètres!$A$1:$I$89,5,0)</f>
        <v>-2.2878339223098009E-13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408.91016501484626</v>
      </c>
      <c r="GF139" s="62">
        <f t="shared" si="158"/>
        <v>354.22396807666433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3.8</v>
      </c>
      <c r="GU139" s="13">
        <f>IF('Données projet'!$A$270&gt;35,GU138+GT139-HC138,IF(A139&lt;'Données projet'!$A$270,$GR$205^A139,IF(A139='Données projet'!$A$270,'Données projet'!$B$270,GU138+GT139-HC138)))</f>
        <v>325.79999999999984</v>
      </c>
      <c r="GV139" s="18">
        <f>GU139*VLOOKUP('Données projet'!$B$18,Paramètres!$A$1:$I$89,3,0)*VLOOKUP('Données projet'!$B$18,Paramètres!$A$1:$I$89,5,0)</f>
        <v>315.11375999999984</v>
      </c>
      <c r="GW139" s="14">
        <f t="shared" si="159"/>
        <v>74.335767722617277</v>
      </c>
      <c r="GX139" s="22">
        <f t="shared" si="136"/>
        <v>678.29126078355807</v>
      </c>
      <c r="GY139" s="62">
        <f t="shared" si="137"/>
        <v>971.62459411689133</v>
      </c>
      <c r="GZ139" s="62">
        <f ca="1">AVERAGE(OFFSET($GY$3,0,0,'Données projet'!$E$18+1,1))-AVERAGE(OFFSET($H$3,0,0,'Données projet'!$E$18+1,1))</f>
        <v>562.69380557620775</v>
      </c>
      <c r="HA139" s="62">
        <f t="shared" si="160"/>
        <v>294.45557293177131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3.8</v>
      </c>
      <c r="N140" s="14">
        <f>IF('Données projet'!$A$36&gt;35,N139+M140-V139,IF(A140&lt;'Données projet'!$A$36,$K$205^A140,IF(A140='Données projet'!$A$36,'Données projet'!$B$36,N139+M140-V139)))</f>
        <v>329.59999999999985</v>
      </c>
      <c r="O140" s="14">
        <f>N140*VLOOKUP('Données projet'!$B$9,Paramètres!$A$1:$I$89,3,0)*VLOOKUP('Données projet'!$B$9,Paramètres!$A$1:$I$89,5,0)</f>
        <v>298.22207999999983</v>
      </c>
      <c r="P140" s="14">
        <f t="shared" si="141"/>
        <v>70.803614311231783</v>
      </c>
      <c r="Q140" s="22">
        <f t="shared" si="108"/>
        <v>642.71975092539503</v>
      </c>
      <c r="R140" s="62">
        <f t="shared" si="109"/>
        <v>936.0530842587284</v>
      </c>
      <c r="S140" s="62">
        <f ca="1">AVERAGE(OFFSET($R$3,0,0,'Données projet'!$E$9+1,1))-AVERAGE(OFFSET($H$3,0,0,'Données projet'!$E$9+1,1))</f>
        <v>529.25712986118265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8.8675733422860506E-14</v>
      </c>
      <c r="AK140" s="14">
        <f t="shared" si="143"/>
        <v>1.3509285393066301E-12</v>
      </c>
      <c r="AL140" s="22">
        <f t="shared" si="112"/>
        <v>2.5073107750038623E-12</v>
      </c>
      <c r="AM140" s="62">
        <f t="shared" si="113"/>
        <v>293.33333333333582</v>
      </c>
      <c r="AN140" s="62">
        <f ca="1">AVERAGE(OFFSET($AM$3,0,0,'Données projet'!$E$10+1,1))-AVERAGE(OFFSET($H$3,0,0,'Données projet'!$E$10+1,1))</f>
        <v>292.57482726862594</v>
      </c>
      <c r="AO140" s="62">
        <f t="shared" si="144"/>
        <v>283.48738729114024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-3.4106051316484809E-13</v>
      </c>
      <c r="BE140" s="14">
        <f>BD140*VLOOKUP('Données projet'!$B$11,Paramètres!$A$1:$I$89,3,0)*VLOOKUP('Données projet'!$B$11,Paramètres!$A$1:$I$89,5,0)</f>
        <v>-2.5006556825246659E-13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397.24545766894346</v>
      </c>
      <c r="BJ140" s="62">
        <f t="shared" si="146"/>
        <v>431.44557882369696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2.2737367544323206E-13</v>
      </c>
      <c r="BZ140" s="14">
        <f>BY140*VLOOKUP('Données projet'!$B$12,Paramètres!$A$1:$I$89,3,0)*VLOOKUP('Données projet'!$B$12,Paramètres!$A$1:$I$89,5,0)</f>
        <v>1.4897523215040565E-13</v>
      </c>
      <c r="CA140" s="14">
        <f t="shared" si="147"/>
        <v>2.136562777003313E-12</v>
      </c>
      <c r="CB140" s="22">
        <f t="shared" si="118"/>
        <v>3.9806453659427267E-12</v>
      </c>
      <c r="CC140" s="62">
        <f t="shared" si="119"/>
        <v>293.33333333333729</v>
      </c>
      <c r="CD140" s="62">
        <f ca="1">AVERAGE(OFFSET($CC$3,0,0,'Données projet'!$E$12+1,1))-AVERAGE(OFFSET($H$3,0,0,'Données projet'!$E$12+1,1))</f>
        <v>277.27246253233807</v>
      </c>
      <c r="CE140" s="62">
        <f t="shared" si="148"/>
        <v>269.61868559913404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242.52695999999943</v>
      </c>
      <c r="CV140" s="14">
        <f t="shared" si="149"/>
        <v>58.982886368985021</v>
      </c>
      <c r="CW140" s="22">
        <f t="shared" si="121"/>
        <v>525.12964909264781</v>
      </c>
      <c r="CX140" s="62">
        <f t="shared" si="122"/>
        <v>818.46298242598118</v>
      </c>
      <c r="CY140" s="62">
        <f ca="1">AVERAGE(OFFSET($CX$3,0,0,'Données projet'!$E$13+1,1))-AVERAGE(OFFSET($H$3,0,0,'Données projet'!$E$13+1,1))</f>
        <v>402.15128814037058</v>
      </c>
      <c r="CZ140" s="62">
        <f t="shared" si="150"/>
        <v>232.85411068442738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-1.1368683772161603E-13</v>
      </c>
      <c r="DP140" s="18">
        <f>DO140*VLOOKUP('Données projet'!$B$14,Paramètres!$A$1:$I$89,3,0)*VLOOKUP('Données projet'!$B$14,Paramètres!$A$1:$I$89,5,0)</f>
        <v>-1.0818439477588981E-13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485.18236169209541</v>
      </c>
      <c r="DU140" s="62">
        <f t="shared" si="152"/>
        <v>417.30339652956951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-3.4106051316484809E-13</v>
      </c>
      <c r="EK140" s="18">
        <f>EJ140*VLOOKUP('Données projet'!$B$15,Paramètres!$A$1:$I$89,3,0)*VLOOKUP('Données projet'!$B$15,Paramètres!$A$1:$I$89,5,0)</f>
        <v>-2.7134774427395314E-13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427.78067187784063</v>
      </c>
      <c r="EP140" s="62">
        <f t="shared" si="154"/>
        <v>464.22892523825118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-1.1368683772161603E-13</v>
      </c>
      <c r="FF140" s="18">
        <f>FE140*VLOOKUP('Données projet'!$B$16,Paramètres!$A$1:$I$89,3,0)*VLOOKUP('Données projet'!$B$16,Paramètres!$A$1:$I$89,5,0)</f>
        <v>-9.7543306765146564E-14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448.44001099301806</v>
      </c>
      <c r="FK140" s="62">
        <f t="shared" si="156"/>
        <v>230.82970731138215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-3.4106051316484809E-13</v>
      </c>
      <c r="GA140" s="18">
        <f>FZ140*VLOOKUP('Données projet'!$B$17,Paramètres!$A$1:$I$89,3,0)*VLOOKUP('Données projet'!$B$17,Paramètres!$A$1:$I$89,5,0)</f>
        <v>-2.2878339223098009E-13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408.91016501484626</v>
      </c>
      <c r="GF140" s="62">
        <f t="shared" si="158"/>
        <v>354.22396807666433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3.8</v>
      </c>
      <c r="GU140" s="13">
        <f>IF('Données projet'!$A$270&gt;35,GU139+GT140-HC139,IF(A140&lt;'Données projet'!$A$270,$GR$205^A140,IF(A140='Données projet'!$A$270,'Données projet'!$B$270,GU139+GT140-HC139)))</f>
        <v>329.59999999999985</v>
      </c>
      <c r="GV140" s="18">
        <f>GU140*VLOOKUP('Données projet'!$B$18,Paramètres!$A$1:$I$89,3,0)*VLOOKUP('Données projet'!$B$18,Paramètres!$A$1:$I$89,5,0)</f>
        <v>318.78911999999991</v>
      </c>
      <c r="GW140" s="14">
        <f t="shared" si="159"/>
        <v>75.101350965570944</v>
      </c>
      <c r="GX140" s="22">
        <f t="shared" si="136"/>
        <v>686.02590359836915</v>
      </c>
      <c r="GY140" s="62">
        <f t="shared" si="137"/>
        <v>979.35923693170253</v>
      </c>
      <c r="GZ140" s="62">
        <f ca="1">AVERAGE(OFFSET($GY$3,0,0,'Données projet'!$E$18+1,1))-AVERAGE(OFFSET($H$3,0,0,'Données projet'!$E$18+1,1))</f>
        <v>562.69380557620775</v>
      </c>
      <c r="HA140" s="62">
        <f t="shared" si="160"/>
        <v>294.45557293177131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3.8</v>
      </c>
      <c r="N141" s="14">
        <f>IF('Données projet'!$A$36&gt;35,N140+M141-V140,IF(A141&lt;'Données projet'!$A$36,$K$205^A141,IF(A141='Données projet'!$A$36,'Données projet'!$B$36,N140+M141-V140)))</f>
        <v>333.39999999999986</v>
      </c>
      <c r="O141" s="14">
        <f>N141*VLOOKUP('Données projet'!$B$9,Paramètres!$A$1:$I$89,3,0)*VLOOKUP('Données projet'!$B$9,Paramètres!$A$1:$I$89,5,0)</f>
        <v>301.66031999999984</v>
      </c>
      <c r="P141" s="14">
        <f t="shared" si="141"/>
        <v>71.524418438455001</v>
      </c>
      <c r="Q141" s="22">
        <f t="shared" si="108"/>
        <v>649.96341944697554</v>
      </c>
      <c r="R141" s="62">
        <f t="shared" si="109"/>
        <v>943.29675278030891</v>
      </c>
      <c r="S141" s="62">
        <f ca="1">AVERAGE(OFFSET($R$3,0,0,'Données projet'!$E$9+1,1))-AVERAGE(OFFSET($H$3,0,0,'Données projet'!$E$9+1,1))</f>
        <v>529.25712986118265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8.8675733422860506E-14</v>
      </c>
      <c r="AK141" s="14">
        <f t="shared" si="143"/>
        <v>1.3509285393066301E-12</v>
      </c>
      <c r="AL141" s="22">
        <f t="shared" si="112"/>
        <v>2.5073107750038623E-12</v>
      </c>
      <c r="AM141" s="62">
        <f t="shared" si="113"/>
        <v>293.33333333333582</v>
      </c>
      <c r="AN141" s="62">
        <f ca="1">AVERAGE(OFFSET($AM$3,0,0,'Données projet'!$E$10+1,1))-AVERAGE(OFFSET($H$3,0,0,'Données projet'!$E$10+1,1))</f>
        <v>292.57482726862594</v>
      </c>
      <c r="AO141" s="62">
        <f t="shared" si="144"/>
        <v>283.48738729114024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-3.4106051316484809E-13</v>
      </c>
      <c r="BE141" s="14">
        <f>BD141*VLOOKUP('Données projet'!$B$11,Paramètres!$A$1:$I$89,3,0)*VLOOKUP('Données projet'!$B$11,Paramètres!$A$1:$I$89,5,0)</f>
        <v>-2.5006556825246659E-13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397.24545766894346</v>
      </c>
      <c r="BJ141" s="62">
        <f t="shared" si="146"/>
        <v>431.44557882369696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2.2737367544323206E-13</v>
      </c>
      <c r="BZ141" s="14">
        <f>BY141*VLOOKUP('Données projet'!$B$12,Paramètres!$A$1:$I$89,3,0)*VLOOKUP('Données projet'!$B$12,Paramètres!$A$1:$I$89,5,0)</f>
        <v>1.4897523215040565E-13</v>
      </c>
      <c r="CA141" s="14">
        <f t="shared" si="147"/>
        <v>2.136562777003313E-12</v>
      </c>
      <c r="CB141" s="22">
        <f t="shared" si="118"/>
        <v>3.9806453659427267E-12</v>
      </c>
      <c r="CC141" s="62">
        <f t="shared" si="119"/>
        <v>293.33333333333729</v>
      </c>
      <c r="CD141" s="62">
        <f ca="1">AVERAGE(OFFSET($CC$3,0,0,'Données projet'!$E$12+1,1))-AVERAGE(OFFSET($H$3,0,0,'Données projet'!$E$12+1,1))</f>
        <v>277.27246253233807</v>
      </c>
      <c r="CE141" s="62">
        <f t="shared" si="148"/>
        <v>269.61868559913404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244.80143999999945</v>
      </c>
      <c r="CV141" s="14">
        <f t="shared" si="149"/>
        <v>59.471389714596469</v>
      </c>
      <c r="CW141" s="22">
        <f t="shared" si="121"/>
        <v>529.94184508625449</v>
      </c>
      <c r="CX141" s="62">
        <f t="shared" si="122"/>
        <v>823.27517841958775</v>
      </c>
      <c r="CY141" s="62">
        <f ca="1">AVERAGE(OFFSET($CX$3,0,0,'Données projet'!$E$13+1,1))-AVERAGE(OFFSET($H$3,0,0,'Données projet'!$E$13+1,1))</f>
        <v>402.15128814037058</v>
      </c>
      <c r="CZ141" s="62">
        <f t="shared" si="150"/>
        <v>232.85411068442738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-1.1368683772161603E-13</v>
      </c>
      <c r="DP141" s="18">
        <f>DO141*VLOOKUP('Données projet'!$B$14,Paramètres!$A$1:$I$89,3,0)*VLOOKUP('Données projet'!$B$14,Paramètres!$A$1:$I$89,5,0)</f>
        <v>-1.0818439477588981E-13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485.18236169209541</v>
      </c>
      <c r="DU141" s="62">
        <f t="shared" si="152"/>
        <v>417.30339652956951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-3.4106051316484809E-13</v>
      </c>
      <c r="EK141" s="18">
        <f>EJ141*VLOOKUP('Données projet'!$B$15,Paramètres!$A$1:$I$89,3,0)*VLOOKUP('Données projet'!$B$15,Paramètres!$A$1:$I$89,5,0)</f>
        <v>-2.7134774427395314E-13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427.78067187784063</v>
      </c>
      <c r="EP141" s="62">
        <f t="shared" si="154"/>
        <v>464.22892523825118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-1.1368683772161603E-13</v>
      </c>
      <c r="FF141" s="18">
        <f>FE141*VLOOKUP('Données projet'!$B$16,Paramètres!$A$1:$I$89,3,0)*VLOOKUP('Données projet'!$B$16,Paramètres!$A$1:$I$89,5,0)</f>
        <v>-9.7543306765146564E-14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448.44001099301806</v>
      </c>
      <c r="FK141" s="62">
        <f t="shared" si="156"/>
        <v>230.82970731138215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-3.4106051316484809E-13</v>
      </c>
      <c r="GA141" s="18">
        <f>FZ141*VLOOKUP('Données projet'!$B$17,Paramètres!$A$1:$I$89,3,0)*VLOOKUP('Données projet'!$B$17,Paramètres!$A$1:$I$89,5,0)</f>
        <v>-2.2878339223098009E-13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408.91016501484626</v>
      </c>
      <c r="GF141" s="62">
        <f t="shared" si="158"/>
        <v>354.22396807666433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3.8</v>
      </c>
      <c r="GU141" s="13">
        <f>IF('Données projet'!$A$270&gt;35,GU140+GT141-HC140,IF(A141&lt;'Données projet'!$A$270,$GR$205^A141,IF(A141='Données projet'!$A$270,'Données projet'!$B$270,GU140+GT141-HC140)))</f>
        <v>333.39999999999986</v>
      </c>
      <c r="GV141" s="18">
        <f>GU141*VLOOKUP('Données projet'!$B$18,Paramètres!$A$1:$I$89,3,0)*VLOOKUP('Données projet'!$B$18,Paramètres!$A$1:$I$89,5,0)</f>
        <v>322.46447999999987</v>
      </c>
      <c r="GW141" s="14">
        <f t="shared" si="159"/>
        <v>75.865907468266684</v>
      </c>
      <c r="GX141" s="22">
        <f t="shared" si="136"/>
        <v>693.7587581738976</v>
      </c>
      <c r="GY141" s="62">
        <f t="shared" si="137"/>
        <v>987.09209150723086</v>
      </c>
      <c r="GZ141" s="62">
        <f ca="1">AVERAGE(OFFSET($GY$3,0,0,'Données projet'!$E$18+1,1))-AVERAGE(OFFSET($H$3,0,0,'Données projet'!$E$18+1,1))</f>
        <v>562.69380557620775</v>
      </c>
      <c r="HA141" s="62">
        <f t="shared" si="160"/>
        <v>294.45557293177131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3.8</v>
      </c>
      <c r="N142" s="14">
        <f>IF('Données projet'!$A$36&gt;35,N141+M142-V141,IF(A142&lt;'Données projet'!$A$36,$K$205^A142,IF(A142='Données projet'!$A$36,'Données projet'!$B$36,N141+M142-V141)))</f>
        <v>337.19999999999987</v>
      </c>
      <c r="O142" s="14">
        <f>N142*VLOOKUP('Données projet'!$B$9,Paramètres!$A$1:$I$89,3,0)*VLOOKUP('Données projet'!$B$9,Paramètres!$A$1:$I$89,5,0)</f>
        <v>305.09855999999985</v>
      </c>
      <c r="P142" s="14">
        <f t="shared" si="141"/>
        <v>72.244266890878791</v>
      </c>
      <c r="Q142" s="22">
        <f t="shared" si="108"/>
        <v>657.20542350161361</v>
      </c>
      <c r="R142" s="62">
        <f t="shared" si="109"/>
        <v>950.53875683494698</v>
      </c>
      <c r="S142" s="62">
        <f ca="1">AVERAGE(OFFSET($R$3,0,0,'Données projet'!$E$9+1,1))-AVERAGE(OFFSET($H$3,0,0,'Données projet'!$E$9+1,1))</f>
        <v>529.25712986118265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8.8675733422860506E-14</v>
      </c>
      <c r="AK142" s="14">
        <f t="shared" si="143"/>
        <v>1.3509285393066301E-12</v>
      </c>
      <c r="AL142" s="22">
        <f t="shared" si="112"/>
        <v>2.5073107750038623E-12</v>
      </c>
      <c r="AM142" s="62">
        <f t="shared" si="113"/>
        <v>293.33333333333582</v>
      </c>
      <c r="AN142" s="62">
        <f ca="1">AVERAGE(OFFSET($AM$3,0,0,'Données projet'!$E$10+1,1))-AVERAGE(OFFSET($H$3,0,0,'Données projet'!$E$10+1,1))</f>
        <v>292.57482726862594</v>
      </c>
      <c r="AO142" s="62">
        <f t="shared" si="144"/>
        <v>283.48738729114024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-3.4106051316484809E-13</v>
      </c>
      <c r="BE142" s="14">
        <f>BD142*VLOOKUP('Données projet'!$B$11,Paramètres!$A$1:$I$89,3,0)*VLOOKUP('Données projet'!$B$11,Paramètres!$A$1:$I$89,5,0)</f>
        <v>-2.5006556825246659E-13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397.24545766894346</v>
      </c>
      <c r="BJ142" s="62">
        <f t="shared" si="146"/>
        <v>431.44557882369696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2.2737367544323206E-13</v>
      </c>
      <c r="BZ142" s="14">
        <f>BY142*VLOOKUP('Données projet'!$B$12,Paramètres!$A$1:$I$89,3,0)*VLOOKUP('Données projet'!$B$12,Paramètres!$A$1:$I$89,5,0)</f>
        <v>1.4897523215040565E-13</v>
      </c>
      <c r="CA142" s="14">
        <f t="shared" si="147"/>
        <v>2.136562777003313E-12</v>
      </c>
      <c r="CB142" s="22">
        <f t="shared" si="118"/>
        <v>3.9806453659427267E-12</v>
      </c>
      <c r="CC142" s="62">
        <f t="shared" si="119"/>
        <v>293.33333333333729</v>
      </c>
      <c r="CD142" s="62">
        <f ca="1">AVERAGE(OFFSET($CC$3,0,0,'Données projet'!$E$12+1,1))-AVERAGE(OFFSET($H$3,0,0,'Données projet'!$E$12+1,1))</f>
        <v>277.27246253233807</v>
      </c>
      <c r="CE142" s="62">
        <f t="shared" si="148"/>
        <v>269.61868559913404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247.0759199999994</v>
      </c>
      <c r="CV142" s="14">
        <f t="shared" si="149"/>
        <v>59.959365027937501</v>
      </c>
      <c r="CW142" s="22">
        <f t="shared" si="121"/>
        <v>534.75312142365681</v>
      </c>
      <c r="CX142" s="62">
        <f t="shared" si="122"/>
        <v>828.08645475699018</v>
      </c>
      <c r="CY142" s="62">
        <f ca="1">AVERAGE(OFFSET($CX$3,0,0,'Données projet'!$E$13+1,1))-AVERAGE(OFFSET($H$3,0,0,'Données projet'!$E$13+1,1))</f>
        <v>402.15128814037058</v>
      </c>
      <c r="CZ142" s="62">
        <f t="shared" si="150"/>
        <v>232.85411068442738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-1.1368683772161603E-13</v>
      </c>
      <c r="DP142" s="18">
        <f>DO142*VLOOKUP('Données projet'!$B$14,Paramètres!$A$1:$I$89,3,0)*VLOOKUP('Données projet'!$B$14,Paramètres!$A$1:$I$89,5,0)</f>
        <v>-1.0818439477588981E-13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485.18236169209541</v>
      </c>
      <c r="DU142" s="62">
        <f t="shared" si="152"/>
        <v>417.30339652956951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-3.4106051316484809E-13</v>
      </c>
      <c r="EK142" s="18">
        <f>EJ142*VLOOKUP('Données projet'!$B$15,Paramètres!$A$1:$I$89,3,0)*VLOOKUP('Données projet'!$B$15,Paramètres!$A$1:$I$89,5,0)</f>
        <v>-2.7134774427395314E-13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427.78067187784063</v>
      </c>
      <c r="EP142" s="62">
        <f t="shared" si="154"/>
        <v>464.22892523825118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-1.1368683772161603E-13</v>
      </c>
      <c r="FF142" s="18">
        <f>FE142*VLOOKUP('Données projet'!$B$16,Paramètres!$A$1:$I$89,3,0)*VLOOKUP('Données projet'!$B$16,Paramètres!$A$1:$I$89,5,0)</f>
        <v>-9.7543306765146564E-14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448.44001099301806</v>
      </c>
      <c r="FK142" s="62">
        <f t="shared" si="156"/>
        <v>230.82970731138215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-3.4106051316484809E-13</v>
      </c>
      <c r="GA142" s="18">
        <f>FZ142*VLOOKUP('Données projet'!$B$17,Paramètres!$A$1:$I$89,3,0)*VLOOKUP('Données projet'!$B$17,Paramètres!$A$1:$I$89,5,0)</f>
        <v>-2.2878339223098009E-13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408.91016501484626</v>
      </c>
      <c r="GF142" s="62">
        <f t="shared" si="158"/>
        <v>354.22396807666433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3.8</v>
      </c>
      <c r="GU142" s="13">
        <f>IF('Données projet'!$A$270&gt;35,GU141+GT142-HC141,IF(A142&lt;'Données projet'!$A$270,$GR$205^A142,IF(A142='Données projet'!$A$270,'Données projet'!$B$270,GU141+GT142-HC141)))</f>
        <v>337.19999999999987</v>
      </c>
      <c r="GV142" s="18">
        <f>GU142*VLOOKUP('Données projet'!$B$18,Paramètres!$A$1:$I$89,3,0)*VLOOKUP('Données projet'!$B$18,Paramètres!$A$1:$I$89,5,0)</f>
        <v>326.13983999999988</v>
      </c>
      <c r="GW142" s="14">
        <f t="shared" si="159"/>
        <v>76.62945028727961</v>
      </c>
      <c r="GX142" s="22">
        <f t="shared" si="136"/>
        <v>701.48984725034506</v>
      </c>
      <c r="GY142" s="62">
        <f t="shared" si="137"/>
        <v>994.82318058367832</v>
      </c>
      <c r="GZ142" s="62">
        <f ca="1">AVERAGE(OFFSET($GY$3,0,0,'Données projet'!$E$18+1,1))-AVERAGE(OFFSET($H$3,0,0,'Données projet'!$E$18+1,1))</f>
        <v>562.69380557620775</v>
      </c>
      <c r="HA142" s="62">
        <f t="shared" si="160"/>
        <v>294.45557293177131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341</v>
      </c>
      <c r="L143" s="13">
        <f>VLOOKUP(A143,'Données projet'!$A$35:$I$55,9,0)</f>
        <v>3.8</v>
      </c>
      <c r="M143" s="13">
        <f t="array" ref="M143">INDEX(L:L,MIN(IF(ISNUMBER(L143:L339),ROW(L143:L339),"")))</f>
        <v>3.8</v>
      </c>
      <c r="N143" s="14">
        <f>IF('Données projet'!$A$36&gt;35,N142+M143-V142,IF(A143&lt;'Données projet'!$A$36,$K$205^A143,IF(A143='Données projet'!$A$36,'Données projet'!$B$36,N142+M143-V142)))</f>
        <v>340.99999999999989</v>
      </c>
      <c r="O143" s="14">
        <f>N143*VLOOKUP('Données projet'!$B$9,Paramètres!$A$1:$I$89,3,0)*VLOOKUP('Données projet'!$B$9,Paramètres!$A$1:$I$89,5,0)</f>
        <v>308.53679999999986</v>
      </c>
      <c r="P143" s="14">
        <f t="shared" si="141"/>
        <v>72.963171684496103</v>
      </c>
      <c r="Q143" s="22">
        <f t="shared" si="108"/>
        <v>664.44578401716376</v>
      </c>
      <c r="R143" s="62">
        <f t="shared" si="109"/>
        <v>957.77911735049702</v>
      </c>
      <c r="S143" s="62">
        <f ca="1">AVERAGE(OFFSET($R$3,0,0,'Données projet'!$E$9+1,1))-AVERAGE(OFFSET($H$3,0,0,'Données projet'!$E$9+1,1))</f>
        <v>529.25712986118265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8.8675733422860506E-14</v>
      </c>
      <c r="AK143" s="14">
        <f t="shared" si="143"/>
        <v>1.3509285393066301E-12</v>
      </c>
      <c r="AL143" s="22">
        <f t="shared" si="112"/>
        <v>2.5073107750038623E-12</v>
      </c>
      <c r="AM143" s="62">
        <f t="shared" si="113"/>
        <v>293.33333333333582</v>
      </c>
      <c r="AN143" s="62">
        <f ca="1">AVERAGE(OFFSET($AM$3,0,0,'Données projet'!$E$10+1,1))-AVERAGE(OFFSET($H$3,0,0,'Données projet'!$E$10+1,1))</f>
        <v>292.57482726862594</v>
      </c>
      <c r="AO143" s="62">
        <f t="shared" si="144"/>
        <v>283.48738729114024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-3.4106051316484809E-13</v>
      </c>
      <c r="BE143" s="14">
        <f>BD143*VLOOKUP('Données projet'!$B$11,Paramètres!$A$1:$I$89,3,0)*VLOOKUP('Données projet'!$B$11,Paramètres!$A$1:$I$89,5,0)</f>
        <v>-2.5006556825246659E-13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397.24545766894346</v>
      </c>
      <c r="BJ143" s="62">
        <f t="shared" si="146"/>
        <v>431.44557882369696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2.2737367544323206E-13</v>
      </c>
      <c r="BZ143" s="14">
        <f>BY143*VLOOKUP('Données projet'!$B$12,Paramètres!$A$1:$I$89,3,0)*VLOOKUP('Données projet'!$B$12,Paramètres!$A$1:$I$89,5,0)</f>
        <v>1.4897523215040565E-13</v>
      </c>
      <c r="CA143" s="14">
        <f t="shared" si="147"/>
        <v>2.136562777003313E-12</v>
      </c>
      <c r="CB143" s="22">
        <f t="shared" si="118"/>
        <v>3.9806453659427267E-12</v>
      </c>
      <c r="CC143" s="62">
        <f t="shared" si="119"/>
        <v>293.33333333333729</v>
      </c>
      <c r="CD143" s="62">
        <f ca="1">AVERAGE(OFFSET($CC$3,0,0,'Données projet'!$E$12+1,1))-AVERAGE(OFFSET($H$3,0,0,'Données projet'!$E$12+1,1))</f>
        <v>277.27246253233807</v>
      </c>
      <c r="CE143" s="62">
        <f t="shared" si="148"/>
        <v>269.61868559913404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249.35039999999938</v>
      </c>
      <c r="CV143" s="14">
        <f t="shared" si="149"/>
        <v>60.446817732908059</v>
      </c>
      <c r="CW143" s="22">
        <f t="shared" si="121"/>
        <v>539.56348755148042</v>
      </c>
      <c r="CX143" s="62">
        <f t="shared" si="122"/>
        <v>832.89682088481368</v>
      </c>
      <c r="CY143" s="62">
        <f ca="1">AVERAGE(OFFSET($CX$3,0,0,'Données projet'!$E$13+1,1))-AVERAGE(OFFSET($H$3,0,0,'Données projet'!$E$13+1,1))</f>
        <v>402.15128814037058</v>
      </c>
      <c r="CZ143" s="62">
        <f t="shared" si="150"/>
        <v>232.85411068442738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-1.1368683772161603E-13</v>
      </c>
      <c r="DP143" s="18">
        <f>DO143*VLOOKUP('Données projet'!$B$14,Paramètres!$A$1:$I$89,3,0)*VLOOKUP('Données projet'!$B$14,Paramètres!$A$1:$I$89,5,0)</f>
        <v>-1.0818439477588981E-13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485.18236169209541</v>
      </c>
      <c r="DU143" s="62">
        <f t="shared" si="152"/>
        <v>417.30339652956951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-3.4106051316484809E-13</v>
      </c>
      <c r="EK143" s="18">
        <f>EJ143*VLOOKUP('Données projet'!$B$15,Paramètres!$A$1:$I$89,3,0)*VLOOKUP('Données projet'!$B$15,Paramètres!$A$1:$I$89,5,0)</f>
        <v>-2.7134774427395314E-13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427.78067187784063</v>
      </c>
      <c r="EP143" s="62">
        <f t="shared" si="154"/>
        <v>464.22892523825118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-1.1368683772161603E-13</v>
      </c>
      <c r="FF143" s="18">
        <f>FE143*VLOOKUP('Données projet'!$B$16,Paramètres!$A$1:$I$89,3,0)*VLOOKUP('Données projet'!$B$16,Paramètres!$A$1:$I$89,5,0)</f>
        <v>-9.7543306765146564E-14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448.44001099301806</v>
      </c>
      <c r="FK143" s="62">
        <f t="shared" si="156"/>
        <v>230.82970731138215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-3.4106051316484809E-13</v>
      </c>
      <c r="GA143" s="18">
        <f>FZ143*VLOOKUP('Données projet'!$B$17,Paramètres!$A$1:$I$89,3,0)*VLOOKUP('Données projet'!$B$17,Paramètres!$A$1:$I$89,5,0)</f>
        <v>-2.2878339223098009E-13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408.91016501484626</v>
      </c>
      <c r="GF143" s="62">
        <f t="shared" si="158"/>
        <v>354.22396807666433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>
        <f>VLOOKUP(A143,'Données projet'!$A$269:$I$289,2,0)</f>
        <v>341</v>
      </c>
      <c r="GS143" s="13">
        <f>VLOOKUP(A143,'Données projet'!$A$269:$I$289,9,0)</f>
        <v>3.8</v>
      </c>
      <c r="GT143" s="13">
        <f t="array" ref="GT143">INDEX(GS:GS,MIN(IF(ISNUMBER(GS143:GS339),ROW(GS143:GS339),"")))</f>
        <v>3.8</v>
      </c>
      <c r="GU143" s="13">
        <f>IF('Données projet'!$A$270&gt;35,GU142+GT143-HC142,IF(A143&lt;'Données projet'!$A$270,$GR$205^A143,IF(A143='Données projet'!$A$270,'Données projet'!$B$270,GU142+GT143-HC142)))</f>
        <v>340.99999999999989</v>
      </c>
      <c r="GV143" s="18">
        <f>GU143*VLOOKUP('Données projet'!$B$18,Paramètres!$A$1:$I$89,3,0)*VLOOKUP('Données projet'!$B$18,Paramètres!$A$1:$I$89,5,0)</f>
        <v>329.81519999999989</v>
      </c>
      <c r="GW143" s="14">
        <f t="shared" si="159"/>
        <v>77.391992167966066</v>
      </c>
      <c r="GX143" s="22">
        <f t="shared" si="136"/>
        <v>709.21919302587401</v>
      </c>
      <c r="GY143" s="62">
        <f t="shared" si="137"/>
        <v>1002.5525263592074</v>
      </c>
      <c r="GZ143" s="62">
        <f ca="1">AVERAGE(OFFSET($GY$3,0,0,'Données projet'!$E$18+1,1))-AVERAGE(OFFSET($H$3,0,0,'Données projet'!$E$18+1,1))</f>
        <v>562.69380557620775</v>
      </c>
      <c r="HA143" s="62">
        <f t="shared" si="160"/>
        <v>294.45557293177131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344.49999999999989</v>
      </c>
      <c r="O144" s="14">
        <f>N144*VLOOKUP('Données projet'!$B$9,Paramètres!$A$1:$I$89,3,0)*VLOOKUP('Données projet'!$B$9,Paramètres!$A$1:$I$89,5,0)</f>
        <v>311.70359999999988</v>
      </c>
      <c r="P144" s="14">
        <f t="shared" si="141"/>
        <v>73.624496097462782</v>
      </c>
      <c r="Q144" s="22">
        <f t="shared" si="108"/>
        <v>671.1131007030807</v>
      </c>
      <c r="R144" s="62">
        <f t="shared" si="109"/>
        <v>964.44643403641408</v>
      </c>
      <c r="S144" s="62">
        <f ca="1">AVERAGE(OFFSET($R$3,0,0,'Données projet'!$E$9+1,1))-AVERAGE(OFFSET($H$3,0,0,'Données projet'!$E$9+1,1))</f>
        <v>529.25712986118265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8.8675733422860506E-14</v>
      </c>
      <c r="AK144" s="14">
        <f t="shared" si="143"/>
        <v>1.3509285393066301E-12</v>
      </c>
      <c r="AL144" s="22">
        <f t="shared" si="112"/>
        <v>2.5073107750038623E-12</v>
      </c>
      <c r="AM144" s="62">
        <f t="shared" si="113"/>
        <v>293.33333333333582</v>
      </c>
      <c r="AN144" s="62">
        <f ca="1">AVERAGE(OFFSET($AM$3,0,0,'Données projet'!$E$10+1,1))-AVERAGE(OFFSET($H$3,0,0,'Données projet'!$E$10+1,1))</f>
        <v>292.57482726862594</v>
      </c>
      <c r="AO144" s="62">
        <f t="shared" si="144"/>
        <v>283.48738729114024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-3.4106051316484809E-13</v>
      </c>
      <c r="BE144" s="14">
        <f>BD144*VLOOKUP('Données projet'!$B$11,Paramètres!$A$1:$I$89,3,0)*VLOOKUP('Données projet'!$B$11,Paramètres!$A$1:$I$89,5,0)</f>
        <v>-2.5006556825246659E-13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397.24545766894346</v>
      </c>
      <c r="BJ144" s="62">
        <f t="shared" si="146"/>
        <v>431.44557882369696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2.2737367544323206E-13</v>
      </c>
      <c r="BZ144" s="14">
        <f>BY144*VLOOKUP('Données projet'!$B$12,Paramètres!$A$1:$I$89,3,0)*VLOOKUP('Données projet'!$B$12,Paramètres!$A$1:$I$89,5,0)</f>
        <v>1.4897523215040565E-13</v>
      </c>
      <c r="CA144" s="14">
        <f t="shared" si="147"/>
        <v>2.136562777003313E-12</v>
      </c>
      <c r="CB144" s="22">
        <f t="shared" si="118"/>
        <v>3.9806453659427267E-12</v>
      </c>
      <c r="CC144" s="62">
        <f t="shared" si="119"/>
        <v>293.33333333333729</v>
      </c>
      <c r="CD144" s="62">
        <f ca="1">AVERAGE(OFFSET($CC$3,0,0,'Données projet'!$E$12+1,1))-AVERAGE(OFFSET($H$3,0,0,'Données projet'!$E$12+1,1))</f>
        <v>277.27246253233807</v>
      </c>
      <c r="CE144" s="62">
        <f t="shared" si="148"/>
        <v>269.61868559913404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228.62735999999936</v>
      </c>
      <c r="CV144" s="14">
        <f t="shared" si="149"/>
        <v>55.985781352428546</v>
      </c>
      <c r="CW144" s="22">
        <f t="shared" si="121"/>
        <v>495.70122118881187</v>
      </c>
      <c r="CX144" s="62">
        <f t="shared" si="122"/>
        <v>789.03455452214519</v>
      </c>
      <c r="CY144" s="62">
        <f ca="1">AVERAGE(OFFSET($CX$3,0,0,'Données projet'!$E$13+1,1))-AVERAGE(OFFSET($H$3,0,0,'Données projet'!$E$13+1,1))</f>
        <v>402.15128814037058</v>
      </c>
      <c r="CZ144" s="62">
        <f t="shared" si="150"/>
        <v>232.85411068442738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-1.1368683772161603E-13</v>
      </c>
      <c r="DP144" s="18">
        <f>DO144*VLOOKUP('Données projet'!$B$14,Paramètres!$A$1:$I$89,3,0)*VLOOKUP('Données projet'!$B$14,Paramètres!$A$1:$I$89,5,0)</f>
        <v>-1.0818439477588981E-13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485.18236169209541</v>
      </c>
      <c r="DU144" s="62">
        <f t="shared" si="152"/>
        <v>417.30339652956951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-3.4106051316484809E-13</v>
      </c>
      <c r="EK144" s="18">
        <f>EJ144*VLOOKUP('Données projet'!$B$15,Paramètres!$A$1:$I$89,3,0)*VLOOKUP('Données projet'!$B$15,Paramètres!$A$1:$I$89,5,0)</f>
        <v>-2.7134774427395314E-13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427.78067187784063</v>
      </c>
      <c r="EP144" s="62">
        <f t="shared" si="154"/>
        <v>464.22892523825118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-1.1368683772161603E-13</v>
      </c>
      <c r="FF144" s="18">
        <f>FE144*VLOOKUP('Données projet'!$B$16,Paramètres!$A$1:$I$89,3,0)*VLOOKUP('Données projet'!$B$16,Paramètres!$A$1:$I$89,5,0)</f>
        <v>-9.7543306765146564E-14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448.44001099301806</v>
      </c>
      <c r="FK144" s="62">
        <f t="shared" si="156"/>
        <v>230.82970731138215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-3.4106051316484809E-13</v>
      </c>
      <c r="GA144" s="18">
        <f>FZ144*VLOOKUP('Données projet'!$B$17,Paramètres!$A$1:$I$89,3,0)*VLOOKUP('Données projet'!$B$17,Paramètres!$A$1:$I$89,5,0)</f>
        <v>-2.2878339223098009E-13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408.91016501484626</v>
      </c>
      <c r="GF144" s="62">
        <f t="shared" si="158"/>
        <v>354.22396807666433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3.5</v>
      </c>
      <c r="GU144" s="13">
        <f>IF('Données projet'!$A$270&gt;35,GU143+GT144-HC143,IF(A144&lt;'Données projet'!$A$270,$GR$205^A144,IF(A144='Données projet'!$A$270,'Données projet'!$B$270,GU143+GT144-HC143)))</f>
        <v>344.49999999999989</v>
      </c>
      <c r="GV144" s="18">
        <f>GU144*VLOOKUP('Données projet'!$B$18,Paramètres!$A$1:$I$89,3,0)*VLOOKUP('Données projet'!$B$18,Paramètres!$A$1:$I$89,5,0)</f>
        <v>333.20039999999989</v>
      </c>
      <c r="GW144" s="14">
        <f t="shared" si="159"/>
        <v>78.093458573649713</v>
      </c>
      <c r="GX144" s="22">
        <f t="shared" si="136"/>
        <v>716.33680368243961</v>
      </c>
      <c r="GY144" s="62">
        <f t="shared" si="137"/>
        <v>1009.670137015773</v>
      </c>
      <c r="GZ144" s="62">
        <f ca="1">AVERAGE(OFFSET($GY$3,0,0,'Données projet'!$E$18+1,1))-AVERAGE(OFFSET($H$3,0,0,'Données projet'!$E$18+1,1))</f>
        <v>562.69380557620775</v>
      </c>
      <c r="HA144" s="62">
        <f t="shared" si="160"/>
        <v>294.45557293177131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347.99999999999989</v>
      </c>
      <c r="O145" s="14">
        <f>N145*VLOOKUP('Données projet'!$B$9,Paramètres!$A$1:$I$89,3,0)*VLOOKUP('Données projet'!$B$9,Paramètres!$A$1:$I$89,5,0)</f>
        <v>314.8703999999999</v>
      </c>
      <c r="P145" s="14">
        <f t="shared" si="141"/>
        <v>74.285038887149952</v>
      </c>
      <c r="Q145" s="22">
        <f t="shared" si="108"/>
        <v>677.77905606178604</v>
      </c>
      <c r="R145" s="62">
        <f t="shared" si="109"/>
        <v>971.11238939511941</v>
      </c>
      <c r="S145" s="62">
        <f ca="1">AVERAGE(OFFSET($R$3,0,0,'Données projet'!$E$9+1,1))-AVERAGE(OFFSET($H$3,0,0,'Données projet'!$E$9+1,1))</f>
        <v>529.25712986118265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8.8675733422860506E-14</v>
      </c>
      <c r="AK145" s="14">
        <f t="shared" si="143"/>
        <v>1.3509285393066301E-12</v>
      </c>
      <c r="AL145" s="22">
        <f t="shared" si="112"/>
        <v>2.5073107750038623E-12</v>
      </c>
      <c r="AM145" s="62">
        <f t="shared" si="113"/>
        <v>293.33333333333582</v>
      </c>
      <c r="AN145" s="62">
        <f ca="1">AVERAGE(OFFSET($AM$3,0,0,'Données projet'!$E$10+1,1))-AVERAGE(OFFSET($H$3,0,0,'Données projet'!$E$10+1,1))</f>
        <v>292.57482726862594</v>
      </c>
      <c r="AO145" s="62">
        <f t="shared" si="144"/>
        <v>283.48738729114024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-3.4106051316484809E-13</v>
      </c>
      <c r="BE145" s="14">
        <f>BD145*VLOOKUP('Données projet'!$B$11,Paramètres!$A$1:$I$89,3,0)*VLOOKUP('Données projet'!$B$11,Paramètres!$A$1:$I$89,5,0)</f>
        <v>-2.5006556825246659E-13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397.24545766894346</v>
      </c>
      <c r="BJ145" s="62">
        <f t="shared" si="146"/>
        <v>431.44557882369696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2.2737367544323206E-13</v>
      </c>
      <c r="BZ145" s="14">
        <f>BY145*VLOOKUP('Données projet'!$B$12,Paramètres!$A$1:$I$89,3,0)*VLOOKUP('Données projet'!$B$12,Paramètres!$A$1:$I$89,5,0)</f>
        <v>1.4897523215040565E-13</v>
      </c>
      <c r="CA145" s="14">
        <f t="shared" si="147"/>
        <v>2.136562777003313E-12</v>
      </c>
      <c r="CB145" s="22">
        <f t="shared" si="118"/>
        <v>3.9806453659427267E-12</v>
      </c>
      <c r="CC145" s="62">
        <f t="shared" si="119"/>
        <v>293.33333333333729</v>
      </c>
      <c r="CD145" s="62">
        <f ca="1">AVERAGE(OFFSET($CC$3,0,0,'Données projet'!$E$12+1,1))-AVERAGE(OFFSET($H$3,0,0,'Données projet'!$E$12+1,1))</f>
        <v>277.27246253233807</v>
      </c>
      <c r="CE145" s="62">
        <f t="shared" si="148"/>
        <v>269.61868559913404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230.64911999999936</v>
      </c>
      <c r="CV145" s="14">
        <f t="shared" si="149"/>
        <v>56.423013421666433</v>
      </c>
      <c r="CW145" s="22">
        <f t="shared" si="121"/>
        <v>499.98396570940122</v>
      </c>
      <c r="CX145" s="62">
        <f t="shared" si="122"/>
        <v>793.31729904273448</v>
      </c>
      <c r="CY145" s="62">
        <f ca="1">AVERAGE(OFFSET($CX$3,0,0,'Données projet'!$E$13+1,1))-AVERAGE(OFFSET($H$3,0,0,'Données projet'!$E$13+1,1))</f>
        <v>402.15128814037058</v>
      </c>
      <c r="CZ145" s="62">
        <f t="shared" si="150"/>
        <v>232.85411068442738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-1.1368683772161603E-13</v>
      </c>
      <c r="DP145" s="18">
        <f>DO145*VLOOKUP('Données projet'!$B$14,Paramètres!$A$1:$I$89,3,0)*VLOOKUP('Données projet'!$B$14,Paramètres!$A$1:$I$89,5,0)</f>
        <v>-1.0818439477588981E-13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485.18236169209541</v>
      </c>
      <c r="DU145" s="62">
        <f t="shared" si="152"/>
        <v>417.30339652956951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-3.4106051316484809E-13</v>
      </c>
      <c r="EK145" s="18">
        <f>EJ145*VLOOKUP('Données projet'!$B$15,Paramètres!$A$1:$I$89,3,0)*VLOOKUP('Données projet'!$B$15,Paramètres!$A$1:$I$89,5,0)</f>
        <v>-2.7134774427395314E-13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427.78067187784063</v>
      </c>
      <c r="EP145" s="62">
        <f t="shared" si="154"/>
        <v>464.22892523825118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-1.1368683772161603E-13</v>
      </c>
      <c r="FF145" s="18">
        <f>FE145*VLOOKUP('Données projet'!$B$16,Paramètres!$A$1:$I$89,3,0)*VLOOKUP('Données projet'!$B$16,Paramètres!$A$1:$I$89,5,0)</f>
        <v>-9.7543306765146564E-14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448.44001099301806</v>
      </c>
      <c r="FK145" s="62">
        <f t="shared" si="156"/>
        <v>230.82970731138215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-3.4106051316484809E-13</v>
      </c>
      <c r="GA145" s="18">
        <f>FZ145*VLOOKUP('Données projet'!$B$17,Paramètres!$A$1:$I$89,3,0)*VLOOKUP('Données projet'!$B$17,Paramètres!$A$1:$I$89,5,0)</f>
        <v>-2.2878339223098009E-13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408.91016501484626</v>
      </c>
      <c r="GF145" s="62">
        <f t="shared" si="158"/>
        <v>354.22396807666433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3.5</v>
      </c>
      <c r="GU145" s="13">
        <f>IF('Données projet'!$A$270&gt;35,GU144+GT145-HC144,IF(A145&lt;'Données projet'!$A$270,$GR$205^A145,IF(A145='Données projet'!$A$270,'Données projet'!$B$270,GU144+GT145-HC144)))</f>
        <v>347.99999999999989</v>
      </c>
      <c r="GV145" s="18">
        <f>GU145*VLOOKUP('Données projet'!$B$18,Paramètres!$A$1:$I$89,3,0)*VLOOKUP('Données projet'!$B$18,Paramètres!$A$1:$I$89,5,0)</f>
        <v>336.58559999999989</v>
      </c>
      <c r="GW145" s="14">
        <f t="shared" si="159"/>
        <v>78.794095911992599</v>
      </c>
      <c r="GX145" s="22">
        <f t="shared" si="136"/>
        <v>723.45297038005356</v>
      </c>
      <c r="GY145" s="62">
        <f t="shared" si="137"/>
        <v>1016.7863037133868</v>
      </c>
      <c r="GZ145" s="62">
        <f ca="1">AVERAGE(OFFSET($GY$3,0,0,'Données projet'!$E$18+1,1))-AVERAGE(OFFSET($H$3,0,0,'Données projet'!$E$18+1,1))</f>
        <v>562.69380557620775</v>
      </c>
      <c r="HA145" s="62">
        <f t="shared" si="160"/>
        <v>294.45557293177131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351.49999999999989</v>
      </c>
      <c r="O146" s="14">
        <f>N146*VLOOKUP('Données projet'!$B$9,Paramètres!$A$1:$I$89,3,0)*VLOOKUP('Données projet'!$B$9,Paramètres!$A$1:$I$89,5,0)</f>
        <v>318.03719999999987</v>
      </c>
      <c r="P146" s="14">
        <f t="shared" si="141"/>
        <v>74.944808824911618</v>
      </c>
      <c r="Q146" s="22">
        <f t="shared" si="108"/>
        <v>684.44366537005408</v>
      </c>
      <c r="R146" s="62">
        <f t="shared" si="109"/>
        <v>977.77699870338733</v>
      </c>
      <c r="S146" s="62">
        <f ca="1">AVERAGE(OFFSET($R$3,0,0,'Données projet'!$E$9+1,1))-AVERAGE(OFFSET($H$3,0,0,'Données projet'!$E$9+1,1))</f>
        <v>529.25712986118265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8.8675733422860506E-14</v>
      </c>
      <c r="AK146" s="14">
        <f t="shared" si="143"/>
        <v>1.3509285393066301E-12</v>
      </c>
      <c r="AL146" s="22">
        <f t="shared" si="112"/>
        <v>2.5073107750038623E-12</v>
      </c>
      <c r="AM146" s="62">
        <f t="shared" si="113"/>
        <v>293.33333333333582</v>
      </c>
      <c r="AN146" s="62">
        <f ca="1">AVERAGE(OFFSET($AM$3,0,0,'Données projet'!$E$10+1,1))-AVERAGE(OFFSET($H$3,0,0,'Données projet'!$E$10+1,1))</f>
        <v>292.57482726862594</v>
      </c>
      <c r="AO146" s="62">
        <f t="shared" si="144"/>
        <v>283.48738729114024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-3.4106051316484809E-13</v>
      </c>
      <c r="BE146" s="14">
        <f>BD146*VLOOKUP('Données projet'!$B$11,Paramètres!$A$1:$I$89,3,0)*VLOOKUP('Données projet'!$B$11,Paramètres!$A$1:$I$89,5,0)</f>
        <v>-2.5006556825246659E-13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397.24545766894346</v>
      </c>
      <c r="BJ146" s="62">
        <f t="shared" si="146"/>
        <v>431.44557882369696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2.2737367544323206E-13</v>
      </c>
      <c r="BZ146" s="14">
        <f>BY146*VLOOKUP('Données projet'!$B$12,Paramètres!$A$1:$I$89,3,0)*VLOOKUP('Données projet'!$B$12,Paramètres!$A$1:$I$89,5,0)</f>
        <v>1.4897523215040565E-13</v>
      </c>
      <c r="CA146" s="14">
        <f t="shared" si="147"/>
        <v>2.136562777003313E-12</v>
      </c>
      <c r="CB146" s="22">
        <f t="shared" si="118"/>
        <v>3.9806453659427267E-12</v>
      </c>
      <c r="CC146" s="62">
        <f t="shared" si="119"/>
        <v>293.33333333333729</v>
      </c>
      <c r="CD146" s="62">
        <f ca="1">AVERAGE(OFFSET($CC$3,0,0,'Données projet'!$E$12+1,1))-AVERAGE(OFFSET($H$3,0,0,'Données projet'!$E$12+1,1))</f>
        <v>277.27246253233807</v>
      </c>
      <c r="CE146" s="62">
        <f t="shared" si="148"/>
        <v>269.61868559913404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232.67087999999933</v>
      </c>
      <c r="CV146" s="14">
        <f t="shared" si="149"/>
        <v>56.859799601522155</v>
      </c>
      <c r="CW146" s="22">
        <f t="shared" si="121"/>
        <v>504.26593363931647</v>
      </c>
      <c r="CX146" s="62">
        <f t="shared" si="122"/>
        <v>797.59926697264973</v>
      </c>
      <c r="CY146" s="62">
        <f ca="1">AVERAGE(OFFSET($CX$3,0,0,'Données projet'!$E$13+1,1))-AVERAGE(OFFSET($H$3,0,0,'Données projet'!$E$13+1,1))</f>
        <v>402.15128814037058</v>
      </c>
      <c r="CZ146" s="62">
        <f t="shared" si="150"/>
        <v>232.85411068442738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-1.1368683772161603E-13</v>
      </c>
      <c r="DP146" s="18">
        <f>DO146*VLOOKUP('Données projet'!$B$14,Paramètres!$A$1:$I$89,3,0)*VLOOKUP('Données projet'!$B$14,Paramètres!$A$1:$I$89,5,0)</f>
        <v>-1.0818439477588981E-13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485.18236169209541</v>
      </c>
      <c r="DU146" s="62">
        <f t="shared" si="152"/>
        <v>417.30339652956951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-3.4106051316484809E-13</v>
      </c>
      <c r="EK146" s="18">
        <f>EJ146*VLOOKUP('Données projet'!$B$15,Paramètres!$A$1:$I$89,3,0)*VLOOKUP('Données projet'!$B$15,Paramètres!$A$1:$I$89,5,0)</f>
        <v>-2.7134774427395314E-13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427.78067187784063</v>
      </c>
      <c r="EP146" s="62">
        <f t="shared" si="154"/>
        <v>464.22892523825118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-1.1368683772161603E-13</v>
      </c>
      <c r="FF146" s="18">
        <f>FE146*VLOOKUP('Données projet'!$B$16,Paramètres!$A$1:$I$89,3,0)*VLOOKUP('Données projet'!$B$16,Paramètres!$A$1:$I$89,5,0)</f>
        <v>-9.7543306765146564E-14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448.44001099301806</v>
      </c>
      <c r="FK146" s="62">
        <f t="shared" si="156"/>
        <v>230.82970731138215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-3.4106051316484809E-13</v>
      </c>
      <c r="GA146" s="18">
        <f>FZ146*VLOOKUP('Données projet'!$B$17,Paramètres!$A$1:$I$89,3,0)*VLOOKUP('Données projet'!$B$17,Paramètres!$A$1:$I$89,5,0)</f>
        <v>-2.2878339223098009E-13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408.91016501484626</v>
      </c>
      <c r="GF146" s="62">
        <f t="shared" si="158"/>
        <v>354.22396807666433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3.5</v>
      </c>
      <c r="GU146" s="13">
        <f>IF('Données projet'!$A$270&gt;35,GU145+GT146-HC145,IF(A146&lt;'Données projet'!$A$270,$GR$205^A146,IF(A146='Données projet'!$A$270,'Données projet'!$B$270,GU145+GT146-HC145)))</f>
        <v>351.49999999999989</v>
      </c>
      <c r="GV146" s="18">
        <f>GU146*VLOOKUP('Données projet'!$B$18,Paramètres!$A$1:$I$89,3,0)*VLOOKUP('Données projet'!$B$18,Paramètres!$A$1:$I$89,5,0)</f>
        <v>339.97079999999988</v>
      </c>
      <c r="GW146" s="14">
        <f t="shared" si="159"/>
        <v>79.493913486764498</v>
      </c>
      <c r="GX146" s="22">
        <f t="shared" si="136"/>
        <v>730.5677093227813</v>
      </c>
      <c r="GY146" s="62">
        <f t="shared" si="137"/>
        <v>1023.9010426561147</v>
      </c>
      <c r="GZ146" s="62">
        <f ca="1">AVERAGE(OFFSET($GY$3,0,0,'Données projet'!$E$18+1,1))-AVERAGE(OFFSET($H$3,0,0,'Données projet'!$E$18+1,1))</f>
        <v>562.69380557620775</v>
      </c>
      <c r="HA146" s="62">
        <f t="shared" si="160"/>
        <v>294.45557293177131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354.99999999999989</v>
      </c>
      <c r="O147" s="14">
        <f>N147*VLOOKUP('Données projet'!$B$9,Paramètres!$A$1:$I$89,3,0)*VLOOKUP('Données projet'!$B$9,Paramètres!$A$1:$I$89,5,0)</f>
        <v>321.20399999999989</v>
      </c>
      <c r="P147" s="14">
        <f t="shared" si="141"/>
        <v>75.603814497354989</v>
      </c>
      <c r="Q147" s="22">
        <f t="shared" si="108"/>
        <v>691.10694358289311</v>
      </c>
      <c r="R147" s="62">
        <f t="shared" si="109"/>
        <v>984.44027691622637</v>
      </c>
      <c r="S147" s="62">
        <f ca="1">AVERAGE(OFFSET($R$3,0,0,'Données projet'!$E$9+1,1))-AVERAGE(OFFSET($H$3,0,0,'Données projet'!$E$9+1,1))</f>
        <v>529.25712986118265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8.8675733422860506E-14</v>
      </c>
      <c r="AK147" s="14">
        <f t="shared" si="143"/>
        <v>1.3509285393066301E-12</v>
      </c>
      <c r="AL147" s="22">
        <f t="shared" si="112"/>
        <v>2.5073107750038623E-12</v>
      </c>
      <c r="AM147" s="62">
        <f t="shared" si="113"/>
        <v>293.33333333333582</v>
      </c>
      <c r="AN147" s="62">
        <f ca="1">AVERAGE(OFFSET($AM$3,0,0,'Données projet'!$E$10+1,1))-AVERAGE(OFFSET($H$3,0,0,'Données projet'!$E$10+1,1))</f>
        <v>292.57482726862594</v>
      </c>
      <c r="AO147" s="62">
        <f t="shared" si="144"/>
        <v>283.48738729114024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-3.4106051316484809E-13</v>
      </c>
      <c r="BE147" s="14">
        <f>BD147*VLOOKUP('Données projet'!$B$11,Paramètres!$A$1:$I$89,3,0)*VLOOKUP('Données projet'!$B$11,Paramètres!$A$1:$I$89,5,0)</f>
        <v>-2.5006556825246659E-13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397.24545766894346</v>
      </c>
      <c r="BJ147" s="62">
        <f t="shared" si="146"/>
        <v>431.44557882369696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2.2737367544323206E-13</v>
      </c>
      <c r="BZ147" s="14">
        <f>BY147*VLOOKUP('Données projet'!$B$12,Paramètres!$A$1:$I$89,3,0)*VLOOKUP('Données projet'!$B$12,Paramètres!$A$1:$I$89,5,0)</f>
        <v>1.4897523215040565E-13</v>
      </c>
      <c r="CA147" s="14">
        <f t="shared" si="147"/>
        <v>2.136562777003313E-12</v>
      </c>
      <c r="CB147" s="22">
        <f t="shared" si="118"/>
        <v>3.9806453659427267E-12</v>
      </c>
      <c r="CC147" s="62">
        <f t="shared" si="119"/>
        <v>293.33333333333729</v>
      </c>
      <c r="CD147" s="62">
        <f ca="1">AVERAGE(OFFSET($CC$3,0,0,'Données projet'!$E$12+1,1))-AVERAGE(OFFSET($H$3,0,0,'Données projet'!$E$12+1,1))</f>
        <v>277.27246253233807</v>
      </c>
      <c r="CE147" s="62">
        <f t="shared" si="148"/>
        <v>269.61868559913404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234.69263999999933</v>
      </c>
      <c r="CV147" s="14">
        <f t="shared" si="149"/>
        <v>57.296144215400361</v>
      </c>
      <c r="CW147" s="22">
        <f t="shared" si="121"/>
        <v>508.54713250848772</v>
      </c>
      <c r="CX147" s="62">
        <f t="shared" si="122"/>
        <v>801.88046584182098</v>
      </c>
      <c r="CY147" s="62">
        <f ca="1">AVERAGE(OFFSET($CX$3,0,0,'Données projet'!$E$13+1,1))-AVERAGE(OFFSET($H$3,0,0,'Données projet'!$E$13+1,1))</f>
        <v>402.15128814037058</v>
      </c>
      <c r="CZ147" s="62">
        <f t="shared" si="150"/>
        <v>232.85411068442738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-1.1368683772161603E-13</v>
      </c>
      <c r="DP147" s="18">
        <f>DO147*VLOOKUP('Données projet'!$B$14,Paramètres!$A$1:$I$89,3,0)*VLOOKUP('Données projet'!$B$14,Paramètres!$A$1:$I$89,5,0)</f>
        <v>-1.0818439477588981E-13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485.18236169209541</v>
      </c>
      <c r="DU147" s="62">
        <f t="shared" si="152"/>
        <v>417.30339652956951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-3.4106051316484809E-13</v>
      </c>
      <c r="EK147" s="18">
        <f>EJ147*VLOOKUP('Données projet'!$B$15,Paramètres!$A$1:$I$89,3,0)*VLOOKUP('Données projet'!$B$15,Paramètres!$A$1:$I$89,5,0)</f>
        <v>-2.7134774427395314E-13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427.78067187784063</v>
      </c>
      <c r="EP147" s="62">
        <f t="shared" si="154"/>
        <v>464.22892523825118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-1.1368683772161603E-13</v>
      </c>
      <c r="FF147" s="18">
        <f>FE147*VLOOKUP('Données projet'!$B$16,Paramètres!$A$1:$I$89,3,0)*VLOOKUP('Données projet'!$B$16,Paramètres!$A$1:$I$89,5,0)</f>
        <v>-9.7543306765146564E-14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448.44001099301806</v>
      </c>
      <c r="FK147" s="62">
        <f t="shared" si="156"/>
        <v>230.82970731138215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-3.4106051316484809E-13</v>
      </c>
      <c r="GA147" s="18">
        <f>FZ147*VLOOKUP('Données projet'!$B$17,Paramètres!$A$1:$I$89,3,0)*VLOOKUP('Données projet'!$B$17,Paramètres!$A$1:$I$89,5,0)</f>
        <v>-2.2878339223098009E-13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408.91016501484626</v>
      </c>
      <c r="GF147" s="62">
        <f t="shared" si="158"/>
        <v>354.22396807666433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3.5</v>
      </c>
      <c r="GU147" s="13">
        <f>IF('Données projet'!$A$270&gt;35,GU146+GT147-HC146,IF(A147&lt;'Données projet'!$A$270,$GR$205^A147,IF(A147='Données projet'!$A$270,'Données projet'!$B$270,GU146+GT147-HC146)))</f>
        <v>354.99999999999989</v>
      </c>
      <c r="GV147" s="18">
        <f>GU147*VLOOKUP('Données projet'!$B$18,Paramètres!$A$1:$I$89,3,0)*VLOOKUP('Données projet'!$B$18,Paramètres!$A$1:$I$89,5,0)</f>
        <v>343.35599999999994</v>
      </c>
      <c r="GW147" s="14">
        <f t="shared" si="159"/>
        <v>80.192920405774515</v>
      </c>
      <c r="GX147" s="22">
        <f t="shared" si="136"/>
        <v>737.68103637339038</v>
      </c>
      <c r="GY147" s="62">
        <f t="shared" si="137"/>
        <v>1031.0143697067238</v>
      </c>
      <c r="GZ147" s="62">
        <f ca="1">AVERAGE(OFFSET($GY$3,0,0,'Données projet'!$E$18+1,1))-AVERAGE(OFFSET($H$3,0,0,'Données projet'!$E$18+1,1))</f>
        <v>562.69380557620775</v>
      </c>
      <c r="HA147" s="62">
        <f t="shared" si="160"/>
        <v>294.45557293177131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358.49999999999989</v>
      </c>
      <c r="O148" s="14">
        <f>N148*VLOOKUP('Données projet'!$B$9,Paramètres!$A$1:$I$89,3,0)*VLOOKUP('Données projet'!$B$9,Paramètres!$A$1:$I$89,5,0)</f>
        <v>324.37079999999986</v>
      </c>
      <c r="P148" s="14">
        <f t="shared" si="141"/>
        <v>76.262064312013905</v>
      </c>
      <c r="Q148" s="22">
        <f t="shared" si="108"/>
        <v>697.76890534342408</v>
      </c>
      <c r="R148" s="62">
        <f t="shared" si="109"/>
        <v>991.10223867675745</v>
      </c>
      <c r="S148" s="62">
        <f ca="1">AVERAGE(OFFSET($R$3,0,0,'Données projet'!$E$9+1,1))-AVERAGE(OFFSET($H$3,0,0,'Données projet'!$E$9+1,1))</f>
        <v>529.25712986118265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8.8675733422860506E-14</v>
      </c>
      <c r="AK148" s="14">
        <f t="shared" si="143"/>
        <v>1.3509285393066301E-12</v>
      </c>
      <c r="AL148" s="22">
        <f t="shared" si="112"/>
        <v>2.5073107750038623E-12</v>
      </c>
      <c r="AM148" s="62">
        <f t="shared" si="113"/>
        <v>293.33333333333582</v>
      </c>
      <c r="AN148" s="62">
        <f ca="1">AVERAGE(OFFSET($AM$3,0,0,'Données projet'!$E$10+1,1))-AVERAGE(OFFSET($H$3,0,0,'Données projet'!$E$10+1,1))</f>
        <v>292.57482726862594</v>
      </c>
      <c r="AO148" s="62">
        <f t="shared" si="144"/>
        <v>283.48738729114024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-3.4106051316484809E-13</v>
      </c>
      <c r="BE148" s="14">
        <f>BD148*VLOOKUP('Données projet'!$B$11,Paramètres!$A$1:$I$89,3,0)*VLOOKUP('Données projet'!$B$11,Paramètres!$A$1:$I$89,5,0)</f>
        <v>-2.5006556825246659E-13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397.24545766894346</v>
      </c>
      <c r="BJ148" s="62">
        <f t="shared" si="146"/>
        <v>431.44557882369696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2.2737367544323206E-13</v>
      </c>
      <c r="BZ148" s="14">
        <f>BY148*VLOOKUP('Données projet'!$B$12,Paramètres!$A$1:$I$89,3,0)*VLOOKUP('Données projet'!$B$12,Paramètres!$A$1:$I$89,5,0)</f>
        <v>1.4897523215040565E-13</v>
      </c>
      <c r="CA148" s="14">
        <f t="shared" si="147"/>
        <v>2.136562777003313E-12</v>
      </c>
      <c r="CB148" s="22">
        <f t="shared" si="118"/>
        <v>3.9806453659427267E-12</v>
      </c>
      <c r="CC148" s="62">
        <f t="shared" si="119"/>
        <v>293.33333333333729</v>
      </c>
      <c r="CD148" s="62">
        <f ca="1">AVERAGE(OFFSET($CC$3,0,0,'Données projet'!$E$12+1,1))-AVERAGE(OFFSET($H$3,0,0,'Données projet'!$E$12+1,1))</f>
        <v>277.27246253233807</v>
      </c>
      <c r="CE148" s="62">
        <f t="shared" si="148"/>
        <v>269.61868559913404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236.7143999999993</v>
      </c>
      <c r="CV148" s="14">
        <f t="shared" si="149"/>
        <v>57.732051507919145</v>
      </c>
      <c r="CW148" s="22">
        <f t="shared" si="121"/>
        <v>512.82756970962453</v>
      </c>
      <c r="CX148" s="62">
        <f t="shared" si="122"/>
        <v>806.1609030429579</v>
      </c>
      <c r="CY148" s="62">
        <f ca="1">AVERAGE(OFFSET($CX$3,0,0,'Données projet'!$E$13+1,1))-AVERAGE(OFFSET($H$3,0,0,'Données projet'!$E$13+1,1))</f>
        <v>402.15128814037058</v>
      </c>
      <c r="CZ148" s="62">
        <f t="shared" si="150"/>
        <v>232.85411068442738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-1.1368683772161603E-13</v>
      </c>
      <c r="DP148" s="18">
        <f>DO148*VLOOKUP('Données projet'!$B$14,Paramètres!$A$1:$I$89,3,0)*VLOOKUP('Données projet'!$B$14,Paramètres!$A$1:$I$89,5,0)</f>
        <v>-1.0818439477588981E-13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485.18236169209541</v>
      </c>
      <c r="DU148" s="62">
        <f t="shared" si="152"/>
        <v>417.30339652956951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-3.4106051316484809E-13</v>
      </c>
      <c r="EK148" s="18">
        <f>EJ148*VLOOKUP('Données projet'!$B$15,Paramètres!$A$1:$I$89,3,0)*VLOOKUP('Données projet'!$B$15,Paramètres!$A$1:$I$89,5,0)</f>
        <v>-2.7134774427395314E-13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427.78067187784063</v>
      </c>
      <c r="EP148" s="62">
        <f t="shared" si="154"/>
        <v>464.22892523825118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-1.1368683772161603E-13</v>
      </c>
      <c r="FF148" s="18">
        <f>FE148*VLOOKUP('Données projet'!$B$16,Paramètres!$A$1:$I$89,3,0)*VLOOKUP('Données projet'!$B$16,Paramètres!$A$1:$I$89,5,0)</f>
        <v>-9.7543306765146564E-14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448.44001099301806</v>
      </c>
      <c r="FK148" s="62">
        <f t="shared" si="156"/>
        <v>230.82970731138215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-3.4106051316484809E-13</v>
      </c>
      <c r="GA148" s="18">
        <f>FZ148*VLOOKUP('Données projet'!$B$17,Paramètres!$A$1:$I$89,3,0)*VLOOKUP('Données projet'!$B$17,Paramètres!$A$1:$I$89,5,0)</f>
        <v>-2.2878339223098009E-13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408.91016501484626</v>
      </c>
      <c r="GF148" s="62">
        <f t="shared" si="158"/>
        <v>354.22396807666433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3.5</v>
      </c>
      <c r="GU148" s="13">
        <f>IF('Données projet'!$A$270&gt;35,GU147+GT148-HC147,IF(A148&lt;'Données projet'!$A$270,$GR$205^A148,IF(A148='Données projet'!$A$270,'Données projet'!$B$270,GU147+GT148-HC147)))</f>
        <v>358.49999999999989</v>
      </c>
      <c r="GV148" s="18">
        <f>GU148*VLOOKUP('Données projet'!$B$18,Paramètres!$A$1:$I$89,3,0)*VLOOKUP('Données projet'!$B$18,Paramètres!$A$1:$I$89,5,0)</f>
        <v>346.74119999999988</v>
      </c>
      <c r="GW148" s="14">
        <f t="shared" si="159"/>
        <v>80.891125586888961</v>
      </c>
      <c r="GX148" s="22">
        <f t="shared" si="136"/>
        <v>744.79296706383138</v>
      </c>
      <c r="GY148" s="62">
        <f t="shared" si="137"/>
        <v>1038.1263003971646</v>
      </c>
      <c r="GZ148" s="62">
        <f ca="1">AVERAGE(OFFSET($GY$3,0,0,'Données projet'!$E$18+1,1))-AVERAGE(OFFSET($H$3,0,0,'Données projet'!$E$18+1,1))</f>
        <v>562.69380557620775</v>
      </c>
      <c r="HA148" s="62">
        <f t="shared" si="160"/>
        <v>294.45557293177131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361.99999999999989</v>
      </c>
      <c r="O149" s="14">
        <f>N149*VLOOKUP('Données projet'!$B$9,Paramètres!$A$1:$I$89,3,0)*VLOOKUP('Données projet'!$B$9,Paramètres!$A$1:$I$89,5,0)</f>
        <v>327.53759999999988</v>
      </c>
      <c r="P149" s="14">
        <f t="shared" si="141"/>
        <v>76.919566502794808</v>
      </c>
      <c r="Q149" s="22">
        <f t="shared" si="108"/>
        <v>704.42956499236743</v>
      </c>
      <c r="R149" s="62">
        <f t="shared" si="109"/>
        <v>997.76289832570069</v>
      </c>
      <c r="S149" s="62">
        <f ca="1">AVERAGE(OFFSET($R$3,0,0,'Données projet'!$E$9+1,1))-AVERAGE(OFFSET($H$3,0,0,'Données projet'!$E$9+1,1))</f>
        <v>529.25712986118265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8.8675733422860506E-14</v>
      </c>
      <c r="AK149" s="14">
        <f t="shared" si="143"/>
        <v>1.3509285393066301E-12</v>
      </c>
      <c r="AL149" s="22">
        <f t="shared" si="112"/>
        <v>2.5073107750038623E-12</v>
      </c>
      <c r="AM149" s="62">
        <f t="shared" si="113"/>
        <v>293.33333333333582</v>
      </c>
      <c r="AN149" s="62">
        <f ca="1">AVERAGE(OFFSET($AM$3,0,0,'Données projet'!$E$10+1,1))-AVERAGE(OFFSET($H$3,0,0,'Données projet'!$E$10+1,1))</f>
        <v>292.57482726862594</v>
      </c>
      <c r="AO149" s="62">
        <f t="shared" si="144"/>
        <v>283.48738729114024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-3.4106051316484809E-13</v>
      </c>
      <c r="BE149" s="14">
        <f>BD149*VLOOKUP('Données projet'!$B$11,Paramètres!$A$1:$I$89,3,0)*VLOOKUP('Données projet'!$B$11,Paramètres!$A$1:$I$89,5,0)</f>
        <v>-2.5006556825246659E-13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397.24545766894346</v>
      </c>
      <c r="BJ149" s="62">
        <f t="shared" si="146"/>
        <v>431.44557882369696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2.2737367544323206E-13</v>
      </c>
      <c r="BZ149" s="14">
        <f>BY149*VLOOKUP('Données projet'!$B$12,Paramètres!$A$1:$I$89,3,0)*VLOOKUP('Données projet'!$B$12,Paramètres!$A$1:$I$89,5,0)</f>
        <v>1.4897523215040565E-13</v>
      </c>
      <c r="CA149" s="14">
        <f t="shared" si="147"/>
        <v>2.136562777003313E-12</v>
      </c>
      <c r="CB149" s="22">
        <f t="shared" si="118"/>
        <v>3.9806453659427267E-12</v>
      </c>
      <c r="CC149" s="62">
        <f t="shared" si="119"/>
        <v>293.33333333333729</v>
      </c>
      <c r="CD149" s="62">
        <f ca="1">AVERAGE(OFFSET($CC$3,0,0,'Données projet'!$E$12+1,1))-AVERAGE(OFFSET($H$3,0,0,'Données projet'!$E$12+1,1))</f>
        <v>277.27246253233807</v>
      </c>
      <c r="CE149" s="62">
        <f t="shared" si="148"/>
        <v>269.61868559913404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238.7361599999993</v>
      </c>
      <c r="CV149" s="14">
        <f t="shared" si="149"/>
        <v>58.167525647006187</v>
      </c>
      <c r="CW149" s="22">
        <f t="shared" si="121"/>
        <v>517.10725250186795</v>
      </c>
      <c r="CX149" s="62">
        <f t="shared" si="122"/>
        <v>810.44058583520132</v>
      </c>
      <c r="CY149" s="62">
        <f ca="1">AVERAGE(OFFSET($CX$3,0,0,'Données projet'!$E$13+1,1))-AVERAGE(OFFSET($H$3,0,0,'Données projet'!$E$13+1,1))</f>
        <v>402.15128814037058</v>
      </c>
      <c r="CZ149" s="62">
        <f t="shared" si="150"/>
        <v>232.85411068442738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-1.1368683772161603E-13</v>
      </c>
      <c r="DP149" s="18">
        <f>DO149*VLOOKUP('Données projet'!$B$14,Paramètres!$A$1:$I$89,3,0)*VLOOKUP('Données projet'!$B$14,Paramètres!$A$1:$I$89,5,0)</f>
        <v>-1.0818439477588981E-13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485.18236169209541</v>
      </c>
      <c r="DU149" s="62">
        <f t="shared" si="152"/>
        <v>417.30339652956951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-3.4106051316484809E-13</v>
      </c>
      <c r="EK149" s="18">
        <f>EJ149*VLOOKUP('Données projet'!$B$15,Paramètres!$A$1:$I$89,3,0)*VLOOKUP('Données projet'!$B$15,Paramètres!$A$1:$I$89,5,0)</f>
        <v>-2.7134774427395314E-13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427.78067187784063</v>
      </c>
      <c r="EP149" s="62">
        <f t="shared" si="154"/>
        <v>464.22892523825118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-1.1368683772161603E-13</v>
      </c>
      <c r="FF149" s="18">
        <f>FE149*VLOOKUP('Données projet'!$B$16,Paramètres!$A$1:$I$89,3,0)*VLOOKUP('Données projet'!$B$16,Paramètres!$A$1:$I$89,5,0)</f>
        <v>-9.7543306765146564E-14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448.44001099301806</v>
      </c>
      <c r="FK149" s="62">
        <f t="shared" si="156"/>
        <v>230.82970731138215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-3.4106051316484809E-13</v>
      </c>
      <c r="GA149" s="18">
        <f>FZ149*VLOOKUP('Données projet'!$B$17,Paramètres!$A$1:$I$89,3,0)*VLOOKUP('Données projet'!$B$17,Paramètres!$A$1:$I$89,5,0)</f>
        <v>-2.2878339223098009E-13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408.91016501484626</v>
      </c>
      <c r="GF149" s="62">
        <f t="shared" si="158"/>
        <v>354.22396807666433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3.5</v>
      </c>
      <c r="GU149" s="13">
        <f>IF('Données projet'!$A$270&gt;35,GU148+GT149-HC148,IF(A149&lt;'Données projet'!$A$270,$GR$205^A149,IF(A149='Données projet'!$A$270,'Données projet'!$B$270,GU148+GT149-HC148)))</f>
        <v>361.99999999999989</v>
      </c>
      <c r="GV149" s="18">
        <f>GU149*VLOOKUP('Données projet'!$B$18,Paramètres!$A$1:$I$89,3,0)*VLOOKUP('Données projet'!$B$18,Paramètres!$A$1:$I$89,5,0)</f>
        <v>350.12639999999993</v>
      </c>
      <c r="GW149" s="14">
        <f t="shared" si="159"/>
        <v>81.588537763807025</v>
      </c>
      <c r="GX149" s="22">
        <f t="shared" si="136"/>
        <v>751.90351660529711</v>
      </c>
      <c r="GY149" s="62">
        <f t="shared" si="137"/>
        <v>1045.2368499386305</v>
      </c>
      <c r="GZ149" s="62">
        <f ca="1">AVERAGE(OFFSET($GY$3,0,0,'Données projet'!$E$18+1,1))-AVERAGE(OFFSET($H$3,0,0,'Données projet'!$E$18+1,1))</f>
        <v>562.69380557620775</v>
      </c>
      <c r="HA149" s="62">
        <f t="shared" si="160"/>
        <v>294.45557293177131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365.49999999999989</v>
      </c>
      <c r="O150" s="14">
        <f>N150*VLOOKUP('Données projet'!$B$9,Paramètres!$A$1:$I$89,3,0)*VLOOKUP('Données projet'!$B$9,Paramètres!$A$1:$I$89,5,0)</f>
        <v>330.70439999999991</v>
      </c>
      <c r="P150" s="14">
        <f t="shared" si="141"/>
        <v>77.576329135205029</v>
      </c>
      <c r="Q150" s="22">
        <f t="shared" si="108"/>
        <v>711.08893657714862</v>
      </c>
      <c r="R150" s="62">
        <f t="shared" si="109"/>
        <v>1004.4222699104819</v>
      </c>
      <c r="S150" s="62">
        <f ca="1">AVERAGE(OFFSET($R$3,0,0,'Données projet'!$E$9+1,1))-AVERAGE(OFFSET($H$3,0,0,'Données projet'!$E$9+1,1))</f>
        <v>529.25712986118265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8.8675733422860506E-14</v>
      </c>
      <c r="AK150" s="14">
        <f t="shared" si="143"/>
        <v>1.3509285393066301E-12</v>
      </c>
      <c r="AL150" s="22">
        <f t="shared" si="112"/>
        <v>2.5073107750038623E-12</v>
      </c>
      <c r="AM150" s="62">
        <f t="shared" si="113"/>
        <v>293.33333333333582</v>
      </c>
      <c r="AN150" s="62">
        <f ca="1">AVERAGE(OFFSET($AM$3,0,0,'Données projet'!$E$10+1,1))-AVERAGE(OFFSET($H$3,0,0,'Données projet'!$E$10+1,1))</f>
        <v>292.57482726862594</v>
      </c>
      <c r="AO150" s="62">
        <f t="shared" si="144"/>
        <v>283.48738729114024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-3.4106051316484809E-13</v>
      </c>
      <c r="BE150" s="14">
        <f>BD150*VLOOKUP('Données projet'!$B$11,Paramètres!$A$1:$I$89,3,0)*VLOOKUP('Données projet'!$B$11,Paramètres!$A$1:$I$89,5,0)</f>
        <v>-2.5006556825246659E-13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397.24545766894346</v>
      </c>
      <c r="BJ150" s="62">
        <f t="shared" si="146"/>
        <v>431.44557882369696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2.2737367544323206E-13</v>
      </c>
      <c r="BZ150" s="14">
        <f>BY150*VLOOKUP('Données projet'!$B$12,Paramètres!$A$1:$I$89,3,0)*VLOOKUP('Données projet'!$B$12,Paramètres!$A$1:$I$89,5,0)</f>
        <v>1.4897523215040565E-13</v>
      </c>
      <c r="CA150" s="14">
        <f t="shared" si="147"/>
        <v>2.136562777003313E-12</v>
      </c>
      <c r="CB150" s="22">
        <f t="shared" si="118"/>
        <v>3.9806453659427267E-12</v>
      </c>
      <c r="CC150" s="62">
        <f t="shared" si="119"/>
        <v>293.33333333333729</v>
      </c>
      <c r="CD150" s="62">
        <f ca="1">AVERAGE(OFFSET($CC$3,0,0,'Données projet'!$E$12+1,1))-AVERAGE(OFFSET($H$3,0,0,'Données projet'!$E$12+1,1))</f>
        <v>277.27246253233807</v>
      </c>
      <c r="CE150" s="62">
        <f t="shared" si="148"/>
        <v>269.61868559913404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240.7579199999993</v>
      </c>
      <c r="CV150" s="14">
        <f t="shared" si="149"/>
        <v>58.602570725922028</v>
      </c>
      <c r="CW150" s="22">
        <f t="shared" si="121"/>
        <v>521.38618801431301</v>
      </c>
      <c r="CX150" s="62">
        <f t="shared" si="122"/>
        <v>814.71952134764638</v>
      </c>
      <c r="CY150" s="62">
        <f ca="1">AVERAGE(OFFSET($CX$3,0,0,'Données projet'!$E$13+1,1))-AVERAGE(OFFSET($H$3,0,0,'Données projet'!$E$13+1,1))</f>
        <v>402.15128814037058</v>
      </c>
      <c r="CZ150" s="62">
        <f t="shared" si="150"/>
        <v>232.85411068442738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-1.1368683772161603E-13</v>
      </c>
      <c r="DP150" s="18">
        <f>DO150*VLOOKUP('Données projet'!$B$14,Paramètres!$A$1:$I$89,3,0)*VLOOKUP('Données projet'!$B$14,Paramètres!$A$1:$I$89,5,0)</f>
        <v>-1.0818439477588981E-13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485.18236169209541</v>
      </c>
      <c r="DU150" s="62">
        <f t="shared" si="152"/>
        <v>417.30339652956951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-3.4106051316484809E-13</v>
      </c>
      <c r="EK150" s="18">
        <f>EJ150*VLOOKUP('Données projet'!$B$15,Paramètres!$A$1:$I$89,3,0)*VLOOKUP('Données projet'!$B$15,Paramètres!$A$1:$I$89,5,0)</f>
        <v>-2.7134774427395314E-13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427.78067187784063</v>
      </c>
      <c r="EP150" s="62">
        <f t="shared" si="154"/>
        <v>464.22892523825118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-1.1368683772161603E-13</v>
      </c>
      <c r="FF150" s="18">
        <f>FE150*VLOOKUP('Données projet'!$B$16,Paramètres!$A$1:$I$89,3,0)*VLOOKUP('Données projet'!$B$16,Paramètres!$A$1:$I$89,5,0)</f>
        <v>-9.7543306765146564E-14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448.44001099301806</v>
      </c>
      <c r="FK150" s="62">
        <f t="shared" si="156"/>
        <v>230.82970731138215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-3.4106051316484809E-13</v>
      </c>
      <c r="GA150" s="18">
        <f>FZ150*VLOOKUP('Données projet'!$B$17,Paramètres!$A$1:$I$89,3,0)*VLOOKUP('Données projet'!$B$17,Paramètres!$A$1:$I$89,5,0)</f>
        <v>-2.2878339223098009E-13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408.91016501484626</v>
      </c>
      <c r="GF150" s="62">
        <f t="shared" si="158"/>
        <v>354.22396807666433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3.5</v>
      </c>
      <c r="GU150" s="13">
        <f>IF('Données projet'!$A$270&gt;35,GU149+GT150-HC149,IF(A150&lt;'Données projet'!$A$270,$GR$205^A150,IF(A150='Données projet'!$A$270,'Données projet'!$B$270,GU149+GT150-HC149)))</f>
        <v>365.49999999999989</v>
      </c>
      <c r="GV150" s="18">
        <f>GU150*VLOOKUP('Données projet'!$B$18,Paramètres!$A$1:$I$89,3,0)*VLOOKUP('Données projet'!$B$18,Paramètres!$A$1:$I$89,5,0)</f>
        <v>353.51159999999987</v>
      </c>
      <c r="GW150" s="14">
        <f t="shared" si="159"/>
        <v>82.285165491607756</v>
      </c>
      <c r="GX150" s="22">
        <f t="shared" si="136"/>
        <v>759.01269989788318</v>
      </c>
      <c r="GY150" s="62">
        <f t="shared" si="137"/>
        <v>1052.3460332312166</v>
      </c>
      <c r="GZ150" s="62">
        <f ca="1">AVERAGE(OFFSET($GY$3,0,0,'Données projet'!$E$18+1,1))-AVERAGE(OFFSET($H$3,0,0,'Données projet'!$E$18+1,1))</f>
        <v>562.69380557620775</v>
      </c>
      <c r="HA150" s="62">
        <f t="shared" si="160"/>
        <v>294.45557293177131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368.99999999999989</v>
      </c>
      <c r="O151" s="14">
        <f>N151*VLOOKUP('Données projet'!$B$9,Paramètres!$A$1:$I$89,3,0)*VLOOKUP('Données projet'!$B$9,Paramètres!$A$1:$I$89,5,0)</f>
        <v>333.87119999999987</v>
      </c>
      <c r="P151" s="14">
        <f t="shared" si="141"/>
        <v>78.232360111376309</v>
      </c>
      <c r="Q151" s="22">
        <f t="shared" si="108"/>
        <v>717.74703386064687</v>
      </c>
      <c r="R151" s="62">
        <f t="shared" si="109"/>
        <v>1011.0803671939802</v>
      </c>
      <c r="S151" s="62">
        <f ca="1">AVERAGE(OFFSET($R$3,0,0,'Données projet'!$E$9+1,1))-AVERAGE(OFFSET($H$3,0,0,'Données projet'!$E$9+1,1))</f>
        <v>529.25712986118265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8.8675733422860506E-14</v>
      </c>
      <c r="AK151" s="14">
        <f t="shared" si="143"/>
        <v>1.3509285393066301E-12</v>
      </c>
      <c r="AL151" s="22">
        <f t="shared" si="112"/>
        <v>2.5073107750038623E-12</v>
      </c>
      <c r="AM151" s="62">
        <f t="shared" si="113"/>
        <v>293.33333333333582</v>
      </c>
      <c r="AN151" s="62">
        <f ca="1">AVERAGE(OFFSET($AM$3,0,0,'Données projet'!$E$10+1,1))-AVERAGE(OFFSET($H$3,0,0,'Données projet'!$E$10+1,1))</f>
        <v>292.57482726862594</v>
      </c>
      <c r="AO151" s="62">
        <f t="shared" si="144"/>
        <v>283.48738729114024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-3.4106051316484809E-13</v>
      </c>
      <c r="BE151" s="14">
        <f>BD151*VLOOKUP('Données projet'!$B$11,Paramètres!$A$1:$I$89,3,0)*VLOOKUP('Données projet'!$B$11,Paramètres!$A$1:$I$89,5,0)</f>
        <v>-2.5006556825246659E-13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397.24545766894346</v>
      </c>
      <c r="BJ151" s="62">
        <f t="shared" si="146"/>
        <v>431.44557882369696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2.2737367544323206E-13</v>
      </c>
      <c r="BZ151" s="14">
        <f>BY151*VLOOKUP('Données projet'!$B$12,Paramètres!$A$1:$I$89,3,0)*VLOOKUP('Données projet'!$B$12,Paramètres!$A$1:$I$89,5,0)</f>
        <v>1.4897523215040565E-13</v>
      </c>
      <c r="CA151" s="14">
        <f t="shared" si="147"/>
        <v>2.136562777003313E-12</v>
      </c>
      <c r="CB151" s="22">
        <f t="shared" si="118"/>
        <v>3.9806453659427267E-12</v>
      </c>
      <c r="CC151" s="62">
        <f t="shared" si="119"/>
        <v>293.33333333333729</v>
      </c>
      <c r="CD151" s="62">
        <f ca="1">AVERAGE(OFFSET($CC$3,0,0,'Données projet'!$E$12+1,1))-AVERAGE(OFFSET($H$3,0,0,'Données projet'!$E$12+1,1))</f>
        <v>277.27246253233807</v>
      </c>
      <c r="CE151" s="62">
        <f t="shared" si="148"/>
        <v>269.61868559913404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242.77967999999925</v>
      </c>
      <c r="CV151" s="14">
        <f t="shared" si="149"/>
        <v>59.0371907652126</v>
      </c>
      <c r="CW151" s="22">
        <f t="shared" si="121"/>
        <v>525.66438324941055</v>
      </c>
      <c r="CX151" s="62">
        <f t="shared" si="122"/>
        <v>818.99771658274381</v>
      </c>
      <c r="CY151" s="62">
        <f ca="1">AVERAGE(OFFSET($CX$3,0,0,'Données projet'!$E$13+1,1))-AVERAGE(OFFSET($H$3,0,0,'Données projet'!$E$13+1,1))</f>
        <v>402.15128814037058</v>
      </c>
      <c r="CZ151" s="62">
        <f t="shared" si="150"/>
        <v>232.85411068442738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-1.1368683772161603E-13</v>
      </c>
      <c r="DP151" s="18">
        <f>DO151*VLOOKUP('Données projet'!$B$14,Paramètres!$A$1:$I$89,3,0)*VLOOKUP('Données projet'!$B$14,Paramètres!$A$1:$I$89,5,0)</f>
        <v>-1.0818439477588981E-13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485.18236169209541</v>
      </c>
      <c r="DU151" s="62">
        <f t="shared" si="152"/>
        <v>417.30339652956951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-3.4106051316484809E-13</v>
      </c>
      <c r="EK151" s="18">
        <f>EJ151*VLOOKUP('Données projet'!$B$15,Paramètres!$A$1:$I$89,3,0)*VLOOKUP('Données projet'!$B$15,Paramètres!$A$1:$I$89,5,0)</f>
        <v>-2.7134774427395314E-13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427.78067187784063</v>
      </c>
      <c r="EP151" s="62">
        <f t="shared" si="154"/>
        <v>464.22892523825118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-1.1368683772161603E-13</v>
      </c>
      <c r="FF151" s="18">
        <f>FE151*VLOOKUP('Données projet'!$B$16,Paramètres!$A$1:$I$89,3,0)*VLOOKUP('Données projet'!$B$16,Paramètres!$A$1:$I$89,5,0)</f>
        <v>-9.7543306765146564E-14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448.44001099301806</v>
      </c>
      <c r="FK151" s="62">
        <f t="shared" si="156"/>
        <v>230.82970731138215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-3.4106051316484809E-13</v>
      </c>
      <c r="GA151" s="18">
        <f>FZ151*VLOOKUP('Données projet'!$B$17,Paramètres!$A$1:$I$89,3,0)*VLOOKUP('Données projet'!$B$17,Paramètres!$A$1:$I$89,5,0)</f>
        <v>-2.2878339223098009E-13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408.91016501484626</v>
      </c>
      <c r="GF151" s="62">
        <f t="shared" si="158"/>
        <v>354.22396807666433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3.5</v>
      </c>
      <c r="GU151" s="13">
        <f>IF('Données projet'!$A$270&gt;35,GU150+GT151-HC150,IF(A151&lt;'Données projet'!$A$270,$GR$205^A151,IF(A151='Données projet'!$A$270,'Données projet'!$B$270,GU150+GT151-HC150)))</f>
        <v>368.99999999999989</v>
      </c>
      <c r="GV151" s="18">
        <f>GU151*VLOOKUP('Données projet'!$B$18,Paramètres!$A$1:$I$89,3,0)*VLOOKUP('Données projet'!$B$18,Paramètres!$A$1:$I$89,5,0)</f>
        <v>356.89679999999987</v>
      </c>
      <c r="GW151" s="14">
        <f t="shared" si="159"/>
        <v>82.981017152077499</v>
      </c>
      <c r="GX151" s="22">
        <f t="shared" si="136"/>
        <v>766.12053153986801</v>
      </c>
      <c r="GY151" s="62">
        <f t="shared" si="137"/>
        <v>1059.4538648732014</v>
      </c>
      <c r="GZ151" s="62">
        <f ca="1">AVERAGE(OFFSET($GY$3,0,0,'Données projet'!$E$18+1,1))-AVERAGE(OFFSET($H$3,0,0,'Données projet'!$E$18+1,1))</f>
        <v>562.69380557620775</v>
      </c>
      <c r="HA151" s="62">
        <f t="shared" si="160"/>
        <v>294.45557293177131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372.49999999999989</v>
      </c>
      <c r="O152" s="14">
        <f>N152*VLOOKUP('Données projet'!$B$9,Paramètres!$A$1:$I$89,3,0)*VLOOKUP('Données projet'!$B$9,Paramètres!$A$1:$I$89,5,0)</f>
        <v>337.0379999999999</v>
      </c>
      <c r="P152" s="14">
        <f t="shared" si="141"/>
        <v>78.887667174891362</v>
      </c>
      <c r="Q152" s="22">
        <f t="shared" si="108"/>
        <v>724.40387032960223</v>
      </c>
      <c r="R152" s="62">
        <f t="shared" si="109"/>
        <v>1017.7372036629356</v>
      </c>
      <c r="S152" s="62">
        <f ca="1">AVERAGE(OFFSET($R$3,0,0,'Données projet'!$E$9+1,1))-AVERAGE(OFFSET($H$3,0,0,'Données projet'!$E$9+1,1))</f>
        <v>529.25712986118265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8.8675733422860506E-14</v>
      </c>
      <c r="AK152" s="14">
        <f t="shared" si="143"/>
        <v>1.3509285393066301E-12</v>
      </c>
      <c r="AL152" s="22">
        <f t="shared" si="112"/>
        <v>2.5073107750038623E-12</v>
      </c>
      <c r="AM152" s="62">
        <f t="shared" si="113"/>
        <v>293.33333333333582</v>
      </c>
      <c r="AN152" s="62">
        <f ca="1">AVERAGE(OFFSET($AM$3,0,0,'Données projet'!$E$10+1,1))-AVERAGE(OFFSET($H$3,0,0,'Données projet'!$E$10+1,1))</f>
        <v>292.57482726862594</v>
      </c>
      <c r="AO152" s="62">
        <f t="shared" si="144"/>
        <v>283.48738729114024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-3.4106051316484809E-13</v>
      </c>
      <c r="BE152" s="14">
        <f>BD152*VLOOKUP('Données projet'!$B$11,Paramètres!$A$1:$I$89,3,0)*VLOOKUP('Données projet'!$B$11,Paramètres!$A$1:$I$89,5,0)</f>
        <v>-2.5006556825246659E-13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397.24545766894346</v>
      </c>
      <c r="BJ152" s="62">
        <f t="shared" si="146"/>
        <v>431.44557882369696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2.2737367544323206E-13</v>
      </c>
      <c r="BZ152" s="14">
        <f>BY152*VLOOKUP('Données projet'!$B$12,Paramètres!$A$1:$I$89,3,0)*VLOOKUP('Données projet'!$B$12,Paramètres!$A$1:$I$89,5,0)</f>
        <v>1.4897523215040565E-13</v>
      </c>
      <c r="CA152" s="14">
        <f t="shared" si="147"/>
        <v>2.136562777003313E-12</v>
      </c>
      <c r="CB152" s="22">
        <f t="shared" si="118"/>
        <v>3.9806453659427267E-12</v>
      </c>
      <c r="CC152" s="62">
        <f t="shared" si="119"/>
        <v>293.33333333333729</v>
      </c>
      <c r="CD152" s="62">
        <f ca="1">AVERAGE(OFFSET($CC$3,0,0,'Données projet'!$E$12+1,1))-AVERAGE(OFFSET($H$3,0,0,'Données projet'!$E$12+1,1))</f>
        <v>277.27246253233807</v>
      </c>
      <c r="CE152" s="62">
        <f t="shared" si="148"/>
        <v>269.61868559913404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244.80143999999922</v>
      </c>
      <c r="CV152" s="14">
        <f t="shared" si="149"/>
        <v>59.471389714596413</v>
      </c>
      <c r="CW152" s="22">
        <f t="shared" si="121"/>
        <v>529.94184508625403</v>
      </c>
      <c r="CX152" s="62">
        <f t="shared" si="122"/>
        <v>823.27517841958729</v>
      </c>
      <c r="CY152" s="62">
        <f ca="1">AVERAGE(OFFSET($CX$3,0,0,'Données projet'!$E$13+1,1))-AVERAGE(OFFSET($H$3,0,0,'Données projet'!$E$13+1,1))</f>
        <v>402.15128814037058</v>
      </c>
      <c r="CZ152" s="62">
        <f t="shared" si="150"/>
        <v>232.85411068442738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-1.1368683772161603E-13</v>
      </c>
      <c r="DP152" s="18">
        <f>DO152*VLOOKUP('Données projet'!$B$14,Paramètres!$A$1:$I$89,3,0)*VLOOKUP('Données projet'!$B$14,Paramètres!$A$1:$I$89,5,0)</f>
        <v>-1.0818439477588981E-13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485.18236169209541</v>
      </c>
      <c r="DU152" s="62">
        <f t="shared" si="152"/>
        <v>417.30339652956951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-3.4106051316484809E-13</v>
      </c>
      <c r="EK152" s="18">
        <f>EJ152*VLOOKUP('Données projet'!$B$15,Paramètres!$A$1:$I$89,3,0)*VLOOKUP('Données projet'!$B$15,Paramètres!$A$1:$I$89,5,0)</f>
        <v>-2.7134774427395314E-13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427.78067187784063</v>
      </c>
      <c r="EP152" s="62">
        <f t="shared" si="154"/>
        <v>464.22892523825118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-1.1368683772161603E-13</v>
      </c>
      <c r="FF152" s="18">
        <f>FE152*VLOOKUP('Données projet'!$B$16,Paramètres!$A$1:$I$89,3,0)*VLOOKUP('Données projet'!$B$16,Paramètres!$A$1:$I$89,5,0)</f>
        <v>-9.7543306765146564E-14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448.44001099301806</v>
      </c>
      <c r="FK152" s="62">
        <f t="shared" si="156"/>
        <v>230.82970731138215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-3.4106051316484809E-13</v>
      </c>
      <c r="GA152" s="18">
        <f>FZ152*VLOOKUP('Données projet'!$B$17,Paramètres!$A$1:$I$89,3,0)*VLOOKUP('Données projet'!$B$17,Paramètres!$A$1:$I$89,5,0)</f>
        <v>-2.2878339223098009E-13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408.91016501484626</v>
      </c>
      <c r="GF152" s="62">
        <f t="shared" si="158"/>
        <v>354.22396807666433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3.5</v>
      </c>
      <c r="GU152" s="13">
        <f>IF('Données projet'!$A$270&gt;35,GU151+GT152-HC151,IF(A152&lt;'Données projet'!$A$270,$GR$205^A152,IF(A152='Données projet'!$A$270,'Données projet'!$B$270,GU151+GT152-HC151)))</f>
        <v>372.49999999999989</v>
      </c>
      <c r="GV152" s="18">
        <f>GU152*VLOOKUP('Données projet'!$B$18,Paramètres!$A$1:$I$89,3,0)*VLOOKUP('Données projet'!$B$18,Paramètres!$A$1:$I$89,5,0)</f>
        <v>360.28199999999993</v>
      </c>
      <c r="GW152" s="14">
        <f t="shared" si="159"/>
        <v>83.676100958829579</v>
      </c>
      <c r="GX152" s="22">
        <f t="shared" si="136"/>
        <v>773.22702583662794</v>
      </c>
      <c r="GY152" s="62">
        <f t="shared" si="137"/>
        <v>1066.5603591699612</v>
      </c>
      <c r="GZ152" s="62">
        <f ca="1">AVERAGE(OFFSET($GY$3,0,0,'Données projet'!$E$18+1,1))-AVERAGE(OFFSET($H$3,0,0,'Données projet'!$E$18+1,1))</f>
        <v>562.69380557620775</v>
      </c>
      <c r="HA152" s="62">
        <f t="shared" si="160"/>
        <v>294.45557293177131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376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375.99999999999989</v>
      </c>
      <c r="O153" s="14">
        <f>N153*VLOOKUP('Données projet'!$B$9,Paramètres!$A$1:$I$89,3,0)*VLOOKUP('Données projet'!$B$9,Paramètres!$A$1:$I$89,5,0)</f>
        <v>340.20479999999992</v>
      </c>
      <c r="P153" s="14">
        <f t="shared" si="141"/>
        <v>79.542257915424329</v>
      </c>
      <c r="Q153" s="22">
        <f t="shared" si="108"/>
        <v>731.05945920269721</v>
      </c>
      <c r="R153" s="62">
        <f t="shared" si="109"/>
        <v>1024.3927925360306</v>
      </c>
      <c r="S153" s="62">
        <f ca="1">AVERAGE(OFFSET($R$3,0,0,'Données projet'!$E$9+1,1))-AVERAGE(OFFSET($H$3,0,0,'Données projet'!$E$9+1,1))</f>
        <v>529.25712986118265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10</v>
      </c>
      <c r="V153" s="16">
        <f>IF(ISNA(VLOOKUP(A153,'Données projet'!$A$35:$I$55,4,0)),0,VLOOKUP(A153,'Données projet'!$A$35:$I$55,4,0))</f>
        <v>376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8.8675733422860506E-14</v>
      </c>
      <c r="AK153" s="14">
        <f t="shared" si="143"/>
        <v>1.3509285393066301E-12</v>
      </c>
      <c r="AL153" s="22">
        <f t="shared" si="112"/>
        <v>2.5073107750038623E-12</v>
      </c>
      <c r="AM153" s="62">
        <f t="shared" si="113"/>
        <v>293.33333333333582</v>
      </c>
      <c r="AN153" s="62">
        <f ca="1">AVERAGE(OFFSET($AM$3,0,0,'Données projet'!$E$10+1,1))-AVERAGE(OFFSET($H$3,0,0,'Données projet'!$E$10+1,1))</f>
        <v>292.57482726862594</v>
      </c>
      <c r="AO153" s="62">
        <f t="shared" si="144"/>
        <v>283.48738729114024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-3.4106051316484809E-13</v>
      </c>
      <c r="BE153" s="14">
        <f>BD153*VLOOKUP('Données projet'!$B$11,Paramètres!$A$1:$I$89,3,0)*VLOOKUP('Données projet'!$B$11,Paramètres!$A$1:$I$89,5,0)</f>
        <v>-2.5006556825246659E-13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397.24545766894346</v>
      </c>
      <c r="BJ153" s="62">
        <f t="shared" si="146"/>
        <v>431.44557882369696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2.2737367544323206E-13</v>
      </c>
      <c r="BZ153" s="14">
        <f>BY153*VLOOKUP('Données projet'!$B$12,Paramètres!$A$1:$I$89,3,0)*VLOOKUP('Données projet'!$B$12,Paramètres!$A$1:$I$89,5,0)</f>
        <v>1.4897523215040565E-13</v>
      </c>
      <c r="CA153" s="14">
        <f t="shared" si="147"/>
        <v>2.136562777003313E-12</v>
      </c>
      <c r="CB153" s="22">
        <f t="shared" si="118"/>
        <v>3.9806453659427267E-12</v>
      </c>
      <c r="CC153" s="62">
        <f t="shared" si="119"/>
        <v>293.33333333333729</v>
      </c>
      <c r="CD153" s="62">
        <f ca="1">AVERAGE(OFFSET($CC$3,0,0,'Données projet'!$E$12+1,1))-AVERAGE(OFFSET($H$3,0,0,'Données projet'!$E$12+1,1))</f>
        <v>277.27246253233807</v>
      </c>
      <c r="CE153" s="62">
        <f t="shared" si="148"/>
        <v>269.61868559913404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246.82319999999922</v>
      </c>
      <c r="CV153" s="14">
        <f t="shared" si="149"/>
        <v>59.905171454785851</v>
      </c>
      <c r="CW153" s="22">
        <f t="shared" si="121"/>
        <v>534.21858028375061</v>
      </c>
      <c r="CX153" s="62">
        <f t="shared" si="122"/>
        <v>827.55191361708398</v>
      </c>
      <c r="CY153" s="62">
        <f ca="1">AVERAGE(OFFSET($CX$3,0,0,'Données projet'!$E$13+1,1))-AVERAGE(OFFSET($H$3,0,0,'Données projet'!$E$13+1,1))</f>
        <v>402.15128814037058</v>
      </c>
      <c r="CZ153" s="62">
        <f t="shared" si="150"/>
        <v>232.85411068442738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-1.1368683772161603E-13</v>
      </c>
      <c r="DP153" s="18">
        <f>DO153*VLOOKUP('Données projet'!$B$14,Paramètres!$A$1:$I$89,3,0)*VLOOKUP('Données projet'!$B$14,Paramètres!$A$1:$I$89,5,0)</f>
        <v>-1.0818439477588981E-13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485.18236169209541</v>
      </c>
      <c r="DU153" s="62">
        <f t="shared" si="152"/>
        <v>417.30339652956951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-3.4106051316484809E-13</v>
      </c>
      <c r="EK153" s="18">
        <f>EJ153*VLOOKUP('Données projet'!$B$15,Paramètres!$A$1:$I$89,3,0)*VLOOKUP('Données projet'!$B$15,Paramètres!$A$1:$I$89,5,0)</f>
        <v>-2.7134774427395314E-13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427.78067187784063</v>
      </c>
      <c r="EP153" s="62">
        <f t="shared" si="154"/>
        <v>464.22892523825118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-1.1368683772161603E-13</v>
      </c>
      <c r="FF153" s="18">
        <f>FE153*VLOOKUP('Données projet'!$B$16,Paramètres!$A$1:$I$89,3,0)*VLOOKUP('Données projet'!$B$16,Paramètres!$A$1:$I$89,5,0)</f>
        <v>-9.7543306765146564E-14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448.44001099301806</v>
      </c>
      <c r="FK153" s="62">
        <f t="shared" si="156"/>
        <v>230.82970731138215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-3.4106051316484809E-13</v>
      </c>
      <c r="GA153" s="18">
        <f>FZ153*VLOOKUP('Données projet'!$B$17,Paramètres!$A$1:$I$89,3,0)*VLOOKUP('Données projet'!$B$17,Paramètres!$A$1:$I$89,5,0)</f>
        <v>-2.2878339223098009E-13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408.91016501484626</v>
      </c>
      <c r="GF153" s="62">
        <f t="shared" si="158"/>
        <v>354.22396807666433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>
        <f>VLOOKUP(A153,'Données projet'!$A$269:$I$289,2,0)</f>
        <v>376</v>
      </c>
      <c r="GS153" s="13">
        <f>VLOOKUP(A153,'Données projet'!$A$269:$I$289,9,0)</f>
        <v>3.5</v>
      </c>
      <c r="GT153" s="13">
        <f t="array" ref="GT153">INDEX(GS:GS,MIN(IF(ISNUMBER(GS153:GS349),ROW(GS153:GS349),"")))</f>
        <v>3.5</v>
      </c>
      <c r="GU153" s="13">
        <f>IF('Données projet'!$A$270&gt;35,GU152+GT153-HC152,IF(A153&lt;'Données projet'!$A$270,$GR$205^A153,IF(A153='Données projet'!$A$270,'Données projet'!$B$270,GU152+GT153-HC152)))</f>
        <v>375.99999999999989</v>
      </c>
      <c r="GV153" s="18">
        <f>GU153*VLOOKUP('Données projet'!$B$18,Paramètres!$A$1:$I$89,3,0)*VLOOKUP('Données projet'!$B$18,Paramètres!$A$1:$I$89,5,0)</f>
        <v>363.66719999999987</v>
      </c>
      <c r="GW153" s="14">
        <f t="shared" si="159"/>
        <v>84.370424962226963</v>
      </c>
      <c r="GX153" s="22">
        <f t="shared" si="136"/>
        <v>780.33219680921172</v>
      </c>
      <c r="GY153" s="62">
        <f t="shared" si="137"/>
        <v>1073.6655301425451</v>
      </c>
      <c r="GZ153" s="62">
        <f ca="1">AVERAGE(OFFSET($GY$3,0,0,'Données projet'!$E$18+1,1))-AVERAGE(OFFSET($H$3,0,0,'Données projet'!$E$18+1,1))</f>
        <v>562.69380557620775</v>
      </c>
      <c r="HA153" s="62">
        <f t="shared" si="160"/>
        <v>294.45557293177131</v>
      </c>
      <c r="HB153" s="16">
        <f>IF(ISNA(VLOOKUP(A153,'Données projet'!$A$269:$I$289,3,0)),0,VLOOKUP(A153,'Données projet'!$A$269:$I$289,3,0))</f>
        <v>10</v>
      </c>
      <c r="HC153" s="16">
        <f>IF(ISNA(VLOOKUP(A153,'Données projet'!$A$269:$I$289,4,0)),0,VLOOKUP(A153,'Données projet'!$A$269:$I$289,4,0))</f>
        <v>376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-1.0286385077051818E-13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529.25712986118265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8.8675733422860506E-14</v>
      </c>
      <c r="AK154" s="14">
        <f t="shared" ref="AK154:AK203" si="164">EXP(-1.0587+0.8836*LN(AJ154)+0.284)</f>
        <v>1.3509285393066301E-12</v>
      </c>
      <c r="AL154" s="22">
        <f t="shared" ref="AL154:AL203" si="165">(AJ154+AK154)*0.475*44/12</f>
        <v>2.5073107750038623E-12</v>
      </c>
      <c r="AM154" s="62">
        <f t="shared" si="113"/>
        <v>293.33333333333582</v>
      </c>
      <c r="AN154" s="62">
        <f ca="1">AVERAGE(OFFSET($AM$3,0,0,'Données projet'!$E$10+1,1))-AVERAGE(OFFSET($H$3,0,0,'Données projet'!$E$10+1,1))</f>
        <v>292.57482726862594</v>
      </c>
      <c r="AO154" s="62">
        <f t="shared" si="144"/>
        <v>283.48738729114024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-3.4106051316484809E-13</v>
      </c>
      <c r="BE154" s="14">
        <f>BD154*VLOOKUP('Données projet'!$B$11,Paramètres!$A$1:$I$89,3,0)*VLOOKUP('Données projet'!$B$11,Paramètres!$A$1:$I$89,5,0)</f>
        <v>-2.5006556825246659E-13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397.24545766894346</v>
      </c>
      <c r="BJ154" s="62">
        <f t="shared" si="146"/>
        <v>431.44557882369696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2.2737367544323206E-13</v>
      </c>
      <c r="BZ154" s="14">
        <f>BY154*VLOOKUP('Données projet'!$B$12,Paramètres!$A$1:$I$89,3,0)*VLOOKUP('Données projet'!$B$12,Paramètres!$A$1:$I$89,5,0)</f>
        <v>1.4897523215040565E-13</v>
      </c>
      <c r="CA154" s="14">
        <f t="shared" ref="CA154:CA203" si="170">EXP(-1.0587+0.8836*LN(BZ154)+0.284)</f>
        <v>2.136562777003313E-12</v>
      </c>
      <c r="CB154" s="22">
        <f t="shared" ref="CB154:CB203" si="171">(BZ154+CA154)*0.475*44/12</f>
        <v>3.9806453659427267E-12</v>
      </c>
      <c r="CC154" s="62">
        <f t="shared" si="119"/>
        <v>293.33333333333729</v>
      </c>
      <c r="CD154" s="62">
        <f ca="1">AVERAGE(OFFSET($CC$3,0,0,'Données projet'!$E$12+1,1))-AVERAGE(OFFSET($H$3,0,0,'Données projet'!$E$12+1,1))</f>
        <v>277.27246253233807</v>
      </c>
      <c r="CE154" s="62">
        <f t="shared" si="148"/>
        <v>269.61868559913404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-8.1404323282185943E-13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402.15128814037058</v>
      </c>
      <c r="CZ154" s="62">
        <f t="shared" si="150"/>
        <v>232.85411068442738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-1.0818439477588981E-13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485.18236169209541</v>
      </c>
      <c r="DU154" s="62">
        <f t="shared" si="152"/>
        <v>417.30339652956951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-3.4106051316484809E-13</v>
      </c>
      <c r="EK154" s="18">
        <f>EJ154*VLOOKUP('Données projet'!$B$15,Paramètres!$A$1:$I$89,3,0)*VLOOKUP('Données projet'!$B$15,Paramètres!$A$1:$I$89,5,0)</f>
        <v>-2.7134774427395314E-13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427.78067187784063</v>
      </c>
      <c r="EP154" s="62">
        <f t="shared" si="154"/>
        <v>464.22892523825118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-1.1368683772161603E-13</v>
      </c>
      <c r="FF154" s="18">
        <f>FE154*VLOOKUP('Données projet'!$B$16,Paramètres!$A$1:$I$89,3,0)*VLOOKUP('Données projet'!$B$16,Paramètres!$A$1:$I$89,5,0)</f>
        <v>-9.7543306765146564E-14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448.44001099301806</v>
      </c>
      <c r="FK154" s="62">
        <f t="shared" si="156"/>
        <v>230.82970731138215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-3.4106051316484809E-13</v>
      </c>
      <c r="GA154" s="18">
        <f>FZ154*VLOOKUP('Données projet'!$B$17,Paramètres!$A$1:$I$89,3,0)*VLOOKUP('Données projet'!$B$17,Paramètres!$A$1:$I$89,5,0)</f>
        <v>-2.2878339223098009E-13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408.91016501484626</v>
      </c>
      <c r="GF154" s="62">
        <f t="shared" si="158"/>
        <v>354.22396807666433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-1.1368683772161603E-13</v>
      </c>
      <c r="GV154" s="18">
        <f>GU154*VLOOKUP('Données projet'!$B$18,Paramètres!$A$1:$I$89,3,0)*VLOOKUP('Données projet'!$B$18,Paramètres!$A$1:$I$89,5,0)</f>
        <v>-1.0995790944434703E-13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562.69380557620775</v>
      </c>
      <c r="HA154" s="62">
        <f t="shared" si="160"/>
        <v>294.45557293177131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-1.0286385077051818E-13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529.25712986118265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8.8675733422860506E-14</v>
      </c>
      <c r="AK155" s="14">
        <f t="shared" si="164"/>
        <v>1.3509285393066301E-12</v>
      </c>
      <c r="AL155" s="22">
        <f t="shared" si="165"/>
        <v>2.5073107750038623E-12</v>
      </c>
      <c r="AM155" s="62">
        <f t="shared" si="113"/>
        <v>293.33333333333582</v>
      </c>
      <c r="AN155" s="62">
        <f ca="1">AVERAGE(OFFSET($AM$3,0,0,'Données projet'!$E$10+1,1))-AVERAGE(OFFSET($H$3,0,0,'Données projet'!$E$10+1,1))</f>
        <v>292.57482726862594</v>
      </c>
      <c r="AO155" s="62">
        <f t="shared" si="144"/>
        <v>283.48738729114024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-3.4106051316484809E-13</v>
      </c>
      <c r="BE155" s="14">
        <f>BD155*VLOOKUP('Données projet'!$B$11,Paramètres!$A$1:$I$89,3,0)*VLOOKUP('Données projet'!$B$11,Paramètres!$A$1:$I$89,5,0)</f>
        <v>-2.5006556825246659E-13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397.24545766894346</v>
      </c>
      <c r="BJ155" s="62">
        <f t="shared" si="146"/>
        <v>431.44557882369696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2.2737367544323206E-13</v>
      </c>
      <c r="BZ155" s="14">
        <f>BY155*VLOOKUP('Données projet'!$B$12,Paramètres!$A$1:$I$89,3,0)*VLOOKUP('Données projet'!$B$12,Paramètres!$A$1:$I$89,5,0)</f>
        <v>1.4897523215040565E-13</v>
      </c>
      <c r="CA155" s="14">
        <f t="shared" si="170"/>
        <v>2.136562777003313E-12</v>
      </c>
      <c r="CB155" s="22">
        <f t="shared" si="171"/>
        <v>3.9806453659427267E-12</v>
      </c>
      <c r="CC155" s="62">
        <f t="shared" si="119"/>
        <v>293.33333333333729</v>
      </c>
      <c r="CD155" s="62">
        <f ca="1">AVERAGE(OFFSET($CC$3,0,0,'Données projet'!$E$12+1,1))-AVERAGE(OFFSET($H$3,0,0,'Données projet'!$E$12+1,1))</f>
        <v>277.27246253233807</v>
      </c>
      <c r="CE155" s="62">
        <f t="shared" si="148"/>
        <v>269.61868559913404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-8.1404323282185943E-13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402.15128814037058</v>
      </c>
      <c r="CZ155" s="62">
        <f t="shared" si="150"/>
        <v>232.85411068442738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-1.0818439477588981E-13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485.18236169209541</v>
      </c>
      <c r="DU155" s="62">
        <f t="shared" si="152"/>
        <v>417.30339652956951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-3.4106051316484809E-13</v>
      </c>
      <c r="EK155" s="18">
        <f>EJ155*VLOOKUP('Données projet'!$B$15,Paramètres!$A$1:$I$89,3,0)*VLOOKUP('Données projet'!$B$15,Paramètres!$A$1:$I$89,5,0)</f>
        <v>-2.7134774427395314E-13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427.78067187784063</v>
      </c>
      <c r="EP155" s="62">
        <f t="shared" si="154"/>
        <v>464.22892523825118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-1.1368683772161603E-13</v>
      </c>
      <c r="FF155" s="18">
        <f>FE155*VLOOKUP('Données projet'!$B$16,Paramètres!$A$1:$I$89,3,0)*VLOOKUP('Données projet'!$B$16,Paramètres!$A$1:$I$89,5,0)</f>
        <v>-9.7543306765146564E-14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448.44001099301806</v>
      </c>
      <c r="FK155" s="62">
        <f t="shared" si="156"/>
        <v>230.82970731138215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-3.4106051316484809E-13</v>
      </c>
      <c r="GA155" s="18">
        <f>FZ155*VLOOKUP('Données projet'!$B$17,Paramètres!$A$1:$I$89,3,0)*VLOOKUP('Données projet'!$B$17,Paramètres!$A$1:$I$89,5,0)</f>
        <v>-2.2878339223098009E-13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408.91016501484626</v>
      </c>
      <c r="GF155" s="62">
        <f t="shared" si="158"/>
        <v>354.22396807666433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-1.1368683772161603E-13</v>
      </c>
      <c r="GV155" s="18">
        <f>GU155*VLOOKUP('Données projet'!$B$18,Paramètres!$A$1:$I$89,3,0)*VLOOKUP('Données projet'!$B$18,Paramètres!$A$1:$I$89,5,0)</f>
        <v>-1.0995790944434703E-13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562.69380557620775</v>
      </c>
      <c r="HA155" s="62">
        <f t="shared" si="160"/>
        <v>294.45557293177131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-1.0286385077051818E-13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529.25712986118265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8.8675733422860506E-14</v>
      </c>
      <c r="AK156" s="14">
        <f t="shared" si="164"/>
        <v>1.3509285393066301E-12</v>
      </c>
      <c r="AL156" s="22">
        <f t="shared" si="165"/>
        <v>2.5073107750038623E-12</v>
      </c>
      <c r="AM156" s="62">
        <f t="shared" si="113"/>
        <v>293.33333333333582</v>
      </c>
      <c r="AN156" s="62">
        <f ca="1">AVERAGE(OFFSET($AM$3,0,0,'Données projet'!$E$10+1,1))-AVERAGE(OFFSET($H$3,0,0,'Données projet'!$E$10+1,1))</f>
        <v>292.57482726862594</v>
      </c>
      <c r="AO156" s="62">
        <f t="shared" si="144"/>
        <v>283.48738729114024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-3.4106051316484809E-13</v>
      </c>
      <c r="BE156" s="14">
        <f>BD156*VLOOKUP('Données projet'!$B$11,Paramètres!$A$1:$I$89,3,0)*VLOOKUP('Données projet'!$B$11,Paramètres!$A$1:$I$89,5,0)</f>
        <v>-2.5006556825246659E-13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397.24545766894346</v>
      </c>
      <c r="BJ156" s="62">
        <f t="shared" si="146"/>
        <v>431.44557882369696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2.2737367544323206E-13</v>
      </c>
      <c r="BZ156" s="14">
        <f>BY156*VLOOKUP('Données projet'!$B$12,Paramètres!$A$1:$I$89,3,0)*VLOOKUP('Données projet'!$B$12,Paramètres!$A$1:$I$89,5,0)</f>
        <v>1.4897523215040565E-13</v>
      </c>
      <c r="CA156" s="14">
        <f t="shared" si="170"/>
        <v>2.136562777003313E-12</v>
      </c>
      <c r="CB156" s="22">
        <f t="shared" si="171"/>
        <v>3.9806453659427267E-12</v>
      </c>
      <c r="CC156" s="62">
        <f t="shared" si="119"/>
        <v>293.33333333333729</v>
      </c>
      <c r="CD156" s="62">
        <f ca="1">AVERAGE(OFFSET($CC$3,0,0,'Données projet'!$E$12+1,1))-AVERAGE(OFFSET($H$3,0,0,'Données projet'!$E$12+1,1))</f>
        <v>277.27246253233807</v>
      </c>
      <c r="CE156" s="62">
        <f t="shared" si="148"/>
        <v>269.61868559913404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-8.1404323282185943E-13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402.15128814037058</v>
      </c>
      <c r="CZ156" s="62">
        <f t="shared" si="150"/>
        <v>232.85411068442738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-1.0818439477588981E-13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485.18236169209541</v>
      </c>
      <c r="DU156" s="62">
        <f t="shared" si="152"/>
        <v>417.30339652956951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-3.4106051316484809E-13</v>
      </c>
      <c r="EK156" s="18">
        <f>EJ156*VLOOKUP('Données projet'!$B$15,Paramètres!$A$1:$I$89,3,0)*VLOOKUP('Données projet'!$B$15,Paramètres!$A$1:$I$89,5,0)</f>
        <v>-2.7134774427395314E-13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427.78067187784063</v>
      </c>
      <c r="EP156" s="62">
        <f t="shared" si="154"/>
        <v>464.22892523825118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-1.1368683772161603E-13</v>
      </c>
      <c r="FF156" s="18">
        <f>FE156*VLOOKUP('Données projet'!$B$16,Paramètres!$A$1:$I$89,3,0)*VLOOKUP('Données projet'!$B$16,Paramètres!$A$1:$I$89,5,0)</f>
        <v>-9.7543306765146564E-14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448.44001099301806</v>
      </c>
      <c r="FK156" s="62">
        <f t="shared" si="156"/>
        <v>230.82970731138215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-3.4106051316484809E-13</v>
      </c>
      <c r="GA156" s="18">
        <f>FZ156*VLOOKUP('Données projet'!$B$17,Paramètres!$A$1:$I$89,3,0)*VLOOKUP('Données projet'!$B$17,Paramètres!$A$1:$I$89,5,0)</f>
        <v>-2.2878339223098009E-13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408.91016501484626</v>
      </c>
      <c r="GF156" s="62">
        <f t="shared" si="158"/>
        <v>354.22396807666433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-1.1368683772161603E-13</v>
      </c>
      <c r="GV156" s="18">
        <f>GU156*VLOOKUP('Données projet'!$B$18,Paramètres!$A$1:$I$89,3,0)*VLOOKUP('Données projet'!$B$18,Paramètres!$A$1:$I$89,5,0)</f>
        <v>-1.0995790944434703E-13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562.69380557620775</v>
      </c>
      <c r="HA156" s="62">
        <f t="shared" si="160"/>
        <v>294.45557293177131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-1.0286385077051818E-13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529.25712986118265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8.8675733422860506E-14</v>
      </c>
      <c r="AK157" s="14">
        <f t="shared" si="164"/>
        <v>1.3509285393066301E-12</v>
      </c>
      <c r="AL157" s="22">
        <f t="shared" si="165"/>
        <v>2.5073107750038623E-12</v>
      </c>
      <c r="AM157" s="62">
        <f t="shared" si="113"/>
        <v>293.33333333333582</v>
      </c>
      <c r="AN157" s="62">
        <f ca="1">AVERAGE(OFFSET($AM$3,0,0,'Données projet'!$E$10+1,1))-AVERAGE(OFFSET($H$3,0,0,'Données projet'!$E$10+1,1))</f>
        <v>292.57482726862594</v>
      </c>
      <c r="AO157" s="62">
        <f t="shared" si="144"/>
        <v>283.48738729114024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-3.4106051316484809E-13</v>
      </c>
      <c r="BE157" s="14">
        <f>BD157*VLOOKUP('Données projet'!$B$11,Paramètres!$A$1:$I$89,3,0)*VLOOKUP('Données projet'!$B$11,Paramètres!$A$1:$I$89,5,0)</f>
        <v>-2.5006556825246659E-13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397.24545766894346</v>
      </c>
      <c r="BJ157" s="62">
        <f t="shared" si="146"/>
        <v>431.44557882369696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2.2737367544323206E-13</v>
      </c>
      <c r="BZ157" s="14">
        <f>BY157*VLOOKUP('Données projet'!$B$12,Paramètres!$A$1:$I$89,3,0)*VLOOKUP('Données projet'!$B$12,Paramètres!$A$1:$I$89,5,0)</f>
        <v>1.4897523215040565E-13</v>
      </c>
      <c r="CA157" s="14">
        <f t="shared" si="170"/>
        <v>2.136562777003313E-12</v>
      </c>
      <c r="CB157" s="22">
        <f t="shared" si="171"/>
        <v>3.9806453659427267E-12</v>
      </c>
      <c r="CC157" s="62">
        <f t="shared" si="119"/>
        <v>293.33333333333729</v>
      </c>
      <c r="CD157" s="62">
        <f ca="1">AVERAGE(OFFSET($CC$3,0,0,'Données projet'!$E$12+1,1))-AVERAGE(OFFSET($H$3,0,0,'Données projet'!$E$12+1,1))</f>
        <v>277.27246253233807</v>
      </c>
      <c r="CE157" s="62">
        <f t="shared" si="148"/>
        <v>269.61868559913404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-8.1404323282185943E-13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402.15128814037058</v>
      </c>
      <c r="CZ157" s="62">
        <f t="shared" si="150"/>
        <v>232.85411068442738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-1.0818439477588981E-13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485.18236169209541</v>
      </c>
      <c r="DU157" s="62">
        <f t="shared" si="152"/>
        <v>417.30339652956951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-3.4106051316484809E-13</v>
      </c>
      <c r="EK157" s="18">
        <f>EJ157*VLOOKUP('Données projet'!$B$15,Paramètres!$A$1:$I$89,3,0)*VLOOKUP('Données projet'!$B$15,Paramètres!$A$1:$I$89,5,0)</f>
        <v>-2.7134774427395314E-13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427.78067187784063</v>
      </c>
      <c r="EP157" s="62">
        <f t="shared" si="154"/>
        <v>464.22892523825118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-1.1368683772161603E-13</v>
      </c>
      <c r="FF157" s="18">
        <f>FE157*VLOOKUP('Données projet'!$B$16,Paramètres!$A$1:$I$89,3,0)*VLOOKUP('Données projet'!$B$16,Paramètres!$A$1:$I$89,5,0)</f>
        <v>-9.7543306765146564E-14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448.44001099301806</v>
      </c>
      <c r="FK157" s="62">
        <f t="shared" si="156"/>
        <v>230.82970731138215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-3.4106051316484809E-13</v>
      </c>
      <c r="GA157" s="18">
        <f>FZ157*VLOOKUP('Données projet'!$B$17,Paramètres!$A$1:$I$89,3,0)*VLOOKUP('Données projet'!$B$17,Paramètres!$A$1:$I$89,5,0)</f>
        <v>-2.2878339223098009E-13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408.91016501484626</v>
      </c>
      <c r="GF157" s="62">
        <f t="shared" si="158"/>
        <v>354.22396807666433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-1.1368683772161603E-13</v>
      </c>
      <c r="GV157" s="18">
        <f>GU157*VLOOKUP('Données projet'!$B$18,Paramètres!$A$1:$I$89,3,0)*VLOOKUP('Données projet'!$B$18,Paramètres!$A$1:$I$89,5,0)</f>
        <v>-1.0995790944434703E-13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562.69380557620775</v>
      </c>
      <c r="HA157" s="62">
        <f t="shared" si="160"/>
        <v>294.45557293177131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-1.0286385077051818E-13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529.25712986118265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8.8675733422860506E-14</v>
      </c>
      <c r="AK158" s="14">
        <f t="shared" si="164"/>
        <v>1.3509285393066301E-12</v>
      </c>
      <c r="AL158" s="22">
        <f t="shared" si="165"/>
        <v>2.5073107750038623E-12</v>
      </c>
      <c r="AM158" s="62">
        <f t="shared" si="113"/>
        <v>293.33333333333582</v>
      </c>
      <c r="AN158" s="62">
        <f ca="1">AVERAGE(OFFSET($AM$3,0,0,'Données projet'!$E$10+1,1))-AVERAGE(OFFSET($H$3,0,0,'Données projet'!$E$10+1,1))</f>
        <v>292.57482726862594</v>
      </c>
      <c r="AO158" s="62">
        <f t="shared" si="144"/>
        <v>283.48738729114024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-3.4106051316484809E-13</v>
      </c>
      <c r="BE158" s="14">
        <f>BD158*VLOOKUP('Données projet'!$B$11,Paramètres!$A$1:$I$89,3,0)*VLOOKUP('Données projet'!$B$11,Paramètres!$A$1:$I$89,5,0)</f>
        <v>-2.5006556825246659E-13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397.24545766894346</v>
      </c>
      <c r="BJ158" s="62">
        <f t="shared" si="146"/>
        <v>431.44557882369696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2.2737367544323206E-13</v>
      </c>
      <c r="BZ158" s="14">
        <f>BY158*VLOOKUP('Données projet'!$B$12,Paramètres!$A$1:$I$89,3,0)*VLOOKUP('Données projet'!$B$12,Paramètres!$A$1:$I$89,5,0)</f>
        <v>1.4897523215040565E-13</v>
      </c>
      <c r="CA158" s="14">
        <f t="shared" si="170"/>
        <v>2.136562777003313E-12</v>
      </c>
      <c r="CB158" s="22">
        <f t="shared" si="171"/>
        <v>3.9806453659427267E-12</v>
      </c>
      <c r="CC158" s="62">
        <f t="shared" si="119"/>
        <v>293.33333333333729</v>
      </c>
      <c r="CD158" s="62">
        <f ca="1">AVERAGE(OFFSET($CC$3,0,0,'Données projet'!$E$12+1,1))-AVERAGE(OFFSET($H$3,0,0,'Données projet'!$E$12+1,1))</f>
        <v>277.27246253233807</v>
      </c>
      <c r="CE158" s="62">
        <f t="shared" si="148"/>
        <v>269.61868559913404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-8.1404323282185943E-13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402.15128814037058</v>
      </c>
      <c r="CZ158" s="62">
        <f t="shared" si="150"/>
        <v>232.85411068442738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-1.0818439477588981E-13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485.18236169209541</v>
      </c>
      <c r="DU158" s="62">
        <f t="shared" si="152"/>
        <v>417.30339652956951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-3.4106051316484809E-13</v>
      </c>
      <c r="EK158" s="18">
        <f>EJ158*VLOOKUP('Données projet'!$B$15,Paramètres!$A$1:$I$89,3,0)*VLOOKUP('Données projet'!$B$15,Paramètres!$A$1:$I$89,5,0)</f>
        <v>-2.7134774427395314E-13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427.78067187784063</v>
      </c>
      <c r="EP158" s="62">
        <f t="shared" si="154"/>
        <v>464.22892523825118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-1.1368683772161603E-13</v>
      </c>
      <c r="FF158" s="18">
        <f>FE158*VLOOKUP('Données projet'!$B$16,Paramètres!$A$1:$I$89,3,0)*VLOOKUP('Données projet'!$B$16,Paramètres!$A$1:$I$89,5,0)</f>
        <v>-9.7543306765146564E-14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448.44001099301806</v>
      </c>
      <c r="FK158" s="62">
        <f t="shared" si="156"/>
        <v>230.82970731138215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-3.4106051316484809E-13</v>
      </c>
      <c r="GA158" s="18">
        <f>FZ158*VLOOKUP('Données projet'!$B$17,Paramètres!$A$1:$I$89,3,0)*VLOOKUP('Données projet'!$B$17,Paramètres!$A$1:$I$89,5,0)</f>
        <v>-2.2878339223098009E-13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408.91016501484626</v>
      </c>
      <c r="GF158" s="62">
        <f t="shared" si="158"/>
        <v>354.22396807666433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-1.1368683772161603E-13</v>
      </c>
      <c r="GV158" s="18">
        <f>GU158*VLOOKUP('Données projet'!$B$18,Paramètres!$A$1:$I$89,3,0)*VLOOKUP('Données projet'!$B$18,Paramètres!$A$1:$I$89,5,0)</f>
        <v>-1.0995790944434703E-13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562.69380557620775</v>
      </c>
      <c r="HA158" s="62">
        <f t="shared" si="160"/>
        <v>294.45557293177131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-1.0286385077051818E-13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529.25712986118265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8.8675733422860506E-14</v>
      </c>
      <c r="AK159" s="14">
        <f t="shared" si="164"/>
        <v>1.3509285393066301E-12</v>
      </c>
      <c r="AL159" s="22">
        <f t="shared" si="165"/>
        <v>2.5073107750038623E-12</v>
      </c>
      <c r="AM159" s="62">
        <f t="shared" si="113"/>
        <v>293.33333333333582</v>
      </c>
      <c r="AN159" s="62">
        <f ca="1">AVERAGE(OFFSET($AM$3,0,0,'Données projet'!$E$10+1,1))-AVERAGE(OFFSET($H$3,0,0,'Données projet'!$E$10+1,1))</f>
        <v>292.57482726862594</v>
      </c>
      <c r="AO159" s="62">
        <f t="shared" si="144"/>
        <v>283.48738729114024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-3.4106051316484809E-13</v>
      </c>
      <c r="BE159" s="14">
        <f>BD159*VLOOKUP('Données projet'!$B$11,Paramètres!$A$1:$I$89,3,0)*VLOOKUP('Données projet'!$B$11,Paramètres!$A$1:$I$89,5,0)</f>
        <v>-2.5006556825246659E-13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397.24545766894346</v>
      </c>
      <c r="BJ159" s="62">
        <f t="shared" si="146"/>
        <v>431.44557882369696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2.2737367544323206E-13</v>
      </c>
      <c r="BZ159" s="14">
        <f>BY159*VLOOKUP('Données projet'!$B$12,Paramètres!$A$1:$I$89,3,0)*VLOOKUP('Données projet'!$B$12,Paramètres!$A$1:$I$89,5,0)</f>
        <v>1.4897523215040565E-13</v>
      </c>
      <c r="CA159" s="14">
        <f t="shared" si="170"/>
        <v>2.136562777003313E-12</v>
      </c>
      <c r="CB159" s="22">
        <f t="shared" si="171"/>
        <v>3.9806453659427267E-12</v>
      </c>
      <c r="CC159" s="62">
        <f t="shared" si="119"/>
        <v>293.33333333333729</v>
      </c>
      <c r="CD159" s="62">
        <f ca="1">AVERAGE(OFFSET($CC$3,0,0,'Données projet'!$E$12+1,1))-AVERAGE(OFFSET($H$3,0,0,'Données projet'!$E$12+1,1))</f>
        <v>277.27246253233807</v>
      </c>
      <c r="CE159" s="62">
        <f t="shared" si="148"/>
        <v>269.61868559913404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-8.1404323282185943E-13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402.15128814037058</v>
      </c>
      <c r="CZ159" s="62">
        <f t="shared" si="150"/>
        <v>232.85411068442738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-1.0818439477588981E-13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485.18236169209541</v>
      </c>
      <c r="DU159" s="62">
        <f t="shared" si="152"/>
        <v>417.30339652956951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-3.4106051316484809E-13</v>
      </c>
      <c r="EK159" s="18">
        <f>EJ159*VLOOKUP('Données projet'!$B$15,Paramètres!$A$1:$I$89,3,0)*VLOOKUP('Données projet'!$B$15,Paramètres!$A$1:$I$89,5,0)</f>
        <v>-2.7134774427395314E-13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427.78067187784063</v>
      </c>
      <c r="EP159" s="62">
        <f t="shared" si="154"/>
        <v>464.22892523825118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-1.1368683772161603E-13</v>
      </c>
      <c r="FF159" s="18">
        <f>FE159*VLOOKUP('Données projet'!$B$16,Paramètres!$A$1:$I$89,3,0)*VLOOKUP('Données projet'!$B$16,Paramètres!$A$1:$I$89,5,0)</f>
        <v>-9.7543306765146564E-14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448.44001099301806</v>
      </c>
      <c r="FK159" s="62">
        <f t="shared" si="156"/>
        <v>230.82970731138215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-3.4106051316484809E-13</v>
      </c>
      <c r="GA159" s="18">
        <f>FZ159*VLOOKUP('Données projet'!$B$17,Paramètres!$A$1:$I$89,3,0)*VLOOKUP('Données projet'!$B$17,Paramètres!$A$1:$I$89,5,0)</f>
        <v>-2.2878339223098009E-13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408.91016501484626</v>
      </c>
      <c r="GF159" s="62">
        <f t="shared" si="158"/>
        <v>354.22396807666433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-1.1368683772161603E-13</v>
      </c>
      <c r="GV159" s="18">
        <f>GU159*VLOOKUP('Données projet'!$B$18,Paramètres!$A$1:$I$89,3,0)*VLOOKUP('Données projet'!$B$18,Paramètres!$A$1:$I$89,5,0)</f>
        <v>-1.0995790944434703E-13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562.69380557620775</v>
      </c>
      <c r="HA159" s="62">
        <f t="shared" si="160"/>
        <v>294.45557293177131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-1.0286385077051818E-13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529.25712986118265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8.8675733422860506E-14</v>
      </c>
      <c r="AK160" s="14">
        <f t="shared" si="164"/>
        <v>1.3509285393066301E-12</v>
      </c>
      <c r="AL160" s="22">
        <f t="shared" si="165"/>
        <v>2.5073107750038623E-12</v>
      </c>
      <c r="AM160" s="62">
        <f t="shared" si="113"/>
        <v>293.33333333333582</v>
      </c>
      <c r="AN160" s="62">
        <f ca="1">AVERAGE(OFFSET($AM$3,0,0,'Données projet'!$E$10+1,1))-AVERAGE(OFFSET($H$3,0,0,'Données projet'!$E$10+1,1))</f>
        <v>292.57482726862594</v>
      </c>
      <c r="AO160" s="62">
        <f t="shared" si="144"/>
        <v>283.48738729114024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-3.4106051316484809E-13</v>
      </c>
      <c r="BE160" s="14">
        <f>BD160*VLOOKUP('Données projet'!$B$11,Paramètres!$A$1:$I$89,3,0)*VLOOKUP('Données projet'!$B$11,Paramètres!$A$1:$I$89,5,0)</f>
        <v>-2.5006556825246659E-13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397.24545766894346</v>
      </c>
      <c r="BJ160" s="62">
        <f t="shared" si="146"/>
        <v>431.44557882369696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2.2737367544323206E-13</v>
      </c>
      <c r="BZ160" s="14">
        <f>BY160*VLOOKUP('Données projet'!$B$12,Paramètres!$A$1:$I$89,3,0)*VLOOKUP('Données projet'!$B$12,Paramètres!$A$1:$I$89,5,0)</f>
        <v>1.4897523215040565E-13</v>
      </c>
      <c r="CA160" s="14">
        <f t="shared" si="170"/>
        <v>2.136562777003313E-12</v>
      </c>
      <c r="CB160" s="22">
        <f t="shared" si="171"/>
        <v>3.9806453659427267E-12</v>
      </c>
      <c r="CC160" s="62">
        <f t="shared" si="119"/>
        <v>293.33333333333729</v>
      </c>
      <c r="CD160" s="62">
        <f ca="1">AVERAGE(OFFSET($CC$3,0,0,'Données projet'!$E$12+1,1))-AVERAGE(OFFSET($H$3,0,0,'Données projet'!$E$12+1,1))</f>
        <v>277.27246253233807</v>
      </c>
      <c r="CE160" s="62">
        <f t="shared" si="148"/>
        <v>269.61868559913404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-8.1404323282185943E-13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402.15128814037058</v>
      </c>
      <c r="CZ160" s="62">
        <f t="shared" si="150"/>
        <v>232.85411068442738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-1.0818439477588981E-13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485.18236169209541</v>
      </c>
      <c r="DU160" s="62">
        <f t="shared" si="152"/>
        <v>417.30339652956951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-3.4106051316484809E-13</v>
      </c>
      <c r="EK160" s="18">
        <f>EJ160*VLOOKUP('Données projet'!$B$15,Paramètres!$A$1:$I$89,3,0)*VLOOKUP('Données projet'!$B$15,Paramètres!$A$1:$I$89,5,0)</f>
        <v>-2.7134774427395314E-13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427.78067187784063</v>
      </c>
      <c r="EP160" s="62">
        <f t="shared" si="154"/>
        <v>464.22892523825118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-1.1368683772161603E-13</v>
      </c>
      <c r="FF160" s="18">
        <f>FE160*VLOOKUP('Données projet'!$B$16,Paramètres!$A$1:$I$89,3,0)*VLOOKUP('Données projet'!$B$16,Paramètres!$A$1:$I$89,5,0)</f>
        <v>-9.7543306765146564E-14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448.44001099301806</v>
      </c>
      <c r="FK160" s="62">
        <f t="shared" si="156"/>
        <v>230.82970731138215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-3.4106051316484809E-13</v>
      </c>
      <c r="GA160" s="18">
        <f>FZ160*VLOOKUP('Données projet'!$B$17,Paramètres!$A$1:$I$89,3,0)*VLOOKUP('Données projet'!$B$17,Paramètres!$A$1:$I$89,5,0)</f>
        <v>-2.2878339223098009E-13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408.91016501484626</v>
      </c>
      <c r="GF160" s="62">
        <f t="shared" si="158"/>
        <v>354.22396807666433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-1.1368683772161603E-13</v>
      </c>
      <c r="GV160" s="18">
        <f>GU160*VLOOKUP('Données projet'!$B$18,Paramètres!$A$1:$I$89,3,0)*VLOOKUP('Données projet'!$B$18,Paramètres!$A$1:$I$89,5,0)</f>
        <v>-1.0995790944434703E-13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562.69380557620775</v>
      </c>
      <c r="HA160" s="62">
        <f t="shared" si="160"/>
        <v>294.45557293177131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-1.0286385077051818E-13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529.25712986118265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8.8675733422860506E-14</v>
      </c>
      <c r="AK161" s="14">
        <f t="shared" si="164"/>
        <v>1.3509285393066301E-12</v>
      </c>
      <c r="AL161" s="22">
        <f t="shared" si="165"/>
        <v>2.5073107750038623E-12</v>
      </c>
      <c r="AM161" s="62">
        <f t="shared" si="113"/>
        <v>293.33333333333582</v>
      </c>
      <c r="AN161" s="62">
        <f ca="1">AVERAGE(OFFSET($AM$3,0,0,'Données projet'!$E$10+1,1))-AVERAGE(OFFSET($H$3,0,0,'Données projet'!$E$10+1,1))</f>
        <v>292.57482726862594</v>
      </c>
      <c r="AO161" s="62">
        <f t="shared" si="144"/>
        <v>283.48738729114024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-3.4106051316484809E-13</v>
      </c>
      <c r="BE161" s="14">
        <f>BD161*VLOOKUP('Données projet'!$B$11,Paramètres!$A$1:$I$89,3,0)*VLOOKUP('Données projet'!$B$11,Paramètres!$A$1:$I$89,5,0)</f>
        <v>-2.5006556825246659E-13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397.24545766894346</v>
      </c>
      <c r="BJ161" s="62">
        <f t="shared" si="146"/>
        <v>431.44557882369696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2.2737367544323206E-13</v>
      </c>
      <c r="BZ161" s="14">
        <f>BY161*VLOOKUP('Données projet'!$B$12,Paramètres!$A$1:$I$89,3,0)*VLOOKUP('Données projet'!$B$12,Paramètres!$A$1:$I$89,5,0)</f>
        <v>1.4897523215040565E-13</v>
      </c>
      <c r="CA161" s="14">
        <f t="shared" si="170"/>
        <v>2.136562777003313E-12</v>
      </c>
      <c r="CB161" s="22">
        <f t="shared" si="171"/>
        <v>3.9806453659427267E-12</v>
      </c>
      <c r="CC161" s="62">
        <f t="shared" si="119"/>
        <v>293.33333333333729</v>
      </c>
      <c r="CD161" s="62">
        <f ca="1">AVERAGE(OFFSET($CC$3,0,0,'Données projet'!$E$12+1,1))-AVERAGE(OFFSET($H$3,0,0,'Données projet'!$E$12+1,1))</f>
        <v>277.27246253233807</v>
      </c>
      <c r="CE161" s="62">
        <f t="shared" si="148"/>
        <v>269.61868559913404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-8.1404323282185943E-13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402.15128814037058</v>
      </c>
      <c r="CZ161" s="62">
        <f t="shared" si="150"/>
        <v>232.85411068442738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-1.0818439477588981E-13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485.18236169209541</v>
      </c>
      <c r="DU161" s="62">
        <f t="shared" si="152"/>
        <v>417.30339652956951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-3.4106051316484809E-13</v>
      </c>
      <c r="EK161" s="18">
        <f>EJ161*VLOOKUP('Données projet'!$B$15,Paramètres!$A$1:$I$89,3,0)*VLOOKUP('Données projet'!$B$15,Paramètres!$A$1:$I$89,5,0)</f>
        <v>-2.7134774427395314E-13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427.78067187784063</v>
      </c>
      <c r="EP161" s="62">
        <f t="shared" si="154"/>
        <v>464.22892523825118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-1.1368683772161603E-13</v>
      </c>
      <c r="FF161" s="18">
        <f>FE161*VLOOKUP('Données projet'!$B$16,Paramètres!$A$1:$I$89,3,0)*VLOOKUP('Données projet'!$B$16,Paramètres!$A$1:$I$89,5,0)</f>
        <v>-9.7543306765146564E-14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448.44001099301806</v>
      </c>
      <c r="FK161" s="62">
        <f t="shared" si="156"/>
        <v>230.82970731138215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-3.4106051316484809E-13</v>
      </c>
      <c r="GA161" s="18">
        <f>FZ161*VLOOKUP('Données projet'!$B$17,Paramètres!$A$1:$I$89,3,0)*VLOOKUP('Données projet'!$B$17,Paramètres!$A$1:$I$89,5,0)</f>
        <v>-2.2878339223098009E-13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408.91016501484626</v>
      </c>
      <c r="GF161" s="62">
        <f t="shared" si="158"/>
        <v>354.22396807666433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-1.1368683772161603E-13</v>
      </c>
      <c r="GV161" s="18">
        <f>GU161*VLOOKUP('Données projet'!$B$18,Paramètres!$A$1:$I$89,3,0)*VLOOKUP('Données projet'!$B$18,Paramètres!$A$1:$I$89,5,0)</f>
        <v>-1.0995790944434703E-13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562.69380557620775</v>
      </c>
      <c r="HA161" s="62">
        <f t="shared" si="160"/>
        <v>294.45557293177131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-1.0286385077051818E-13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529.25712986118265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8.8675733422860506E-14</v>
      </c>
      <c r="AK162" s="14">
        <f t="shared" si="164"/>
        <v>1.3509285393066301E-12</v>
      </c>
      <c r="AL162" s="22">
        <f t="shared" si="165"/>
        <v>2.5073107750038623E-12</v>
      </c>
      <c r="AM162" s="62">
        <f t="shared" si="113"/>
        <v>293.33333333333582</v>
      </c>
      <c r="AN162" s="62">
        <f ca="1">AVERAGE(OFFSET($AM$3,0,0,'Données projet'!$E$10+1,1))-AVERAGE(OFFSET($H$3,0,0,'Données projet'!$E$10+1,1))</f>
        <v>292.57482726862594</v>
      </c>
      <c r="AO162" s="62">
        <f t="shared" si="144"/>
        <v>283.48738729114024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-3.4106051316484809E-13</v>
      </c>
      <c r="BE162" s="14">
        <f>BD162*VLOOKUP('Données projet'!$B$11,Paramètres!$A$1:$I$89,3,0)*VLOOKUP('Données projet'!$B$11,Paramètres!$A$1:$I$89,5,0)</f>
        <v>-2.5006556825246659E-13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397.24545766894346</v>
      </c>
      <c r="BJ162" s="62">
        <f t="shared" si="146"/>
        <v>431.44557882369696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2.2737367544323206E-13</v>
      </c>
      <c r="BZ162" s="14">
        <f>BY162*VLOOKUP('Données projet'!$B$12,Paramètres!$A$1:$I$89,3,0)*VLOOKUP('Données projet'!$B$12,Paramètres!$A$1:$I$89,5,0)</f>
        <v>1.4897523215040565E-13</v>
      </c>
      <c r="CA162" s="14">
        <f t="shared" si="170"/>
        <v>2.136562777003313E-12</v>
      </c>
      <c r="CB162" s="22">
        <f t="shared" si="171"/>
        <v>3.9806453659427267E-12</v>
      </c>
      <c r="CC162" s="62">
        <f t="shared" si="119"/>
        <v>293.33333333333729</v>
      </c>
      <c r="CD162" s="62">
        <f ca="1">AVERAGE(OFFSET($CC$3,0,0,'Données projet'!$E$12+1,1))-AVERAGE(OFFSET($H$3,0,0,'Données projet'!$E$12+1,1))</f>
        <v>277.27246253233807</v>
      </c>
      <c r="CE162" s="62">
        <f t="shared" si="148"/>
        <v>269.61868559913404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-8.1404323282185943E-13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402.15128814037058</v>
      </c>
      <c r="CZ162" s="62">
        <f t="shared" si="150"/>
        <v>232.85411068442738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-1.0818439477588981E-13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485.18236169209541</v>
      </c>
      <c r="DU162" s="62">
        <f t="shared" si="152"/>
        <v>417.30339652956951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-3.4106051316484809E-13</v>
      </c>
      <c r="EK162" s="18">
        <f>EJ162*VLOOKUP('Données projet'!$B$15,Paramètres!$A$1:$I$89,3,0)*VLOOKUP('Données projet'!$B$15,Paramètres!$A$1:$I$89,5,0)</f>
        <v>-2.7134774427395314E-13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427.78067187784063</v>
      </c>
      <c r="EP162" s="62">
        <f t="shared" si="154"/>
        <v>464.22892523825118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-1.1368683772161603E-13</v>
      </c>
      <c r="FF162" s="18">
        <f>FE162*VLOOKUP('Données projet'!$B$16,Paramètres!$A$1:$I$89,3,0)*VLOOKUP('Données projet'!$B$16,Paramètres!$A$1:$I$89,5,0)</f>
        <v>-9.7543306765146564E-14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448.44001099301806</v>
      </c>
      <c r="FK162" s="62">
        <f t="shared" si="156"/>
        <v>230.82970731138215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-3.4106051316484809E-13</v>
      </c>
      <c r="GA162" s="18">
        <f>FZ162*VLOOKUP('Données projet'!$B$17,Paramètres!$A$1:$I$89,3,0)*VLOOKUP('Données projet'!$B$17,Paramètres!$A$1:$I$89,5,0)</f>
        <v>-2.2878339223098009E-13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408.91016501484626</v>
      </c>
      <c r="GF162" s="62">
        <f t="shared" si="158"/>
        <v>354.22396807666433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-1.1368683772161603E-13</v>
      </c>
      <c r="GV162" s="18">
        <f>GU162*VLOOKUP('Données projet'!$B$18,Paramètres!$A$1:$I$89,3,0)*VLOOKUP('Données projet'!$B$18,Paramètres!$A$1:$I$89,5,0)</f>
        <v>-1.0995790944434703E-13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562.69380557620775</v>
      </c>
      <c r="HA162" s="62">
        <f t="shared" si="160"/>
        <v>294.45557293177131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-1.0286385077051818E-13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529.25712986118265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8.8675733422860506E-14</v>
      </c>
      <c r="AK163" s="14">
        <f t="shared" si="164"/>
        <v>1.3509285393066301E-12</v>
      </c>
      <c r="AL163" s="22">
        <f t="shared" si="165"/>
        <v>2.5073107750038623E-12</v>
      </c>
      <c r="AM163" s="62">
        <f t="shared" si="113"/>
        <v>293.33333333333582</v>
      </c>
      <c r="AN163" s="62">
        <f ca="1">AVERAGE(OFFSET($AM$3,0,0,'Données projet'!$E$10+1,1))-AVERAGE(OFFSET($H$3,0,0,'Données projet'!$E$10+1,1))</f>
        <v>292.57482726862594</v>
      </c>
      <c r="AO163" s="62">
        <f t="shared" si="144"/>
        <v>283.48738729114024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-3.4106051316484809E-13</v>
      </c>
      <c r="BE163" s="14">
        <f>BD163*VLOOKUP('Données projet'!$B$11,Paramètres!$A$1:$I$89,3,0)*VLOOKUP('Données projet'!$B$11,Paramètres!$A$1:$I$89,5,0)</f>
        <v>-2.5006556825246659E-13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397.24545766894346</v>
      </c>
      <c r="BJ163" s="62">
        <f t="shared" si="146"/>
        <v>431.44557882369696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2.2737367544323206E-13</v>
      </c>
      <c r="BZ163" s="14">
        <f>BY163*VLOOKUP('Données projet'!$B$12,Paramètres!$A$1:$I$89,3,0)*VLOOKUP('Données projet'!$B$12,Paramètres!$A$1:$I$89,5,0)</f>
        <v>1.4897523215040565E-13</v>
      </c>
      <c r="CA163" s="14">
        <f t="shared" si="170"/>
        <v>2.136562777003313E-12</v>
      </c>
      <c r="CB163" s="22">
        <f t="shared" si="171"/>
        <v>3.9806453659427267E-12</v>
      </c>
      <c r="CC163" s="62">
        <f t="shared" si="119"/>
        <v>293.33333333333729</v>
      </c>
      <c r="CD163" s="62">
        <f ca="1">AVERAGE(OFFSET($CC$3,0,0,'Données projet'!$E$12+1,1))-AVERAGE(OFFSET($H$3,0,0,'Données projet'!$E$12+1,1))</f>
        <v>277.27246253233807</v>
      </c>
      <c r="CE163" s="62">
        <f t="shared" si="148"/>
        <v>269.61868559913404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-8.1404323282185943E-13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402.15128814037058</v>
      </c>
      <c r="CZ163" s="62">
        <f t="shared" si="150"/>
        <v>232.85411068442738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-1.0818439477588981E-13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485.18236169209541</v>
      </c>
      <c r="DU163" s="62">
        <f t="shared" si="152"/>
        <v>417.30339652956951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-3.4106051316484809E-13</v>
      </c>
      <c r="EK163" s="18">
        <f>EJ163*VLOOKUP('Données projet'!$B$15,Paramètres!$A$1:$I$89,3,0)*VLOOKUP('Données projet'!$B$15,Paramètres!$A$1:$I$89,5,0)</f>
        <v>-2.7134774427395314E-13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427.78067187784063</v>
      </c>
      <c r="EP163" s="62">
        <f t="shared" si="154"/>
        <v>464.22892523825118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-1.1368683772161603E-13</v>
      </c>
      <c r="FF163" s="18">
        <f>FE163*VLOOKUP('Données projet'!$B$16,Paramètres!$A$1:$I$89,3,0)*VLOOKUP('Données projet'!$B$16,Paramètres!$A$1:$I$89,5,0)</f>
        <v>-9.7543306765146564E-14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448.44001099301806</v>
      </c>
      <c r="FK163" s="62">
        <f t="shared" si="156"/>
        <v>230.82970731138215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-3.4106051316484809E-13</v>
      </c>
      <c r="GA163" s="18">
        <f>FZ163*VLOOKUP('Données projet'!$B$17,Paramètres!$A$1:$I$89,3,0)*VLOOKUP('Données projet'!$B$17,Paramètres!$A$1:$I$89,5,0)</f>
        <v>-2.2878339223098009E-13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408.91016501484626</v>
      </c>
      <c r="GF163" s="62">
        <f t="shared" si="158"/>
        <v>354.22396807666433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-1.1368683772161603E-13</v>
      </c>
      <c r="GV163" s="18">
        <f>GU163*VLOOKUP('Données projet'!$B$18,Paramètres!$A$1:$I$89,3,0)*VLOOKUP('Données projet'!$B$18,Paramètres!$A$1:$I$89,5,0)</f>
        <v>-1.0995790944434703E-13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562.69380557620775</v>
      </c>
      <c r="HA163" s="62">
        <f t="shared" si="160"/>
        <v>294.45557293177131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-1.0286385077051818E-13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529.25712986118265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8.8675733422860506E-14</v>
      </c>
      <c r="AK164" s="14">
        <f t="shared" si="164"/>
        <v>1.3509285393066301E-12</v>
      </c>
      <c r="AL164" s="22">
        <f t="shared" si="165"/>
        <v>2.5073107750038623E-12</v>
      </c>
      <c r="AM164" s="62">
        <f t="shared" si="113"/>
        <v>293.33333333333582</v>
      </c>
      <c r="AN164" s="62">
        <f ca="1">AVERAGE(OFFSET($AM$3,0,0,'Données projet'!$E$10+1,1))-AVERAGE(OFFSET($H$3,0,0,'Données projet'!$E$10+1,1))</f>
        <v>292.57482726862594</v>
      </c>
      <c r="AO164" s="62">
        <f t="shared" si="144"/>
        <v>283.48738729114024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-3.4106051316484809E-13</v>
      </c>
      <c r="BE164" s="14">
        <f>BD164*VLOOKUP('Données projet'!$B$11,Paramètres!$A$1:$I$89,3,0)*VLOOKUP('Données projet'!$B$11,Paramètres!$A$1:$I$89,5,0)</f>
        <v>-2.5006556825246659E-13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397.24545766894346</v>
      </c>
      <c r="BJ164" s="62">
        <f t="shared" si="146"/>
        <v>431.44557882369696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2.2737367544323206E-13</v>
      </c>
      <c r="BZ164" s="14">
        <f>BY164*VLOOKUP('Données projet'!$B$12,Paramètres!$A$1:$I$89,3,0)*VLOOKUP('Données projet'!$B$12,Paramètres!$A$1:$I$89,5,0)</f>
        <v>1.4897523215040565E-13</v>
      </c>
      <c r="CA164" s="14">
        <f t="shared" si="170"/>
        <v>2.136562777003313E-12</v>
      </c>
      <c r="CB164" s="22">
        <f t="shared" si="171"/>
        <v>3.9806453659427267E-12</v>
      </c>
      <c r="CC164" s="62">
        <f t="shared" si="119"/>
        <v>293.33333333333729</v>
      </c>
      <c r="CD164" s="62">
        <f ca="1">AVERAGE(OFFSET($CC$3,0,0,'Données projet'!$E$12+1,1))-AVERAGE(OFFSET($H$3,0,0,'Données projet'!$E$12+1,1))</f>
        <v>277.27246253233807</v>
      </c>
      <c r="CE164" s="62">
        <f t="shared" si="148"/>
        <v>269.61868559913404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-8.1404323282185943E-13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402.15128814037058</v>
      </c>
      <c r="CZ164" s="62">
        <f t="shared" si="150"/>
        <v>232.85411068442738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-1.0818439477588981E-13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485.18236169209541</v>
      </c>
      <c r="DU164" s="62">
        <f t="shared" si="152"/>
        <v>417.30339652956951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-3.4106051316484809E-13</v>
      </c>
      <c r="EK164" s="18">
        <f>EJ164*VLOOKUP('Données projet'!$B$15,Paramètres!$A$1:$I$89,3,0)*VLOOKUP('Données projet'!$B$15,Paramètres!$A$1:$I$89,5,0)</f>
        <v>-2.7134774427395314E-13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427.78067187784063</v>
      </c>
      <c r="EP164" s="62">
        <f t="shared" si="154"/>
        <v>464.22892523825118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-1.1368683772161603E-13</v>
      </c>
      <c r="FF164" s="18">
        <f>FE164*VLOOKUP('Données projet'!$B$16,Paramètres!$A$1:$I$89,3,0)*VLOOKUP('Données projet'!$B$16,Paramètres!$A$1:$I$89,5,0)</f>
        <v>-9.7543306765146564E-14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448.44001099301806</v>
      </c>
      <c r="FK164" s="62">
        <f t="shared" si="156"/>
        <v>230.82970731138215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-3.4106051316484809E-13</v>
      </c>
      <c r="GA164" s="18">
        <f>FZ164*VLOOKUP('Données projet'!$B$17,Paramètres!$A$1:$I$89,3,0)*VLOOKUP('Données projet'!$B$17,Paramètres!$A$1:$I$89,5,0)</f>
        <v>-2.2878339223098009E-13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408.91016501484626</v>
      </c>
      <c r="GF164" s="62">
        <f t="shared" si="158"/>
        <v>354.22396807666433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-1.1368683772161603E-13</v>
      </c>
      <c r="GV164" s="18">
        <f>GU164*VLOOKUP('Données projet'!$B$18,Paramètres!$A$1:$I$89,3,0)*VLOOKUP('Données projet'!$B$18,Paramètres!$A$1:$I$89,5,0)</f>
        <v>-1.0995790944434703E-13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562.69380557620775</v>
      </c>
      <c r="HA164" s="62">
        <f t="shared" si="160"/>
        <v>294.45557293177131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-1.0286385077051818E-13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529.25712986118265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8.8675733422860506E-14</v>
      </c>
      <c r="AK165" s="14">
        <f t="shared" si="164"/>
        <v>1.3509285393066301E-12</v>
      </c>
      <c r="AL165" s="22">
        <f t="shared" si="165"/>
        <v>2.5073107750038623E-12</v>
      </c>
      <c r="AM165" s="62">
        <f t="shared" si="113"/>
        <v>293.33333333333582</v>
      </c>
      <c r="AN165" s="62">
        <f ca="1">AVERAGE(OFFSET($AM$3,0,0,'Données projet'!$E$10+1,1))-AVERAGE(OFFSET($H$3,0,0,'Données projet'!$E$10+1,1))</f>
        <v>292.57482726862594</v>
      </c>
      <c r="AO165" s="62">
        <f t="shared" si="144"/>
        <v>283.48738729114024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-3.4106051316484809E-13</v>
      </c>
      <c r="BE165" s="14">
        <f>BD165*VLOOKUP('Données projet'!$B$11,Paramètres!$A$1:$I$89,3,0)*VLOOKUP('Données projet'!$B$11,Paramètres!$A$1:$I$89,5,0)</f>
        <v>-2.5006556825246659E-13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397.24545766894346</v>
      </c>
      <c r="BJ165" s="62">
        <f t="shared" si="146"/>
        <v>431.44557882369696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2.2737367544323206E-13</v>
      </c>
      <c r="BZ165" s="14">
        <f>BY165*VLOOKUP('Données projet'!$B$12,Paramètres!$A$1:$I$89,3,0)*VLOOKUP('Données projet'!$B$12,Paramètres!$A$1:$I$89,5,0)</f>
        <v>1.4897523215040565E-13</v>
      </c>
      <c r="CA165" s="14">
        <f t="shared" si="170"/>
        <v>2.136562777003313E-12</v>
      </c>
      <c r="CB165" s="22">
        <f t="shared" si="171"/>
        <v>3.9806453659427267E-12</v>
      </c>
      <c r="CC165" s="62">
        <f t="shared" si="119"/>
        <v>293.33333333333729</v>
      </c>
      <c r="CD165" s="62">
        <f ca="1">AVERAGE(OFFSET($CC$3,0,0,'Données projet'!$E$12+1,1))-AVERAGE(OFFSET($H$3,0,0,'Données projet'!$E$12+1,1))</f>
        <v>277.27246253233807</v>
      </c>
      <c r="CE165" s="62">
        <f t="shared" si="148"/>
        <v>269.61868559913404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-8.1404323282185943E-13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402.15128814037058</v>
      </c>
      <c r="CZ165" s="62">
        <f t="shared" si="150"/>
        <v>232.85411068442738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-1.0818439477588981E-13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485.18236169209541</v>
      </c>
      <c r="DU165" s="62">
        <f t="shared" si="152"/>
        <v>417.30339652956951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-3.4106051316484809E-13</v>
      </c>
      <c r="EK165" s="18">
        <f>EJ165*VLOOKUP('Données projet'!$B$15,Paramètres!$A$1:$I$89,3,0)*VLOOKUP('Données projet'!$B$15,Paramètres!$A$1:$I$89,5,0)</f>
        <v>-2.7134774427395314E-13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427.78067187784063</v>
      </c>
      <c r="EP165" s="62">
        <f t="shared" si="154"/>
        <v>464.22892523825118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-1.1368683772161603E-13</v>
      </c>
      <c r="FF165" s="18">
        <f>FE165*VLOOKUP('Données projet'!$B$16,Paramètres!$A$1:$I$89,3,0)*VLOOKUP('Données projet'!$B$16,Paramètres!$A$1:$I$89,5,0)</f>
        <v>-9.7543306765146564E-14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448.44001099301806</v>
      </c>
      <c r="FK165" s="62">
        <f t="shared" si="156"/>
        <v>230.82970731138215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-3.4106051316484809E-13</v>
      </c>
      <c r="GA165" s="18">
        <f>FZ165*VLOOKUP('Données projet'!$B$17,Paramètres!$A$1:$I$89,3,0)*VLOOKUP('Données projet'!$B$17,Paramètres!$A$1:$I$89,5,0)</f>
        <v>-2.2878339223098009E-13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408.91016501484626</v>
      </c>
      <c r="GF165" s="62">
        <f t="shared" si="158"/>
        <v>354.22396807666433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-1.1368683772161603E-13</v>
      </c>
      <c r="GV165" s="18">
        <f>GU165*VLOOKUP('Données projet'!$B$18,Paramètres!$A$1:$I$89,3,0)*VLOOKUP('Données projet'!$B$18,Paramètres!$A$1:$I$89,5,0)</f>
        <v>-1.0995790944434703E-13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562.69380557620775</v>
      </c>
      <c r="HA165" s="62">
        <f t="shared" si="160"/>
        <v>294.45557293177131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-1.0286385077051818E-13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529.25712986118265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8.8675733422860506E-14</v>
      </c>
      <c r="AK166" s="14">
        <f t="shared" si="164"/>
        <v>1.3509285393066301E-12</v>
      </c>
      <c r="AL166" s="22">
        <f t="shared" si="165"/>
        <v>2.5073107750038623E-12</v>
      </c>
      <c r="AM166" s="62">
        <f t="shared" si="113"/>
        <v>293.33333333333582</v>
      </c>
      <c r="AN166" s="62">
        <f ca="1">AVERAGE(OFFSET($AM$3,0,0,'Données projet'!$E$10+1,1))-AVERAGE(OFFSET($H$3,0,0,'Données projet'!$E$10+1,1))</f>
        <v>292.57482726862594</v>
      </c>
      <c r="AO166" s="62">
        <f t="shared" si="144"/>
        <v>283.48738729114024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-3.4106051316484809E-13</v>
      </c>
      <c r="BE166" s="14">
        <f>BD166*VLOOKUP('Données projet'!$B$11,Paramètres!$A$1:$I$89,3,0)*VLOOKUP('Données projet'!$B$11,Paramètres!$A$1:$I$89,5,0)</f>
        <v>-2.5006556825246659E-13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397.24545766894346</v>
      </c>
      <c r="BJ166" s="62">
        <f t="shared" si="146"/>
        <v>431.44557882369696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2.2737367544323206E-13</v>
      </c>
      <c r="BZ166" s="14">
        <f>BY166*VLOOKUP('Données projet'!$B$12,Paramètres!$A$1:$I$89,3,0)*VLOOKUP('Données projet'!$B$12,Paramètres!$A$1:$I$89,5,0)</f>
        <v>1.4897523215040565E-13</v>
      </c>
      <c r="CA166" s="14">
        <f t="shared" si="170"/>
        <v>2.136562777003313E-12</v>
      </c>
      <c r="CB166" s="22">
        <f t="shared" si="171"/>
        <v>3.9806453659427267E-12</v>
      </c>
      <c r="CC166" s="62">
        <f t="shared" si="119"/>
        <v>293.33333333333729</v>
      </c>
      <c r="CD166" s="62">
        <f ca="1">AVERAGE(OFFSET($CC$3,0,0,'Données projet'!$E$12+1,1))-AVERAGE(OFFSET($H$3,0,0,'Données projet'!$E$12+1,1))</f>
        <v>277.27246253233807</v>
      </c>
      <c r="CE166" s="62">
        <f t="shared" si="148"/>
        <v>269.61868559913404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-8.1404323282185943E-13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402.15128814037058</v>
      </c>
      <c r="CZ166" s="62">
        <f t="shared" si="150"/>
        <v>232.85411068442738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-1.0818439477588981E-13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485.18236169209541</v>
      </c>
      <c r="DU166" s="62">
        <f t="shared" si="152"/>
        <v>417.30339652956951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-3.4106051316484809E-13</v>
      </c>
      <c r="EK166" s="18">
        <f>EJ166*VLOOKUP('Données projet'!$B$15,Paramètres!$A$1:$I$89,3,0)*VLOOKUP('Données projet'!$B$15,Paramètres!$A$1:$I$89,5,0)</f>
        <v>-2.7134774427395314E-13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427.78067187784063</v>
      </c>
      <c r="EP166" s="62">
        <f t="shared" si="154"/>
        <v>464.22892523825118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-1.1368683772161603E-13</v>
      </c>
      <c r="FF166" s="18">
        <f>FE166*VLOOKUP('Données projet'!$B$16,Paramètres!$A$1:$I$89,3,0)*VLOOKUP('Données projet'!$B$16,Paramètres!$A$1:$I$89,5,0)</f>
        <v>-9.7543306765146564E-14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448.44001099301806</v>
      </c>
      <c r="FK166" s="62">
        <f t="shared" si="156"/>
        <v>230.82970731138215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-3.4106051316484809E-13</v>
      </c>
      <c r="GA166" s="18">
        <f>FZ166*VLOOKUP('Données projet'!$B$17,Paramètres!$A$1:$I$89,3,0)*VLOOKUP('Données projet'!$B$17,Paramètres!$A$1:$I$89,5,0)</f>
        <v>-2.2878339223098009E-13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408.91016501484626</v>
      </c>
      <c r="GF166" s="62">
        <f t="shared" si="158"/>
        <v>354.22396807666433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-1.1368683772161603E-13</v>
      </c>
      <c r="GV166" s="18">
        <f>GU166*VLOOKUP('Données projet'!$B$18,Paramètres!$A$1:$I$89,3,0)*VLOOKUP('Données projet'!$B$18,Paramètres!$A$1:$I$89,5,0)</f>
        <v>-1.0995790944434703E-13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562.69380557620775</v>
      </c>
      <c r="HA166" s="62">
        <f t="shared" si="160"/>
        <v>294.45557293177131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-1.0286385077051818E-13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529.25712986118265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8.8675733422860506E-14</v>
      </c>
      <c r="AK167" s="14">
        <f t="shared" si="164"/>
        <v>1.3509285393066301E-12</v>
      </c>
      <c r="AL167" s="22">
        <f t="shared" si="165"/>
        <v>2.5073107750038623E-12</v>
      </c>
      <c r="AM167" s="62">
        <f t="shared" si="113"/>
        <v>293.33333333333582</v>
      </c>
      <c r="AN167" s="62">
        <f ca="1">AVERAGE(OFFSET($AM$3,0,0,'Données projet'!$E$10+1,1))-AVERAGE(OFFSET($H$3,0,0,'Données projet'!$E$10+1,1))</f>
        <v>292.57482726862594</v>
      </c>
      <c r="AO167" s="62">
        <f t="shared" si="144"/>
        <v>283.48738729114024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-3.4106051316484809E-13</v>
      </c>
      <c r="BE167" s="14">
        <f>BD167*VLOOKUP('Données projet'!$B$11,Paramètres!$A$1:$I$89,3,0)*VLOOKUP('Données projet'!$B$11,Paramètres!$A$1:$I$89,5,0)</f>
        <v>-2.5006556825246659E-13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397.24545766894346</v>
      </c>
      <c r="BJ167" s="62">
        <f t="shared" si="146"/>
        <v>431.44557882369696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2.2737367544323206E-13</v>
      </c>
      <c r="BZ167" s="14">
        <f>BY167*VLOOKUP('Données projet'!$B$12,Paramètres!$A$1:$I$89,3,0)*VLOOKUP('Données projet'!$B$12,Paramètres!$A$1:$I$89,5,0)</f>
        <v>1.4897523215040565E-13</v>
      </c>
      <c r="CA167" s="14">
        <f t="shared" si="170"/>
        <v>2.136562777003313E-12</v>
      </c>
      <c r="CB167" s="22">
        <f t="shared" si="171"/>
        <v>3.9806453659427267E-12</v>
      </c>
      <c r="CC167" s="62">
        <f t="shared" si="119"/>
        <v>293.33333333333729</v>
      </c>
      <c r="CD167" s="62">
        <f ca="1">AVERAGE(OFFSET($CC$3,0,0,'Données projet'!$E$12+1,1))-AVERAGE(OFFSET($H$3,0,0,'Données projet'!$E$12+1,1))</f>
        <v>277.27246253233807</v>
      </c>
      <c r="CE167" s="62">
        <f t="shared" si="148"/>
        <v>269.61868559913404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-8.1404323282185943E-13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402.15128814037058</v>
      </c>
      <c r="CZ167" s="62">
        <f t="shared" si="150"/>
        <v>232.85411068442738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-1.0818439477588981E-13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485.18236169209541</v>
      </c>
      <c r="DU167" s="62">
        <f t="shared" si="152"/>
        <v>417.30339652956951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-3.4106051316484809E-13</v>
      </c>
      <c r="EK167" s="18">
        <f>EJ167*VLOOKUP('Données projet'!$B$15,Paramètres!$A$1:$I$89,3,0)*VLOOKUP('Données projet'!$B$15,Paramètres!$A$1:$I$89,5,0)</f>
        <v>-2.7134774427395314E-13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427.78067187784063</v>
      </c>
      <c r="EP167" s="62">
        <f t="shared" si="154"/>
        <v>464.22892523825118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-1.1368683772161603E-13</v>
      </c>
      <c r="FF167" s="18">
        <f>FE167*VLOOKUP('Données projet'!$B$16,Paramètres!$A$1:$I$89,3,0)*VLOOKUP('Données projet'!$B$16,Paramètres!$A$1:$I$89,5,0)</f>
        <v>-9.7543306765146564E-14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448.44001099301806</v>
      </c>
      <c r="FK167" s="62">
        <f t="shared" si="156"/>
        <v>230.82970731138215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-3.4106051316484809E-13</v>
      </c>
      <c r="GA167" s="18">
        <f>FZ167*VLOOKUP('Données projet'!$B$17,Paramètres!$A$1:$I$89,3,0)*VLOOKUP('Données projet'!$B$17,Paramètres!$A$1:$I$89,5,0)</f>
        <v>-2.2878339223098009E-13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408.91016501484626</v>
      </c>
      <c r="GF167" s="62">
        <f t="shared" si="158"/>
        <v>354.22396807666433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-1.1368683772161603E-13</v>
      </c>
      <c r="GV167" s="18">
        <f>GU167*VLOOKUP('Données projet'!$B$18,Paramètres!$A$1:$I$89,3,0)*VLOOKUP('Données projet'!$B$18,Paramètres!$A$1:$I$89,5,0)</f>
        <v>-1.0995790944434703E-13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562.69380557620775</v>
      </c>
      <c r="HA167" s="62">
        <f t="shared" si="160"/>
        <v>294.45557293177131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-1.0286385077051818E-13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529.25712986118265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8.8675733422860506E-14</v>
      </c>
      <c r="AK168" s="14">
        <f t="shared" si="164"/>
        <v>1.3509285393066301E-12</v>
      </c>
      <c r="AL168" s="22">
        <f t="shared" si="165"/>
        <v>2.5073107750038623E-12</v>
      </c>
      <c r="AM168" s="62">
        <f t="shared" si="113"/>
        <v>293.33333333333582</v>
      </c>
      <c r="AN168" s="62">
        <f ca="1">AVERAGE(OFFSET($AM$3,0,0,'Données projet'!$E$10+1,1))-AVERAGE(OFFSET($H$3,0,0,'Données projet'!$E$10+1,1))</f>
        <v>292.57482726862594</v>
      </c>
      <c r="AO168" s="62">
        <f t="shared" si="144"/>
        <v>283.48738729114024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-3.4106051316484809E-13</v>
      </c>
      <c r="BE168" s="14">
        <f>BD168*VLOOKUP('Données projet'!$B$11,Paramètres!$A$1:$I$89,3,0)*VLOOKUP('Données projet'!$B$11,Paramètres!$A$1:$I$89,5,0)</f>
        <v>-2.5006556825246659E-13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397.24545766894346</v>
      </c>
      <c r="BJ168" s="62">
        <f t="shared" si="146"/>
        <v>431.44557882369696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2.2737367544323206E-13</v>
      </c>
      <c r="BZ168" s="14">
        <f>BY168*VLOOKUP('Données projet'!$B$12,Paramètres!$A$1:$I$89,3,0)*VLOOKUP('Données projet'!$B$12,Paramètres!$A$1:$I$89,5,0)</f>
        <v>1.4897523215040565E-13</v>
      </c>
      <c r="CA168" s="14">
        <f t="shared" si="170"/>
        <v>2.136562777003313E-12</v>
      </c>
      <c r="CB168" s="22">
        <f t="shared" si="171"/>
        <v>3.9806453659427267E-12</v>
      </c>
      <c r="CC168" s="62">
        <f t="shared" si="119"/>
        <v>293.33333333333729</v>
      </c>
      <c r="CD168" s="62">
        <f ca="1">AVERAGE(OFFSET($CC$3,0,0,'Données projet'!$E$12+1,1))-AVERAGE(OFFSET($H$3,0,0,'Données projet'!$E$12+1,1))</f>
        <v>277.27246253233807</v>
      </c>
      <c r="CE168" s="62">
        <f t="shared" si="148"/>
        <v>269.61868559913404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-8.1404323282185943E-13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402.15128814037058</v>
      </c>
      <c r="CZ168" s="62">
        <f t="shared" si="150"/>
        <v>232.85411068442738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-1.0818439477588981E-13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485.18236169209541</v>
      </c>
      <c r="DU168" s="62">
        <f t="shared" si="152"/>
        <v>417.30339652956951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-3.4106051316484809E-13</v>
      </c>
      <c r="EK168" s="18">
        <f>EJ168*VLOOKUP('Données projet'!$B$15,Paramètres!$A$1:$I$89,3,0)*VLOOKUP('Données projet'!$B$15,Paramètres!$A$1:$I$89,5,0)</f>
        <v>-2.7134774427395314E-13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427.78067187784063</v>
      </c>
      <c r="EP168" s="62">
        <f t="shared" si="154"/>
        <v>464.22892523825118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-1.1368683772161603E-13</v>
      </c>
      <c r="FF168" s="18">
        <f>FE168*VLOOKUP('Données projet'!$B$16,Paramètres!$A$1:$I$89,3,0)*VLOOKUP('Données projet'!$B$16,Paramètres!$A$1:$I$89,5,0)</f>
        <v>-9.7543306765146564E-14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448.44001099301806</v>
      </c>
      <c r="FK168" s="62">
        <f t="shared" si="156"/>
        <v>230.82970731138215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-3.4106051316484809E-13</v>
      </c>
      <c r="GA168" s="18">
        <f>FZ168*VLOOKUP('Données projet'!$B$17,Paramètres!$A$1:$I$89,3,0)*VLOOKUP('Données projet'!$B$17,Paramètres!$A$1:$I$89,5,0)</f>
        <v>-2.2878339223098009E-13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408.91016501484626</v>
      </c>
      <c r="GF168" s="62">
        <f t="shared" si="158"/>
        <v>354.22396807666433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-1.1368683772161603E-13</v>
      </c>
      <c r="GV168" s="18">
        <f>GU168*VLOOKUP('Données projet'!$B$18,Paramètres!$A$1:$I$89,3,0)*VLOOKUP('Données projet'!$B$18,Paramètres!$A$1:$I$89,5,0)</f>
        <v>-1.0995790944434703E-13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562.69380557620775</v>
      </c>
      <c r="HA168" s="62">
        <f t="shared" si="160"/>
        <v>294.45557293177131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-1.0286385077051818E-13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529.25712986118265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8.8675733422860506E-14</v>
      </c>
      <c r="AK169" s="14">
        <f t="shared" si="164"/>
        <v>1.3509285393066301E-12</v>
      </c>
      <c r="AL169" s="22">
        <f t="shared" si="165"/>
        <v>2.5073107750038623E-12</v>
      </c>
      <c r="AM169" s="62">
        <f t="shared" si="113"/>
        <v>293.33333333333582</v>
      </c>
      <c r="AN169" s="62">
        <f ca="1">AVERAGE(OFFSET($AM$3,0,0,'Données projet'!$E$10+1,1))-AVERAGE(OFFSET($H$3,0,0,'Données projet'!$E$10+1,1))</f>
        <v>292.57482726862594</v>
      </c>
      <c r="AO169" s="62">
        <f t="shared" si="144"/>
        <v>283.48738729114024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-3.4106051316484809E-13</v>
      </c>
      <c r="BE169" s="14">
        <f>BD169*VLOOKUP('Données projet'!$B$11,Paramètres!$A$1:$I$89,3,0)*VLOOKUP('Données projet'!$B$11,Paramètres!$A$1:$I$89,5,0)</f>
        <v>-2.5006556825246659E-13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397.24545766894346</v>
      </c>
      <c r="BJ169" s="62">
        <f t="shared" si="146"/>
        <v>431.44557882369696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2.2737367544323206E-13</v>
      </c>
      <c r="BZ169" s="14">
        <f>BY169*VLOOKUP('Données projet'!$B$12,Paramètres!$A$1:$I$89,3,0)*VLOOKUP('Données projet'!$B$12,Paramètres!$A$1:$I$89,5,0)</f>
        <v>1.4897523215040565E-13</v>
      </c>
      <c r="CA169" s="14">
        <f t="shared" si="170"/>
        <v>2.136562777003313E-12</v>
      </c>
      <c r="CB169" s="22">
        <f t="shared" si="171"/>
        <v>3.9806453659427267E-12</v>
      </c>
      <c r="CC169" s="62">
        <f t="shared" si="119"/>
        <v>293.33333333333729</v>
      </c>
      <c r="CD169" s="62">
        <f ca="1">AVERAGE(OFFSET($CC$3,0,0,'Données projet'!$E$12+1,1))-AVERAGE(OFFSET($H$3,0,0,'Données projet'!$E$12+1,1))</f>
        <v>277.27246253233807</v>
      </c>
      <c r="CE169" s="62">
        <f t="shared" si="148"/>
        <v>269.61868559913404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-8.1404323282185943E-13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402.15128814037058</v>
      </c>
      <c r="CZ169" s="62">
        <f t="shared" si="150"/>
        <v>232.85411068442738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-1.0818439477588981E-13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485.18236169209541</v>
      </c>
      <c r="DU169" s="62">
        <f t="shared" si="152"/>
        <v>417.30339652956951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-3.4106051316484809E-13</v>
      </c>
      <c r="EK169" s="18">
        <f>EJ169*VLOOKUP('Données projet'!$B$15,Paramètres!$A$1:$I$89,3,0)*VLOOKUP('Données projet'!$B$15,Paramètres!$A$1:$I$89,5,0)</f>
        <v>-2.7134774427395314E-13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427.78067187784063</v>
      </c>
      <c r="EP169" s="62">
        <f t="shared" si="154"/>
        <v>464.22892523825118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-1.1368683772161603E-13</v>
      </c>
      <c r="FF169" s="18">
        <f>FE169*VLOOKUP('Données projet'!$B$16,Paramètres!$A$1:$I$89,3,0)*VLOOKUP('Données projet'!$B$16,Paramètres!$A$1:$I$89,5,0)</f>
        <v>-9.7543306765146564E-14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448.44001099301806</v>
      </c>
      <c r="FK169" s="62">
        <f t="shared" si="156"/>
        <v>230.82970731138215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-3.4106051316484809E-13</v>
      </c>
      <c r="GA169" s="18">
        <f>FZ169*VLOOKUP('Données projet'!$B$17,Paramètres!$A$1:$I$89,3,0)*VLOOKUP('Données projet'!$B$17,Paramètres!$A$1:$I$89,5,0)</f>
        <v>-2.2878339223098009E-13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408.91016501484626</v>
      </c>
      <c r="GF169" s="62">
        <f t="shared" si="158"/>
        <v>354.22396807666433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-1.1368683772161603E-13</v>
      </c>
      <c r="GV169" s="18">
        <f>GU169*VLOOKUP('Données projet'!$B$18,Paramètres!$A$1:$I$89,3,0)*VLOOKUP('Données projet'!$B$18,Paramètres!$A$1:$I$89,5,0)</f>
        <v>-1.0995790944434703E-13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562.69380557620775</v>
      </c>
      <c r="HA169" s="62">
        <f t="shared" si="160"/>
        <v>294.45557293177131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-1.0286385077051818E-13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529.25712986118265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8.8675733422860506E-14</v>
      </c>
      <c r="AK170" s="14">
        <f t="shared" si="164"/>
        <v>1.3509285393066301E-12</v>
      </c>
      <c r="AL170" s="22">
        <f t="shared" si="165"/>
        <v>2.5073107750038623E-12</v>
      </c>
      <c r="AM170" s="62">
        <f t="shared" si="113"/>
        <v>293.33333333333582</v>
      </c>
      <c r="AN170" s="62">
        <f ca="1">AVERAGE(OFFSET($AM$3,0,0,'Données projet'!$E$10+1,1))-AVERAGE(OFFSET($H$3,0,0,'Données projet'!$E$10+1,1))</f>
        <v>292.57482726862594</v>
      </c>
      <c r="AO170" s="62">
        <f t="shared" si="144"/>
        <v>283.48738729114024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-3.4106051316484809E-13</v>
      </c>
      <c r="BE170" s="14">
        <f>BD170*VLOOKUP('Données projet'!$B$11,Paramètres!$A$1:$I$89,3,0)*VLOOKUP('Données projet'!$B$11,Paramètres!$A$1:$I$89,5,0)</f>
        <v>-2.5006556825246659E-13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397.24545766894346</v>
      </c>
      <c r="BJ170" s="62">
        <f t="shared" si="146"/>
        <v>431.44557882369696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2.2737367544323206E-13</v>
      </c>
      <c r="BZ170" s="14">
        <f>BY170*VLOOKUP('Données projet'!$B$12,Paramètres!$A$1:$I$89,3,0)*VLOOKUP('Données projet'!$B$12,Paramètres!$A$1:$I$89,5,0)</f>
        <v>1.4897523215040565E-13</v>
      </c>
      <c r="CA170" s="14">
        <f t="shared" si="170"/>
        <v>2.136562777003313E-12</v>
      </c>
      <c r="CB170" s="22">
        <f t="shared" si="171"/>
        <v>3.9806453659427267E-12</v>
      </c>
      <c r="CC170" s="62">
        <f t="shared" si="119"/>
        <v>293.33333333333729</v>
      </c>
      <c r="CD170" s="62">
        <f ca="1">AVERAGE(OFFSET($CC$3,0,0,'Données projet'!$E$12+1,1))-AVERAGE(OFFSET($H$3,0,0,'Données projet'!$E$12+1,1))</f>
        <v>277.27246253233807</v>
      </c>
      <c r="CE170" s="62">
        <f t="shared" si="148"/>
        <v>269.61868559913404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-8.1404323282185943E-13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402.15128814037058</v>
      </c>
      <c r="CZ170" s="62">
        <f t="shared" si="150"/>
        <v>232.85411068442738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-1.0818439477588981E-13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485.18236169209541</v>
      </c>
      <c r="DU170" s="62">
        <f t="shared" si="152"/>
        <v>417.30339652956951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-3.4106051316484809E-13</v>
      </c>
      <c r="EK170" s="18">
        <f>EJ170*VLOOKUP('Données projet'!$B$15,Paramètres!$A$1:$I$89,3,0)*VLOOKUP('Données projet'!$B$15,Paramètres!$A$1:$I$89,5,0)</f>
        <v>-2.7134774427395314E-13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427.78067187784063</v>
      </c>
      <c r="EP170" s="62">
        <f t="shared" si="154"/>
        <v>464.22892523825118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-1.1368683772161603E-13</v>
      </c>
      <c r="FF170" s="18">
        <f>FE170*VLOOKUP('Données projet'!$B$16,Paramètres!$A$1:$I$89,3,0)*VLOOKUP('Données projet'!$B$16,Paramètres!$A$1:$I$89,5,0)</f>
        <v>-9.7543306765146564E-14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448.44001099301806</v>
      </c>
      <c r="FK170" s="62">
        <f t="shared" si="156"/>
        <v>230.82970731138215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-3.4106051316484809E-13</v>
      </c>
      <c r="GA170" s="18">
        <f>FZ170*VLOOKUP('Données projet'!$B$17,Paramètres!$A$1:$I$89,3,0)*VLOOKUP('Données projet'!$B$17,Paramètres!$A$1:$I$89,5,0)</f>
        <v>-2.2878339223098009E-13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408.91016501484626</v>
      </c>
      <c r="GF170" s="62">
        <f t="shared" si="158"/>
        <v>354.22396807666433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-1.1368683772161603E-13</v>
      </c>
      <c r="GV170" s="18">
        <f>GU170*VLOOKUP('Données projet'!$B$18,Paramètres!$A$1:$I$89,3,0)*VLOOKUP('Données projet'!$B$18,Paramètres!$A$1:$I$89,5,0)</f>
        <v>-1.0995790944434703E-13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562.69380557620775</v>
      </c>
      <c r="HA170" s="62">
        <f t="shared" si="160"/>
        <v>294.45557293177131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-1.0286385077051818E-13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529.25712986118265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8.8675733422860506E-14</v>
      </c>
      <c r="AK171" s="14">
        <f t="shared" si="164"/>
        <v>1.3509285393066301E-12</v>
      </c>
      <c r="AL171" s="22">
        <f t="shared" si="165"/>
        <v>2.5073107750038623E-12</v>
      </c>
      <c r="AM171" s="62">
        <f t="shared" si="113"/>
        <v>293.33333333333582</v>
      </c>
      <c r="AN171" s="62">
        <f ca="1">AVERAGE(OFFSET($AM$3,0,0,'Données projet'!$E$10+1,1))-AVERAGE(OFFSET($H$3,0,0,'Données projet'!$E$10+1,1))</f>
        <v>292.57482726862594</v>
      </c>
      <c r="AO171" s="62">
        <f t="shared" si="144"/>
        <v>283.48738729114024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-3.4106051316484809E-13</v>
      </c>
      <c r="BE171" s="14">
        <f>BD171*VLOOKUP('Données projet'!$B$11,Paramètres!$A$1:$I$89,3,0)*VLOOKUP('Données projet'!$B$11,Paramètres!$A$1:$I$89,5,0)</f>
        <v>-2.5006556825246659E-13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397.24545766894346</v>
      </c>
      <c r="BJ171" s="62">
        <f t="shared" si="146"/>
        <v>431.44557882369696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2.2737367544323206E-13</v>
      </c>
      <c r="BZ171" s="14">
        <f>BY171*VLOOKUP('Données projet'!$B$12,Paramètres!$A$1:$I$89,3,0)*VLOOKUP('Données projet'!$B$12,Paramètres!$A$1:$I$89,5,0)</f>
        <v>1.4897523215040565E-13</v>
      </c>
      <c r="CA171" s="14">
        <f t="shared" si="170"/>
        <v>2.136562777003313E-12</v>
      </c>
      <c r="CB171" s="22">
        <f t="shared" si="171"/>
        <v>3.9806453659427267E-12</v>
      </c>
      <c r="CC171" s="62">
        <f t="shared" si="119"/>
        <v>293.33333333333729</v>
      </c>
      <c r="CD171" s="62">
        <f ca="1">AVERAGE(OFFSET($CC$3,0,0,'Données projet'!$E$12+1,1))-AVERAGE(OFFSET($H$3,0,0,'Données projet'!$E$12+1,1))</f>
        <v>277.27246253233807</v>
      </c>
      <c r="CE171" s="62">
        <f t="shared" si="148"/>
        <v>269.61868559913404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-8.1404323282185943E-13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402.15128814037058</v>
      </c>
      <c r="CZ171" s="62">
        <f t="shared" si="150"/>
        <v>232.85411068442738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-1.0818439477588981E-13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485.18236169209541</v>
      </c>
      <c r="DU171" s="62">
        <f t="shared" si="152"/>
        <v>417.30339652956951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-3.4106051316484809E-13</v>
      </c>
      <c r="EK171" s="18">
        <f>EJ171*VLOOKUP('Données projet'!$B$15,Paramètres!$A$1:$I$89,3,0)*VLOOKUP('Données projet'!$B$15,Paramètres!$A$1:$I$89,5,0)</f>
        <v>-2.7134774427395314E-13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427.78067187784063</v>
      </c>
      <c r="EP171" s="62">
        <f t="shared" si="154"/>
        <v>464.22892523825118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-1.1368683772161603E-13</v>
      </c>
      <c r="FF171" s="18">
        <f>FE171*VLOOKUP('Données projet'!$B$16,Paramètres!$A$1:$I$89,3,0)*VLOOKUP('Données projet'!$B$16,Paramètres!$A$1:$I$89,5,0)</f>
        <v>-9.7543306765146564E-14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448.44001099301806</v>
      </c>
      <c r="FK171" s="62">
        <f t="shared" si="156"/>
        <v>230.82970731138215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-3.4106051316484809E-13</v>
      </c>
      <c r="GA171" s="18">
        <f>FZ171*VLOOKUP('Données projet'!$B$17,Paramètres!$A$1:$I$89,3,0)*VLOOKUP('Données projet'!$B$17,Paramètres!$A$1:$I$89,5,0)</f>
        <v>-2.2878339223098009E-13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408.91016501484626</v>
      </c>
      <c r="GF171" s="62">
        <f t="shared" si="158"/>
        <v>354.22396807666433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-1.1368683772161603E-13</v>
      </c>
      <c r="GV171" s="18">
        <f>GU171*VLOOKUP('Données projet'!$B$18,Paramètres!$A$1:$I$89,3,0)*VLOOKUP('Données projet'!$B$18,Paramètres!$A$1:$I$89,5,0)</f>
        <v>-1.0995790944434703E-13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562.69380557620775</v>
      </c>
      <c r="HA171" s="62">
        <f t="shared" si="160"/>
        <v>294.45557293177131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-1.0286385077051818E-13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529.25712986118265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8.8675733422860506E-14</v>
      </c>
      <c r="AK172" s="14">
        <f t="shared" si="164"/>
        <v>1.3509285393066301E-12</v>
      </c>
      <c r="AL172" s="22">
        <f t="shared" si="165"/>
        <v>2.5073107750038623E-12</v>
      </c>
      <c r="AM172" s="62">
        <f t="shared" si="113"/>
        <v>293.33333333333582</v>
      </c>
      <c r="AN172" s="62">
        <f ca="1">AVERAGE(OFFSET($AM$3,0,0,'Données projet'!$E$10+1,1))-AVERAGE(OFFSET($H$3,0,0,'Données projet'!$E$10+1,1))</f>
        <v>292.57482726862594</v>
      </c>
      <c r="AO172" s="62">
        <f t="shared" si="144"/>
        <v>283.48738729114024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-3.4106051316484809E-13</v>
      </c>
      <c r="BE172" s="14">
        <f>BD172*VLOOKUP('Données projet'!$B$11,Paramètres!$A$1:$I$89,3,0)*VLOOKUP('Données projet'!$B$11,Paramètres!$A$1:$I$89,5,0)</f>
        <v>-2.5006556825246659E-13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397.24545766894346</v>
      </c>
      <c r="BJ172" s="62">
        <f t="shared" si="146"/>
        <v>431.44557882369696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2.2737367544323206E-13</v>
      </c>
      <c r="BZ172" s="14">
        <f>BY172*VLOOKUP('Données projet'!$B$12,Paramètres!$A$1:$I$89,3,0)*VLOOKUP('Données projet'!$B$12,Paramètres!$A$1:$I$89,5,0)</f>
        <v>1.4897523215040565E-13</v>
      </c>
      <c r="CA172" s="14">
        <f t="shared" si="170"/>
        <v>2.136562777003313E-12</v>
      </c>
      <c r="CB172" s="22">
        <f t="shared" si="171"/>
        <v>3.9806453659427267E-12</v>
      </c>
      <c r="CC172" s="62">
        <f t="shared" si="119"/>
        <v>293.33333333333729</v>
      </c>
      <c r="CD172" s="62">
        <f ca="1">AVERAGE(OFFSET($CC$3,0,0,'Données projet'!$E$12+1,1))-AVERAGE(OFFSET($H$3,0,0,'Données projet'!$E$12+1,1))</f>
        <v>277.27246253233807</v>
      </c>
      <c r="CE172" s="62">
        <f t="shared" si="148"/>
        <v>269.61868559913404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-8.1404323282185943E-13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402.15128814037058</v>
      </c>
      <c r="CZ172" s="62">
        <f t="shared" si="150"/>
        <v>232.85411068442738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-1.0818439477588981E-13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485.18236169209541</v>
      </c>
      <c r="DU172" s="62">
        <f t="shared" si="152"/>
        <v>417.30339652956951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-3.4106051316484809E-13</v>
      </c>
      <c r="EK172" s="18">
        <f>EJ172*VLOOKUP('Données projet'!$B$15,Paramètres!$A$1:$I$89,3,0)*VLOOKUP('Données projet'!$B$15,Paramètres!$A$1:$I$89,5,0)</f>
        <v>-2.7134774427395314E-13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427.78067187784063</v>
      </c>
      <c r="EP172" s="62">
        <f t="shared" si="154"/>
        <v>464.22892523825118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-1.1368683772161603E-13</v>
      </c>
      <c r="FF172" s="18">
        <f>FE172*VLOOKUP('Données projet'!$B$16,Paramètres!$A$1:$I$89,3,0)*VLOOKUP('Données projet'!$B$16,Paramètres!$A$1:$I$89,5,0)</f>
        <v>-9.7543306765146564E-14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448.44001099301806</v>
      </c>
      <c r="FK172" s="62">
        <f t="shared" si="156"/>
        <v>230.82970731138215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-3.4106051316484809E-13</v>
      </c>
      <c r="GA172" s="18">
        <f>FZ172*VLOOKUP('Données projet'!$B$17,Paramètres!$A$1:$I$89,3,0)*VLOOKUP('Données projet'!$B$17,Paramètres!$A$1:$I$89,5,0)</f>
        <v>-2.2878339223098009E-13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408.91016501484626</v>
      </c>
      <c r="GF172" s="62">
        <f t="shared" si="158"/>
        <v>354.22396807666433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-1.1368683772161603E-13</v>
      </c>
      <c r="GV172" s="18">
        <f>GU172*VLOOKUP('Données projet'!$B$18,Paramètres!$A$1:$I$89,3,0)*VLOOKUP('Données projet'!$B$18,Paramètres!$A$1:$I$89,5,0)</f>
        <v>-1.0995790944434703E-13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562.69380557620775</v>
      </c>
      <c r="HA172" s="62">
        <f t="shared" si="160"/>
        <v>294.45557293177131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-1.0286385077051818E-13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529.25712986118265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8.8675733422860506E-14</v>
      </c>
      <c r="AK173" s="14">
        <f t="shared" si="164"/>
        <v>1.3509285393066301E-12</v>
      </c>
      <c r="AL173" s="22">
        <f t="shared" si="165"/>
        <v>2.5073107750038623E-12</v>
      </c>
      <c r="AM173" s="62">
        <f t="shared" si="113"/>
        <v>293.33333333333582</v>
      </c>
      <c r="AN173" s="62">
        <f ca="1">AVERAGE(OFFSET($AM$3,0,0,'Données projet'!$E$10+1,1))-AVERAGE(OFFSET($H$3,0,0,'Données projet'!$E$10+1,1))</f>
        <v>292.57482726862594</v>
      </c>
      <c r="AO173" s="62">
        <f t="shared" si="144"/>
        <v>283.48738729114024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-3.4106051316484809E-13</v>
      </c>
      <c r="BE173" s="14">
        <f>BD173*VLOOKUP('Données projet'!$B$11,Paramètres!$A$1:$I$89,3,0)*VLOOKUP('Données projet'!$B$11,Paramètres!$A$1:$I$89,5,0)</f>
        <v>-2.5006556825246659E-13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397.24545766894346</v>
      </c>
      <c r="BJ173" s="62">
        <f t="shared" si="146"/>
        <v>431.44557882369696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2.2737367544323206E-13</v>
      </c>
      <c r="BZ173" s="14">
        <f>BY173*VLOOKUP('Données projet'!$B$12,Paramètres!$A$1:$I$89,3,0)*VLOOKUP('Données projet'!$B$12,Paramètres!$A$1:$I$89,5,0)</f>
        <v>1.4897523215040565E-13</v>
      </c>
      <c r="CA173" s="14">
        <f t="shared" si="170"/>
        <v>2.136562777003313E-12</v>
      </c>
      <c r="CB173" s="22">
        <f t="shared" si="171"/>
        <v>3.9806453659427267E-12</v>
      </c>
      <c r="CC173" s="62">
        <f t="shared" si="119"/>
        <v>293.33333333333729</v>
      </c>
      <c r="CD173" s="62">
        <f ca="1">AVERAGE(OFFSET($CC$3,0,0,'Données projet'!$E$12+1,1))-AVERAGE(OFFSET($H$3,0,0,'Données projet'!$E$12+1,1))</f>
        <v>277.27246253233807</v>
      </c>
      <c r="CE173" s="62">
        <f t="shared" si="148"/>
        <v>269.61868559913404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-8.1404323282185943E-13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402.15128814037058</v>
      </c>
      <c r="CZ173" s="62">
        <f t="shared" si="150"/>
        <v>232.85411068442738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-1.0818439477588981E-13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485.18236169209541</v>
      </c>
      <c r="DU173" s="62">
        <f t="shared" si="152"/>
        <v>417.30339652956951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-3.4106051316484809E-13</v>
      </c>
      <c r="EK173" s="18">
        <f>EJ173*VLOOKUP('Données projet'!$B$15,Paramètres!$A$1:$I$89,3,0)*VLOOKUP('Données projet'!$B$15,Paramètres!$A$1:$I$89,5,0)</f>
        <v>-2.7134774427395314E-13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427.78067187784063</v>
      </c>
      <c r="EP173" s="62">
        <f t="shared" si="154"/>
        <v>464.22892523825118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-1.1368683772161603E-13</v>
      </c>
      <c r="FF173" s="18">
        <f>FE173*VLOOKUP('Données projet'!$B$16,Paramètres!$A$1:$I$89,3,0)*VLOOKUP('Données projet'!$B$16,Paramètres!$A$1:$I$89,5,0)</f>
        <v>-9.7543306765146564E-14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448.44001099301806</v>
      </c>
      <c r="FK173" s="62">
        <f t="shared" si="156"/>
        <v>230.82970731138215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-3.4106051316484809E-13</v>
      </c>
      <c r="GA173" s="18">
        <f>FZ173*VLOOKUP('Données projet'!$B$17,Paramètres!$A$1:$I$89,3,0)*VLOOKUP('Données projet'!$B$17,Paramètres!$A$1:$I$89,5,0)</f>
        <v>-2.2878339223098009E-13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408.91016501484626</v>
      </c>
      <c r="GF173" s="62">
        <f t="shared" si="158"/>
        <v>354.22396807666433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-1.1368683772161603E-13</v>
      </c>
      <c r="GV173" s="18">
        <f>GU173*VLOOKUP('Données projet'!$B$18,Paramètres!$A$1:$I$89,3,0)*VLOOKUP('Données projet'!$B$18,Paramètres!$A$1:$I$89,5,0)</f>
        <v>-1.0995790944434703E-13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562.69380557620775</v>
      </c>
      <c r="HA173" s="62">
        <f t="shared" si="160"/>
        <v>294.45557293177131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-1.0286385077051818E-13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529.25712986118265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8.8675733422860506E-14</v>
      </c>
      <c r="AK174" s="14">
        <f t="shared" si="164"/>
        <v>1.3509285393066301E-12</v>
      </c>
      <c r="AL174" s="22">
        <f t="shared" si="165"/>
        <v>2.5073107750038623E-12</v>
      </c>
      <c r="AM174" s="62">
        <f t="shared" si="113"/>
        <v>293.33333333333582</v>
      </c>
      <c r="AN174" s="62">
        <f ca="1">AVERAGE(OFFSET($AM$3,0,0,'Données projet'!$E$10+1,1))-AVERAGE(OFFSET($H$3,0,0,'Données projet'!$E$10+1,1))</f>
        <v>292.57482726862594</v>
      </c>
      <c r="AO174" s="62">
        <f t="shared" si="144"/>
        <v>283.48738729114024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-3.4106051316484809E-13</v>
      </c>
      <c r="BE174" s="14">
        <f>BD174*VLOOKUP('Données projet'!$B$11,Paramètres!$A$1:$I$89,3,0)*VLOOKUP('Données projet'!$B$11,Paramètres!$A$1:$I$89,5,0)</f>
        <v>-2.5006556825246659E-13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397.24545766894346</v>
      </c>
      <c r="BJ174" s="62">
        <f t="shared" si="146"/>
        <v>431.44557882369696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2.2737367544323206E-13</v>
      </c>
      <c r="BZ174" s="14">
        <f>BY174*VLOOKUP('Données projet'!$B$12,Paramètres!$A$1:$I$89,3,0)*VLOOKUP('Données projet'!$B$12,Paramètres!$A$1:$I$89,5,0)</f>
        <v>1.4897523215040565E-13</v>
      </c>
      <c r="CA174" s="14">
        <f t="shared" si="170"/>
        <v>2.136562777003313E-12</v>
      </c>
      <c r="CB174" s="22">
        <f t="shared" si="171"/>
        <v>3.9806453659427267E-12</v>
      </c>
      <c r="CC174" s="62">
        <f t="shared" si="119"/>
        <v>293.33333333333729</v>
      </c>
      <c r="CD174" s="62">
        <f ca="1">AVERAGE(OFFSET($CC$3,0,0,'Données projet'!$E$12+1,1))-AVERAGE(OFFSET($H$3,0,0,'Données projet'!$E$12+1,1))</f>
        <v>277.27246253233807</v>
      </c>
      <c r="CE174" s="62">
        <f t="shared" si="148"/>
        <v>269.61868559913404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-8.1404323282185943E-13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402.15128814037058</v>
      </c>
      <c r="CZ174" s="62">
        <f t="shared" si="150"/>
        <v>232.85411068442738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-1.0818439477588981E-13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485.18236169209541</v>
      </c>
      <c r="DU174" s="62">
        <f t="shared" si="152"/>
        <v>417.30339652956951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-3.4106051316484809E-13</v>
      </c>
      <c r="EK174" s="18">
        <f>EJ174*VLOOKUP('Données projet'!$B$15,Paramètres!$A$1:$I$89,3,0)*VLOOKUP('Données projet'!$B$15,Paramètres!$A$1:$I$89,5,0)</f>
        <v>-2.7134774427395314E-13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427.78067187784063</v>
      </c>
      <c r="EP174" s="62">
        <f t="shared" si="154"/>
        <v>464.22892523825118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-1.1368683772161603E-13</v>
      </c>
      <c r="FF174" s="18">
        <f>FE174*VLOOKUP('Données projet'!$B$16,Paramètres!$A$1:$I$89,3,0)*VLOOKUP('Données projet'!$B$16,Paramètres!$A$1:$I$89,5,0)</f>
        <v>-9.7543306765146564E-14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448.44001099301806</v>
      </c>
      <c r="FK174" s="62">
        <f t="shared" si="156"/>
        <v>230.82970731138215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-3.4106051316484809E-13</v>
      </c>
      <c r="GA174" s="18">
        <f>FZ174*VLOOKUP('Données projet'!$B$17,Paramètres!$A$1:$I$89,3,0)*VLOOKUP('Données projet'!$B$17,Paramètres!$A$1:$I$89,5,0)</f>
        <v>-2.2878339223098009E-13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408.91016501484626</v>
      </c>
      <c r="GF174" s="62">
        <f t="shared" si="158"/>
        <v>354.22396807666433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-1.1368683772161603E-13</v>
      </c>
      <c r="GV174" s="18">
        <f>GU174*VLOOKUP('Données projet'!$B$18,Paramètres!$A$1:$I$89,3,0)*VLOOKUP('Données projet'!$B$18,Paramètres!$A$1:$I$89,5,0)</f>
        <v>-1.0995790944434703E-13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562.69380557620775</v>
      </c>
      <c r="HA174" s="62">
        <f t="shared" si="160"/>
        <v>294.45557293177131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-1.0286385077051818E-13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529.25712986118265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8.8675733422860506E-14</v>
      </c>
      <c r="AK175" s="14">
        <f t="shared" si="164"/>
        <v>1.3509285393066301E-12</v>
      </c>
      <c r="AL175" s="22">
        <f t="shared" si="165"/>
        <v>2.5073107750038623E-12</v>
      </c>
      <c r="AM175" s="62">
        <f t="shared" si="113"/>
        <v>293.33333333333582</v>
      </c>
      <c r="AN175" s="62">
        <f ca="1">AVERAGE(OFFSET($AM$3,0,0,'Données projet'!$E$10+1,1))-AVERAGE(OFFSET($H$3,0,0,'Données projet'!$E$10+1,1))</f>
        <v>292.57482726862594</v>
      </c>
      <c r="AO175" s="62">
        <f t="shared" si="144"/>
        <v>283.48738729114024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-3.4106051316484809E-13</v>
      </c>
      <c r="BE175" s="14">
        <f>BD175*VLOOKUP('Données projet'!$B$11,Paramètres!$A$1:$I$89,3,0)*VLOOKUP('Données projet'!$B$11,Paramètres!$A$1:$I$89,5,0)</f>
        <v>-2.5006556825246659E-13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397.24545766894346</v>
      </c>
      <c r="BJ175" s="62">
        <f t="shared" si="146"/>
        <v>431.44557882369696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2.2737367544323206E-13</v>
      </c>
      <c r="BZ175" s="14">
        <f>BY175*VLOOKUP('Données projet'!$B$12,Paramètres!$A$1:$I$89,3,0)*VLOOKUP('Données projet'!$B$12,Paramètres!$A$1:$I$89,5,0)</f>
        <v>1.4897523215040565E-13</v>
      </c>
      <c r="CA175" s="14">
        <f t="shared" si="170"/>
        <v>2.136562777003313E-12</v>
      </c>
      <c r="CB175" s="22">
        <f t="shared" si="171"/>
        <v>3.9806453659427267E-12</v>
      </c>
      <c r="CC175" s="62">
        <f t="shared" si="119"/>
        <v>293.33333333333729</v>
      </c>
      <c r="CD175" s="62">
        <f ca="1">AVERAGE(OFFSET($CC$3,0,0,'Données projet'!$E$12+1,1))-AVERAGE(OFFSET($H$3,0,0,'Données projet'!$E$12+1,1))</f>
        <v>277.27246253233807</v>
      </c>
      <c r="CE175" s="62">
        <f t="shared" si="148"/>
        <v>269.61868559913404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-8.1404323282185943E-13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402.15128814037058</v>
      </c>
      <c r="CZ175" s="62">
        <f t="shared" si="150"/>
        <v>232.85411068442738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-1.0818439477588981E-13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485.18236169209541</v>
      </c>
      <c r="DU175" s="62">
        <f t="shared" si="152"/>
        <v>417.30339652956951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-3.4106051316484809E-13</v>
      </c>
      <c r="EK175" s="18">
        <f>EJ175*VLOOKUP('Données projet'!$B$15,Paramètres!$A$1:$I$89,3,0)*VLOOKUP('Données projet'!$B$15,Paramètres!$A$1:$I$89,5,0)</f>
        <v>-2.7134774427395314E-13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427.78067187784063</v>
      </c>
      <c r="EP175" s="62">
        <f t="shared" si="154"/>
        <v>464.22892523825118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-1.1368683772161603E-13</v>
      </c>
      <c r="FF175" s="18">
        <f>FE175*VLOOKUP('Données projet'!$B$16,Paramètres!$A$1:$I$89,3,0)*VLOOKUP('Données projet'!$B$16,Paramètres!$A$1:$I$89,5,0)</f>
        <v>-9.7543306765146564E-14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448.44001099301806</v>
      </c>
      <c r="FK175" s="62">
        <f t="shared" si="156"/>
        <v>230.82970731138215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-3.4106051316484809E-13</v>
      </c>
      <c r="GA175" s="18">
        <f>FZ175*VLOOKUP('Données projet'!$B$17,Paramètres!$A$1:$I$89,3,0)*VLOOKUP('Données projet'!$B$17,Paramètres!$A$1:$I$89,5,0)</f>
        <v>-2.2878339223098009E-13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408.91016501484626</v>
      </c>
      <c r="GF175" s="62">
        <f t="shared" si="158"/>
        <v>354.22396807666433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-1.1368683772161603E-13</v>
      </c>
      <c r="GV175" s="18">
        <f>GU175*VLOOKUP('Données projet'!$B$18,Paramètres!$A$1:$I$89,3,0)*VLOOKUP('Données projet'!$B$18,Paramètres!$A$1:$I$89,5,0)</f>
        <v>-1.0995790944434703E-13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562.69380557620775</v>
      </c>
      <c r="HA175" s="62">
        <f t="shared" si="160"/>
        <v>294.45557293177131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-1.0286385077051818E-13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529.25712986118265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8.8675733422860506E-14</v>
      </c>
      <c r="AK176" s="14">
        <f t="shared" si="164"/>
        <v>1.3509285393066301E-12</v>
      </c>
      <c r="AL176" s="22">
        <f t="shared" si="165"/>
        <v>2.5073107750038623E-12</v>
      </c>
      <c r="AM176" s="62">
        <f t="shared" si="113"/>
        <v>293.33333333333582</v>
      </c>
      <c r="AN176" s="62">
        <f ca="1">AVERAGE(OFFSET($AM$3,0,0,'Données projet'!$E$10+1,1))-AVERAGE(OFFSET($H$3,0,0,'Données projet'!$E$10+1,1))</f>
        <v>292.57482726862594</v>
      </c>
      <c r="AO176" s="62">
        <f t="shared" si="144"/>
        <v>283.48738729114024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-3.4106051316484809E-13</v>
      </c>
      <c r="BE176" s="14">
        <f>BD176*VLOOKUP('Données projet'!$B$11,Paramètres!$A$1:$I$89,3,0)*VLOOKUP('Données projet'!$B$11,Paramètres!$A$1:$I$89,5,0)</f>
        <v>-2.5006556825246659E-13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397.24545766894346</v>
      </c>
      <c r="BJ176" s="62">
        <f t="shared" si="146"/>
        <v>431.44557882369696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2.2737367544323206E-13</v>
      </c>
      <c r="BZ176" s="14">
        <f>BY176*VLOOKUP('Données projet'!$B$12,Paramètres!$A$1:$I$89,3,0)*VLOOKUP('Données projet'!$B$12,Paramètres!$A$1:$I$89,5,0)</f>
        <v>1.4897523215040565E-13</v>
      </c>
      <c r="CA176" s="14">
        <f t="shared" si="170"/>
        <v>2.136562777003313E-12</v>
      </c>
      <c r="CB176" s="22">
        <f t="shared" si="171"/>
        <v>3.9806453659427267E-12</v>
      </c>
      <c r="CC176" s="62">
        <f t="shared" si="119"/>
        <v>293.33333333333729</v>
      </c>
      <c r="CD176" s="62">
        <f ca="1">AVERAGE(OFFSET($CC$3,0,0,'Données projet'!$E$12+1,1))-AVERAGE(OFFSET($H$3,0,0,'Données projet'!$E$12+1,1))</f>
        <v>277.27246253233807</v>
      </c>
      <c r="CE176" s="62">
        <f t="shared" si="148"/>
        <v>269.61868559913404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-8.1404323282185943E-13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402.15128814037058</v>
      </c>
      <c r="CZ176" s="62">
        <f t="shared" si="150"/>
        <v>232.85411068442738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-1.0818439477588981E-13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485.18236169209541</v>
      </c>
      <c r="DU176" s="62">
        <f t="shared" si="152"/>
        <v>417.30339652956951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-3.4106051316484809E-13</v>
      </c>
      <c r="EK176" s="18">
        <f>EJ176*VLOOKUP('Données projet'!$B$15,Paramètres!$A$1:$I$89,3,0)*VLOOKUP('Données projet'!$B$15,Paramètres!$A$1:$I$89,5,0)</f>
        <v>-2.7134774427395314E-13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427.78067187784063</v>
      </c>
      <c r="EP176" s="62">
        <f t="shared" si="154"/>
        <v>464.22892523825118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-1.1368683772161603E-13</v>
      </c>
      <c r="FF176" s="18">
        <f>FE176*VLOOKUP('Données projet'!$B$16,Paramètres!$A$1:$I$89,3,0)*VLOOKUP('Données projet'!$B$16,Paramètres!$A$1:$I$89,5,0)</f>
        <v>-9.7543306765146564E-14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448.44001099301806</v>
      </c>
      <c r="FK176" s="62">
        <f t="shared" si="156"/>
        <v>230.82970731138215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-3.4106051316484809E-13</v>
      </c>
      <c r="GA176" s="18">
        <f>FZ176*VLOOKUP('Données projet'!$B$17,Paramètres!$A$1:$I$89,3,0)*VLOOKUP('Données projet'!$B$17,Paramètres!$A$1:$I$89,5,0)</f>
        <v>-2.2878339223098009E-13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408.91016501484626</v>
      </c>
      <c r="GF176" s="62">
        <f t="shared" si="158"/>
        <v>354.22396807666433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-1.1368683772161603E-13</v>
      </c>
      <c r="GV176" s="18">
        <f>GU176*VLOOKUP('Données projet'!$B$18,Paramètres!$A$1:$I$89,3,0)*VLOOKUP('Données projet'!$B$18,Paramètres!$A$1:$I$89,5,0)</f>
        <v>-1.0995790944434703E-13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562.69380557620775</v>
      </c>
      <c r="HA176" s="62">
        <f t="shared" si="160"/>
        <v>294.45557293177131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-1.0286385077051818E-13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529.25712986118265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8.8675733422860506E-14</v>
      </c>
      <c r="AK177" s="14">
        <f t="shared" si="164"/>
        <v>1.3509285393066301E-12</v>
      </c>
      <c r="AL177" s="22">
        <f t="shared" si="165"/>
        <v>2.5073107750038623E-12</v>
      </c>
      <c r="AM177" s="62">
        <f t="shared" si="113"/>
        <v>293.33333333333582</v>
      </c>
      <c r="AN177" s="62">
        <f ca="1">AVERAGE(OFFSET($AM$3,0,0,'Données projet'!$E$10+1,1))-AVERAGE(OFFSET($H$3,0,0,'Données projet'!$E$10+1,1))</f>
        <v>292.57482726862594</v>
      </c>
      <c r="AO177" s="62">
        <f t="shared" si="144"/>
        <v>283.48738729114024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-3.4106051316484809E-13</v>
      </c>
      <c r="BE177" s="14">
        <f>BD177*VLOOKUP('Données projet'!$B$11,Paramètres!$A$1:$I$89,3,0)*VLOOKUP('Données projet'!$B$11,Paramètres!$A$1:$I$89,5,0)</f>
        <v>-2.5006556825246659E-13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397.24545766894346</v>
      </c>
      <c r="BJ177" s="62">
        <f t="shared" si="146"/>
        <v>431.44557882369696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2.2737367544323206E-13</v>
      </c>
      <c r="BZ177" s="14">
        <f>BY177*VLOOKUP('Données projet'!$B$12,Paramètres!$A$1:$I$89,3,0)*VLOOKUP('Données projet'!$B$12,Paramètres!$A$1:$I$89,5,0)</f>
        <v>1.4897523215040565E-13</v>
      </c>
      <c r="CA177" s="14">
        <f t="shared" si="170"/>
        <v>2.136562777003313E-12</v>
      </c>
      <c r="CB177" s="22">
        <f t="shared" si="171"/>
        <v>3.9806453659427267E-12</v>
      </c>
      <c r="CC177" s="62">
        <f t="shared" si="119"/>
        <v>293.33333333333729</v>
      </c>
      <c r="CD177" s="62">
        <f ca="1">AVERAGE(OFFSET($CC$3,0,0,'Données projet'!$E$12+1,1))-AVERAGE(OFFSET($H$3,0,0,'Données projet'!$E$12+1,1))</f>
        <v>277.27246253233807</v>
      </c>
      <c r="CE177" s="62">
        <f t="shared" si="148"/>
        <v>269.61868559913404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-8.1404323282185943E-13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402.15128814037058</v>
      </c>
      <c r="CZ177" s="62">
        <f t="shared" si="150"/>
        <v>232.85411068442738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-1.0818439477588981E-13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485.18236169209541</v>
      </c>
      <c r="DU177" s="62">
        <f t="shared" si="152"/>
        <v>417.30339652956951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-3.4106051316484809E-13</v>
      </c>
      <c r="EK177" s="18">
        <f>EJ177*VLOOKUP('Données projet'!$B$15,Paramètres!$A$1:$I$89,3,0)*VLOOKUP('Données projet'!$B$15,Paramètres!$A$1:$I$89,5,0)</f>
        <v>-2.7134774427395314E-13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427.78067187784063</v>
      </c>
      <c r="EP177" s="62">
        <f t="shared" si="154"/>
        <v>464.22892523825118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-1.1368683772161603E-13</v>
      </c>
      <c r="FF177" s="18">
        <f>FE177*VLOOKUP('Données projet'!$B$16,Paramètres!$A$1:$I$89,3,0)*VLOOKUP('Données projet'!$B$16,Paramètres!$A$1:$I$89,5,0)</f>
        <v>-9.7543306765146564E-14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448.44001099301806</v>
      </c>
      <c r="FK177" s="62">
        <f t="shared" si="156"/>
        <v>230.82970731138215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-3.4106051316484809E-13</v>
      </c>
      <c r="GA177" s="18">
        <f>FZ177*VLOOKUP('Données projet'!$B$17,Paramètres!$A$1:$I$89,3,0)*VLOOKUP('Données projet'!$B$17,Paramètres!$A$1:$I$89,5,0)</f>
        <v>-2.2878339223098009E-13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408.91016501484626</v>
      </c>
      <c r="GF177" s="62">
        <f t="shared" si="158"/>
        <v>354.22396807666433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-1.1368683772161603E-13</v>
      </c>
      <c r="GV177" s="18">
        <f>GU177*VLOOKUP('Données projet'!$B$18,Paramètres!$A$1:$I$89,3,0)*VLOOKUP('Données projet'!$B$18,Paramètres!$A$1:$I$89,5,0)</f>
        <v>-1.0995790944434703E-13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562.69380557620775</v>
      </c>
      <c r="HA177" s="62">
        <f t="shared" si="160"/>
        <v>294.45557293177131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-1.0286385077051818E-13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529.25712986118265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8.8675733422860506E-14</v>
      </c>
      <c r="AK178" s="14">
        <f t="shared" si="164"/>
        <v>1.3509285393066301E-12</v>
      </c>
      <c r="AL178" s="22">
        <f t="shared" si="165"/>
        <v>2.5073107750038623E-12</v>
      </c>
      <c r="AM178" s="62">
        <f t="shared" si="113"/>
        <v>293.33333333333582</v>
      </c>
      <c r="AN178" s="62">
        <f ca="1">AVERAGE(OFFSET($AM$3,0,0,'Données projet'!$E$10+1,1))-AVERAGE(OFFSET($H$3,0,0,'Données projet'!$E$10+1,1))</f>
        <v>292.57482726862594</v>
      </c>
      <c r="AO178" s="62">
        <f t="shared" si="144"/>
        <v>283.48738729114024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-3.4106051316484809E-13</v>
      </c>
      <c r="BE178" s="14">
        <f>BD178*VLOOKUP('Données projet'!$B$11,Paramètres!$A$1:$I$89,3,0)*VLOOKUP('Données projet'!$B$11,Paramètres!$A$1:$I$89,5,0)</f>
        <v>-2.5006556825246659E-13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397.24545766894346</v>
      </c>
      <c r="BJ178" s="62">
        <f t="shared" si="146"/>
        <v>431.44557882369696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2.2737367544323206E-13</v>
      </c>
      <c r="BZ178" s="14">
        <f>BY178*VLOOKUP('Données projet'!$B$12,Paramètres!$A$1:$I$89,3,0)*VLOOKUP('Données projet'!$B$12,Paramètres!$A$1:$I$89,5,0)</f>
        <v>1.4897523215040565E-13</v>
      </c>
      <c r="CA178" s="14">
        <f t="shared" si="170"/>
        <v>2.136562777003313E-12</v>
      </c>
      <c r="CB178" s="22">
        <f t="shared" si="171"/>
        <v>3.9806453659427267E-12</v>
      </c>
      <c r="CC178" s="62">
        <f t="shared" si="119"/>
        <v>293.33333333333729</v>
      </c>
      <c r="CD178" s="62">
        <f ca="1">AVERAGE(OFFSET($CC$3,0,0,'Données projet'!$E$12+1,1))-AVERAGE(OFFSET($H$3,0,0,'Données projet'!$E$12+1,1))</f>
        <v>277.27246253233807</v>
      </c>
      <c r="CE178" s="62">
        <f t="shared" si="148"/>
        <v>269.61868559913404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-8.1404323282185943E-13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402.15128814037058</v>
      </c>
      <c r="CZ178" s="62">
        <f t="shared" si="150"/>
        <v>232.85411068442738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-1.0818439477588981E-13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485.18236169209541</v>
      </c>
      <c r="DU178" s="62">
        <f t="shared" si="152"/>
        <v>417.30339652956951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-3.4106051316484809E-13</v>
      </c>
      <c r="EK178" s="18">
        <f>EJ178*VLOOKUP('Données projet'!$B$15,Paramètres!$A$1:$I$89,3,0)*VLOOKUP('Données projet'!$B$15,Paramètres!$A$1:$I$89,5,0)</f>
        <v>-2.7134774427395314E-13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427.78067187784063</v>
      </c>
      <c r="EP178" s="62">
        <f t="shared" si="154"/>
        <v>464.22892523825118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-1.1368683772161603E-13</v>
      </c>
      <c r="FF178" s="18">
        <f>FE178*VLOOKUP('Données projet'!$B$16,Paramètres!$A$1:$I$89,3,0)*VLOOKUP('Données projet'!$B$16,Paramètres!$A$1:$I$89,5,0)</f>
        <v>-9.7543306765146564E-14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448.44001099301806</v>
      </c>
      <c r="FK178" s="62">
        <f t="shared" si="156"/>
        <v>230.82970731138215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-3.4106051316484809E-13</v>
      </c>
      <c r="GA178" s="18">
        <f>FZ178*VLOOKUP('Données projet'!$B$17,Paramètres!$A$1:$I$89,3,0)*VLOOKUP('Données projet'!$B$17,Paramètres!$A$1:$I$89,5,0)</f>
        <v>-2.2878339223098009E-13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408.91016501484626</v>
      </c>
      <c r="GF178" s="62">
        <f t="shared" si="158"/>
        <v>354.22396807666433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-1.1368683772161603E-13</v>
      </c>
      <c r="GV178" s="18">
        <f>GU178*VLOOKUP('Données projet'!$B$18,Paramètres!$A$1:$I$89,3,0)*VLOOKUP('Données projet'!$B$18,Paramètres!$A$1:$I$89,5,0)</f>
        <v>-1.0995790944434703E-13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562.69380557620775</v>
      </c>
      <c r="HA178" s="62">
        <f t="shared" si="160"/>
        <v>294.45557293177131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-1.0286385077051818E-13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529.25712986118265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8.8675733422860506E-14</v>
      </c>
      <c r="AK179" s="14">
        <f t="shared" si="164"/>
        <v>1.3509285393066301E-12</v>
      </c>
      <c r="AL179" s="22">
        <f t="shared" si="165"/>
        <v>2.5073107750038623E-12</v>
      </c>
      <c r="AM179" s="62">
        <f t="shared" si="113"/>
        <v>293.33333333333582</v>
      </c>
      <c r="AN179" s="62">
        <f ca="1">AVERAGE(OFFSET($AM$3,0,0,'Données projet'!$E$10+1,1))-AVERAGE(OFFSET($H$3,0,0,'Données projet'!$E$10+1,1))</f>
        <v>292.57482726862594</v>
      </c>
      <c r="AO179" s="62">
        <f t="shared" si="144"/>
        <v>283.48738729114024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-3.4106051316484809E-13</v>
      </c>
      <c r="BE179" s="14">
        <f>BD179*VLOOKUP('Données projet'!$B$11,Paramètres!$A$1:$I$89,3,0)*VLOOKUP('Données projet'!$B$11,Paramètres!$A$1:$I$89,5,0)</f>
        <v>-2.5006556825246659E-13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397.24545766894346</v>
      </c>
      <c r="BJ179" s="62">
        <f t="shared" si="146"/>
        <v>431.44557882369696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2.2737367544323206E-13</v>
      </c>
      <c r="BZ179" s="14">
        <f>BY179*VLOOKUP('Données projet'!$B$12,Paramètres!$A$1:$I$89,3,0)*VLOOKUP('Données projet'!$B$12,Paramètres!$A$1:$I$89,5,0)</f>
        <v>1.4897523215040565E-13</v>
      </c>
      <c r="CA179" s="14">
        <f t="shared" si="170"/>
        <v>2.136562777003313E-12</v>
      </c>
      <c r="CB179" s="22">
        <f t="shared" si="171"/>
        <v>3.9806453659427267E-12</v>
      </c>
      <c r="CC179" s="62">
        <f t="shared" si="119"/>
        <v>293.33333333333729</v>
      </c>
      <c r="CD179" s="62">
        <f ca="1">AVERAGE(OFFSET($CC$3,0,0,'Données projet'!$E$12+1,1))-AVERAGE(OFFSET($H$3,0,0,'Données projet'!$E$12+1,1))</f>
        <v>277.27246253233807</v>
      </c>
      <c r="CE179" s="62">
        <f t="shared" si="148"/>
        <v>269.61868559913404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-8.1404323282185943E-13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402.15128814037058</v>
      </c>
      <c r="CZ179" s="62">
        <f t="shared" si="150"/>
        <v>232.85411068442738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-1.0818439477588981E-13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485.18236169209541</v>
      </c>
      <c r="DU179" s="62">
        <f t="shared" si="152"/>
        <v>417.30339652956951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-3.4106051316484809E-13</v>
      </c>
      <c r="EK179" s="18">
        <f>EJ179*VLOOKUP('Données projet'!$B$15,Paramètres!$A$1:$I$89,3,0)*VLOOKUP('Données projet'!$B$15,Paramètres!$A$1:$I$89,5,0)</f>
        <v>-2.7134774427395314E-13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427.78067187784063</v>
      </c>
      <c r="EP179" s="62">
        <f t="shared" si="154"/>
        <v>464.22892523825118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-1.1368683772161603E-13</v>
      </c>
      <c r="FF179" s="18">
        <f>FE179*VLOOKUP('Données projet'!$B$16,Paramètres!$A$1:$I$89,3,0)*VLOOKUP('Données projet'!$B$16,Paramètres!$A$1:$I$89,5,0)</f>
        <v>-9.7543306765146564E-14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448.44001099301806</v>
      </c>
      <c r="FK179" s="62">
        <f t="shared" si="156"/>
        <v>230.82970731138215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-3.4106051316484809E-13</v>
      </c>
      <c r="GA179" s="18">
        <f>FZ179*VLOOKUP('Données projet'!$B$17,Paramètres!$A$1:$I$89,3,0)*VLOOKUP('Données projet'!$B$17,Paramètres!$A$1:$I$89,5,0)</f>
        <v>-2.2878339223098009E-13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408.91016501484626</v>
      </c>
      <c r="GF179" s="62">
        <f t="shared" si="158"/>
        <v>354.22396807666433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-1.1368683772161603E-13</v>
      </c>
      <c r="GV179" s="18">
        <f>GU179*VLOOKUP('Données projet'!$B$18,Paramètres!$A$1:$I$89,3,0)*VLOOKUP('Données projet'!$B$18,Paramètres!$A$1:$I$89,5,0)</f>
        <v>-1.0995790944434703E-13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562.69380557620775</v>
      </c>
      <c r="HA179" s="62">
        <f t="shared" si="160"/>
        <v>294.45557293177131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-1.0286385077051818E-13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529.25712986118265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8.8675733422860506E-14</v>
      </c>
      <c r="AK180" s="14">
        <f t="shared" si="164"/>
        <v>1.3509285393066301E-12</v>
      </c>
      <c r="AL180" s="22">
        <f t="shared" si="165"/>
        <v>2.5073107750038623E-12</v>
      </c>
      <c r="AM180" s="62">
        <f t="shared" si="113"/>
        <v>293.33333333333582</v>
      </c>
      <c r="AN180" s="62">
        <f ca="1">AVERAGE(OFFSET($AM$3,0,0,'Données projet'!$E$10+1,1))-AVERAGE(OFFSET($H$3,0,0,'Données projet'!$E$10+1,1))</f>
        <v>292.57482726862594</v>
      </c>
      <c r="AO180" s="62">
        <f t="shared" si="144"/>
        <v>283.48738729114024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-3.4106051316484809E-13</v>
      </c>
      <c r="BE180" s="14">
        <f>BD180*VLOOKUP('Données projet'!$B$11,Paramètres!$A$1:$I$89,3,0)*VLOOKUP('Données projet'!$B$11,Paramètres!$A$1:$I$89,5,0)</f>
        <v>-2.5006556825246659E-13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397.24545766894346</v>
      </c>
      <c r="BJ180" s="62">
        <f t="shared" si="146"/>
        <v>431.44557882369696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2.2737367544323206E-13</v>
      </c>
      <c r="BZ180" s="14">
        <f>BY180*VLOOKUP('Données projet'!$B$12,Paramètres!$A$1:$I$89,3,0)*VLOOKUP('Données projet'!$B$12,Paramètres!$A$1:$I$89,5,0)</f>
        <v>1.4897523215040565E-13</v>
      </c>
      <c r="CA180" s="14">
        <f t="shared" si="170"/>
        <v>2.136562777003313E-12</v>
      </c>
      <c r="CB180" s="22">
        <f t="shared" si="171"/>
        <v>3.9806453659427267E-12</v>
      </c>
      <c r="CC180" s="62">
        <f t="shared" si="119"/>
        <v>293.33333333333729</v>
      </c>
      <c r="CD180" s="62">
        <f ca="1">AVERAGE(OFFSET($CC$3,0,0,'Données projet'!$E$12+1,1))-AVERAGE(OFFSET($H$3,0,0,'Données projet'!$E$12+1,1))</f>
        <v>277.27246253233807</v>
      </c>
      <c r="CE180" s="62">
        <f t="shared" si="148"/>
        <v>269.61868559913404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-8.1404323282185943E-13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402.15128814037058</v>
      </c>
      <c r="CZ180" s="62">
        <f t="shared" si="150"/>
        <v>232.85411068442738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-1.0818439477588981E-13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485.18236169209541</v>
      </c>
      <c r="DU180" s="62">
        <f t="shared" si="152"/>
        <v>417.30339652956951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-3.4106051316484809E-13</v>
      </c>
      <c r="EK180" s="18">
        <f>EJ180*VLOOKUP('Données projet'!$B$15,Paramètres!$A$1:$I$89,3,0)*VLOOKUP('Données projet'!$B$15,Paramètres!$A$1:$I$89,5,0)</f>
        <v>-2.7134774427395314E-13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427.78067187784063</v>
      </c>
      <c r="EP180" s="62">
        <f t="shared" si="154"/>
        <v>464.22892523825118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-1.1368683772161603E-13</v>
      </c>
      <c r="FF180" s="18">
        <f>FE180*VLOOKUP('Données projet'!$B$16,Paramètres!$A$1:$I$89,3,0)*VLOOKUP('Données projet'!$B$16,Paramètres!$A$1:$I$89,5,0)</f>
        <v>-9.7543306765146564E-14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448.44001099301806</v>
      </c>
      <c r="FK180" s="62">
        <f t="shared" si="156"/>
        <v>230.82970731138215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-3.4106051316484809E-13</v>
      </c>
      <c r="GA180" s="18">
        <f>FZ180*VLOOKUP('Données projet'!$B$17,Paramètres!$A$1:$I$89,3,0)*VLOOKUP('Données projet'!$B$17,Paramètres!$A$1:$I$89,5,0)</f>
        <v>-2.2878339223098009E-13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408.91016501484626</v>
      </c>
      <c r="GF180" s="62">
        <f t="shared" si="158"/>
        <v>354.22396807666433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-1.1368683772161603E-13</v>
      </c>
      <c r="GV180" s="18">
        <f>GU180*VLOOKUP('Données projet'!$B$18,Paramètres!$A$1:$I$89,3,0)*VLOOKUP('Données projet'!$B$18,Paramètres!$A$1:$I$89,5,0)</f>
        <v>-1.0995790944434703E-13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562.69380557620775</v>
      </c>
      <c r="HA180" s="62">
        <f t="shared" si="160"/>
        <v>294.45557293177131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-1.0286385077051818E-13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529.25712986118265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8.8675733422860506E-14</v>
      </c>
      <c r="AK181" s="14">
        <f t="shared" si="164"/>
        <v>1.3509285393066301E-12</v>
      </c>
      <c r="AL181" s="22">
        <f t="shared" si="165"/>
        <v>2.5073107750038623E-12</v>
      </c>
      <c r="AM181" s="62">
        <f t="shared" si="113"/>
        <v>293.33333333333582</v>
      </c>
      <c r="AN181" s="62">
        <f ca="1">AVERAGE(OFFSET($AM$3,0,0,'Données projet'!$E$10+1,1))-AVERAGE(OFFSET($H$3,0,0,'Données projet'!$E$10+1,1))</f>
        <v>292.57482726862594</v>
      </c>
      <c r="AO181" s="62">
        <f t="shared" si="144"/>
        <v>283.48738729114024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-3.4106051316484809E-13</v>
      </c>
      <c r="BE181" s="14">
        <f>BD181*VLOOKUP('Données projet'!$B$11,Paramètres!$A$1:$I$89,3,0)*VLOOKUP('Données projet'!$B$11,Paramètres!$A$1:$I$89,5,0)</f>
        <v>-2.5006556825246659E-13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397.24545766894346</v>
      </c>
      <c r="BJ181" s="62">
        <f t="shared" si="146"/>
        <v>431.44557882369696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2.2737367544323206E-13</v>
      </c>
      <c r="BZ181" s="14">
        <f>BY181*VLOOKUP('Données projet'!$B$12,Paramètres!$A$1:$I$89,3,0)*VLOOKUP('Données projet'!$B$12,Paramètres!$A$1:$I$89,5,0)</f>
        <v>1.4897523215040565E-13</v>
      </c>
      <c r="CA181" s="14">
        <f t="shared" si="170"/>
        <v>2.136562777003313E-12</v>
      </c>
      <c r="CB181" s="22">
        <f t="shared" si="171"/>
        <v>3.9806453659427267E-12</v>
      </c>
      <c r="CC181" s="62">
        <f t="shared" si="119"/>
        <v>293.33333333333729</v>
      </c>
      <c r="CD181" s="62">
        <f ca="1">AVERAGE(OFFSET($CC$3,0,0,'Données projet'!$E$12+1,1))-AVERAGE(OFFSET($H$3,0,0,'Données projet'!$E$12+1,1))</f>
        <v>277.27246253233807</v>
      </c>
      <c r="CE181" s="62">
        <f t="shared" si="148"/>
        <v>269.61868559913404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-8.1404323282185943E-13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402.15128814037058</v>
      </c>
      <c r="CZ181" s="62">
        <f t="shared" si="150"/>
        <v>232.85411068442738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-1.0818439477588981E-13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485.18236169209541</v>
      </c>
      <c r="DU181" s="62">
        <f t="shared" si="152"/>
        <v>417.30339652956951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-3.4106051316484809E-13</v>
      </c>
      <c r="EK181" s="18">
        <f>EJ181*VLOOKUP('Données projet'!$B$15,Paramètres!$A$1:$I$89,3,0)*VLOOKUP('Données projet'!$B$15,Paramètres!$A$1:$I$89,5,0)</f>
        <v>-2.7134774427395314E-13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427.78067187784063</v>
      </c>
      <c r="EP181" s="62">
        <f t="shared" si="154"/>
        <v>464.22892523825118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-1.1368683772161603E-13</v>
      </c>
      <c r="FF181" s="18">
        <f>FE181*VLOOKUP('Données projet'!$B$16,Paramètres!$A$1:$I$89,3,0)*VLOOKUP('Données projet'!$B$16,Paramètres!$A$1:$I$89,5,0)</f>
        <v>-9.7543306765146564E-14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448.44001099301806</v>
      </c>
      <c r="FK181" s="62">
        <f t="shared" si="156"/>
        <v>230.82970731138215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-3.4106051316484809E-13</v>
      </c>
      <c r="GA181" s="18">
        <f>FZ181*VLOOKUP('Données projet'!$B$17,Paramètres!$A$1:$I$89,3,0)*VLOOKUP('Données projet'!$B$17,Paramètres!$A$1:$I$89,5,0)</f>
        <v>-2.2878339223098009E-13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408.91016501484626</v>
      </c>
      <c r="GF181" s="62">
        <f t="shared" si="158"/>
        <v>354.22396807666433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-1.1368683772161603E-13</v>
      </c>
      <c r="GV181" s="18">
        <f>GU181*VLOOKUP('Données projet'!$B$18,Paramètres!$A$1:$I$89,3,0)*VLOOKUP('Données projet'!$B$18,Paramètres!$A$1:$I$89,5,0)</f>
        <v>-1.0995790944434703E-13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562.69380557620775</v>
      </c>
      <c r="HA181" s="62">
        <f t="shared" si="160"/>
        <v>294.45557293177131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-1.0286385077051818E-13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529.25712986118265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8.8675733422860506E-14</v>
      </c>
      <c r="AK182" s="14">
        <f t="shared" si="164"/>
        <v>1.3509285393066301E-12</v>
      </c>
      <c r="AL182" s="22">
        <f t="shared" si="165"/>
        <v>2.5073107750038623E-12</v>
      </c>
      <c r="AM182" s="62">
        <f t="shared" si="113"/>
        <v>293.33333333333582</v>
      </c>
      <c r="AN182" s="62">
        <f ca="1">AVERAGE(OFFSET($AM$3,0,0,'Données projet'!$E$10+1,1))-AVERAGE(OFFSET($H$3,0,0,'Données projet'!$E$10+1,1))</f>
        <v>292.57482726862594</v>
      </c>
      <c r="AO182" s="62">
        <f t="shared" si="144"/>
        <v>283.48738729114024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-3.4106051316484809E-13</v>
      </c>
      <c r="BE182" s="14">
        <f>BD182*VLOOKUP('Données projet'!$B$11,Paramètres!$A$1:$I$89,3,0)*VLOOKUP('Données projet'!$B$11,Paramètres!$A$1:$I$89,5,0)</f>
        <v>-2.5006556825246659E-13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397.24545766894346</v>
      </c>
      <c r="BJ182" s="62">
        <f t="shared" si="146"/>
        <v>431.44557882369696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2.2737367544323206E-13</v>
      </c>
      <c r="BZ182" s="14">
        <f>BY182*VLOOKUP('Données projet'!$B$12,Paramètres!$A$1:$I$89,3,0)*VLOOKUP('Données projet'!$B$12,Paramètres!$A$1:$I$89,5,0)</f>
        <v>1.4897523215040565E-13</v>
      </c>
      <c r="CA182" s="14">
        <f t="shared" si="170"/>
        <v>2.136562777003313E-12</v>
      </c>
      <c r="CB182" s="22">
        <f t="shared" si="171"/>
        <v>3.9806453659427267E-12</v>
      </c>
      <c r="CC182" s="62">
        <f t="shared" si="119"/>
        <v>293.33333333333729</v>
      </c>
      <c r="CD182" s="62">
        <f ca="1">AVERAGE(OFFSET($CC$3,0,0,'Données projet'!$E$12+1,1))-AVERAGE(OFFSET($H$3,0,0,'Données projet'!$E$12+1,1))</f>
        <v>277.27246253233807</v>
      </c>
      <c r="CE182" s="62">
        <f t="shared" si="148"/>
        <v>269.61868559913404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-8.1404323282185943E-13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402.15128814037058</v>
      </c>
      <c r="CZ182" s="62">
        <f t="shared" si="150"/>
        <v>232.85411068442738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-1.0818439477588981E-13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485.18236169209541</v>
      </c>
      <c r="DU182" s="62">
        <f t="shared" si="152"/>
        <v>417.30339652956951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-3.4106051316484809E-13</v>
      </c>
      <c r="EK182" s="18">
        <f>EJ182*VLOOKUP('Données projet'!$B$15,Paramètres!$A$1:$I$89,3,0)*VLOOKUP('Données projet'!$B$15,Paramètres!$A$1:$I$89,5,0)</f>
        <v>-2.7134774427395314E-13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427.78067187784063</v>
      </c>
      <c r="EP182" s="62">
        <f t="shared" si="154"/>
        <v>464.22892523825118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-1.1368683772161603E-13</v>
      </c>
      <c r="FF182" s="18">
        <f>FE182*VLOOKUP('Données projet'!$B$16,Paramètres!$A$1:$I$89,3,0)*VLOOKUP('Données projet'!$B$16,Paramètres!$A$1:$I$89,5,0)</f>
        <v>-9.7543306765146564E-14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448.44001099301806</v>
      </c>
      <c r="FK182" s="62">
        <f t="shared" si="156"/>
        <v>230.82970731138215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-3.4106051316484809E-13</v>
      </c>
      <c r="GA182" s="18">
        <f>FZ182*VLOOKUP('Données projet'!$B$17,Paramètres!$A$1:$I$89,3,0)*VLOOKUP('Données projet'!$B$17,Paramètres!$A$1:$I$89,5,0)</f>
        <v>-2.2878339223098009E-13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408.91016501484626</v>
      </c>
      <c r="GF182" s="62">
        <f t="shared" si="158"/>
        <v>354.22396807666433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-1.1368683772161603E-13</v>
      </c>
      <c r="GV182" s="18">
        <f>GU182*VLOOKUP('Données projet'!$B$18,Paramètres!$A$1:$I$89,3,0)*VLOOKUP('Données projet'!$B$18,Paramètres!$A$1:$I$89,5,0)</f>
        <v>-1.0995790944434703E-13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562.69380557620775</v>
      </c>
      <c r="HA182" s="62">
        <f t="shared" si="160"/>
        <v>294.45557293177131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-1.0286385077051818E-13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529.25712986118265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8.8675733422860506E-14</v>
      </c>
      <c r="AK183" s="14">
        <f t="shared" si="164"/>
        <v>1.3509285393066301E-12</v>
      </c>
      <c r="AL183" s="22">
        <f t="shared" si="165"/>
        <v>2.5073107750038623E-12</v>
      </c>
      <c r="AM183" s="62">
        <f t="shared" si="113"/>
        <v>293.33333333333582</v>
      </c>
      <c r="AN183" s="62">
        <f ca="1">AVERAGE(OFFSET($AM$3,0,0,'Données projet'!$E$10+1,1))-AVERAGE(OFFSET($H$3,0,0,'Données projet'!$E$10+1,1))</f>
        <v>292.57482726862594</v>
      </c>
      <c r="AO183" s="62">
        <f t="shared" si="144"/>
        <v>283.48738729114024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-3.4106051316484809E-13</v>
      </c>
      <c r="BE183" s="14">
        <f>BD183*VLOOKUP('Données projet'!$B$11,Paramètres!$A$1:$I$89,3,0)*VLOOKUP('Données projet'!$B$11,Paramètres!$A$1:$I$89,5,0)</f>
        <v>-2.5006556825246659E-13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397.24545766894346</v>
      </c>
      <c r="BJ183" s="62">
        <f t="shared" si="146"/>
        <v>431.44557882369696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2.2737367544323206E-13</v>
      </c>
      <c r="BZ183" s="14">
        <f>BY183*VLOOKUP('Données projet'!$B$12,Paramètres!$A$1:$I$89,3,0)*VLOOKUP('Données projet'!$B$12,Paramètres!$A$1:$I$89,5,0)</f>
        <v>1.4897523215040565E-13</v>
      </c>
      <c r="CA183" s="14">
        <f t="shared" si="170"/>
        <v>2.136562777003313E-12</v>
      </c>
      <c r="CB183" s="22">
        <f t="shared" si="171"/>
        <v>3.9806453659427267E-12</v>
      </c>
      <c r="CC183" s="62">
        <f t="shared" si="119"/>
        <v>293.33333333333729</v>
      </c>
      <c r="CD183" s="62">
        <f ca="1">AVERAGE(OFFSET($CC$3,0,0,'Données projet'!$E$12+1,1))-AVERAGE(OFFSET($H$3,0,0,'Données projet'!$E$12+1,1))</f>
        <v>277.27246253233807</v>
      </c>
      <c r="CE183" s="62">
        <f t="shared" si="148"/>
        <v>269.61868559913404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-8.1404323282185943E-13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402.15128814037058</v>
      </c>
      <c r="CZ183" s="62">
        <f t="shared" si="150"/>
        <v>232.85411068442738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-1.0818439477588981E-13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485.18236169209541</v>
      </c>
      <c r="DU183" s="62">
        <f t="shared" si="152"/>
        <v>417.30339652956951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-3.4106051316484809E-13</v>
      </c>
      <c r="EK183" s="18">
        <f>EJ183*VLOOKUP('Données projet'!$B$15,Paramètres!$A$1:$I$89,3,0)*VLOOKUP('Données projet'!$B$15,Paramètres!$A$1:$I$89,5,0)</f>
        <v>-2.7134774427395314E-13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427.78067187784063</v>
      </c>
      <c r="EP183" s="62">
        <f t="shared" si="154"/>
        <v>464.22892523825118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-1.1368683772161603E-13</v>
      </c>
      <c r="FF183" s="18">
        <f>FE183*VLOOKUP('Données projet'!$B$16,Paramètres!$A$1:$I$89,3,0)*VLOOKUP('Données projet'!$B$16,Paramètres!$A$1:$I$89,5,0)</f>
        <v>-9.7543306765146564E-14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448.44001099301806</v>
      </c>
      <c r="FK183" s="62">
        <f t="shared" si="156"/>
        <v>230.82970731138215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-3.4106051316484809E-13</v>
      </c>
      <c r="GA183" s="18">
        <f>FZ183*VLOOKUP('Données projet'!$B$17,Paramètres!$A$1:$I$89,3,0)*VLOOKUP('Données projet'!$B$17,Paramètres!$A$1:$I$89,5,0)</f>
        <v>-2.2878339223098009E-13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408.91016501484626</v>
      </c>
      <c r="GF183" s="62">
        <f t="shared" si="158"/>
        <v>354.22396807666433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-1.1368683772161603E-13</v>
      </c>
      <c r="GV183" s="18">
        <f>GU183*VLOOKUP('Données projet'!$B$18,Paramètres!$A$1:$I$89,3,0)*VLOOKUP('Données projet'!$B$18,Paramètres!$A$1:$I$89,5,0)</f>
        <v>-1.0995790944434703E-13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562.69380557620775</v>
      </c>
      <c r="HA183" s="62">
        <f t="shared" si="160"/>
        <v>294.45557293177131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-1.0286385077051818E-13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529.25712986118265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8.8675733422860506E-14</v>
      </c>
      <c r="AK184" s="14">
        <f t="shared" si="164"/>
        <v>1.3509285393066301E-12</v>
      </c>
      <c r="AL184" s="22">
        <f t="shared" si="165"/>
        <v>2.5073107750038623E-12</v>
      </c>
      <c r="AM184" s="62">
        <f t="shared" si="113"/>
        <v>293.33333333333582</v>
      </c>
      <c r="AN184" s="62">
        <f ca="1">AVERAGE(OFFSET($AM$3,0,0,'Données projet'!$E$10+1,1))-AVERAGE(OFFSET($H$3,0,0,'Données projet'!$E$10+1,1))</f>
        <v>292.57482726862594</v>
      </c>
      <c r="AO184" s="62">
        <f t="shared" si="144"/>
        <v>283.48738729114024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-3.4106051316484809E-13</v>
      </c>
      <c r="BE184" s="14">
        <f>BD184*VLOOKUP('Données projet'!$B$11,Paramètres!$A$1:$I$89,3,0)*VLOOKUP('Données projet'!$B$11,Paramètres!$A$1:$I$89,5,0)</f>
        <v>-2.5006556825246659E-13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397.24545766894346</v>
      </c>
      <c r="BJ184" s="62">
        <f t="shared" si="146"/>
        <v>431.44557882369696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2.2737367544323206E-13</v>
      </c>
      <c r="BZ184" s="14">
        <f>BY184*VLOOKUP('Données projet'!$B$12,Paramètres!$A$1:$I$89,3,0)*VLOOKUP('Données projet'!$B$12,Paramètres!$A$1:$I$89,5,0)</f>
        <v>1.4897523215040565E-13</v>
      </c>
      <c r="CA184" s="14">
        <f t="shared" si="170"/>
        <v>2.136562777003313E-12</v>
      </c>
      <c r="CB184" s="22">
        <f t="shared" si="171"/>
        <v>3.9806453659427267E-12</v>
      </c>
      <c r="CC184" s="62">
        <f t="shared" si="119"/>
        <v>293.33333333333729</v>
      </c>
      <c r="CD184" s="62">
        <f ca="1">AVERAGE(OFFSET($CC$3,0,0,'Données projet'!$E$12+1,1))-AVERAGE(OFFSET($H$3,0,0,'Données projet'!$E$12+1,1))</f>
        <v>277.27246253233807</v>
      </c>
      <c r="CE184" s="62">
        <f t="shared" si="148"/>
        <v>269.61868559913404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-8.1404323282185943E-13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402.15128814037058</v>
      </c>
      <c r="CZ184" s="62">
        <f t="shared" si="150"/>
        <v>232.85411068442738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-1.0818439477588981E-13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485.18236169209541</v>
      </c>
      <c r="DU184" s="62">
        <f t="shared" si="152"/>
        <v>417.30339652956951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-3.4106051316484809E-13</v>
      </c>
      <c r="EK184" s="18">
        <f>EJ184*VLOOKUP('Données projet'!$B$15,Paramètres!$A$1:$I$89,3,0)*VLOOKUP('Données projet'!$B$15,Paramètres!$A$1:$I$89,5,0)</f>
        <v>-2.7134774427395314E-13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427.78067187784063</v>
      </c>
      <c r="EP184" s="62">
        <f t="shared" si="154"/>
        <v>464.22892523825118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-1.1368683772161603E-13</v>
      </c>
      <c r="FF184" s="18">
        <f>FE184*VLOOKUP('Données projet'!$B$16,Paramètres!$A$1:$I$89,3,0)*VLOOKUP('Données projet'!$B$16,Paramètres!$A$1:$I$89,5,0)</f>
        <v>-9.7543306765146564E-14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448.44001099301806</v>
      </c>
      <c r="FK184" s="62">
        <f t="shared" si="156"/>
        <v>230.82970731138215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-3.4106051316484809E-13</v>
      </c>
      <c r="GA184" s="18">
        <f>FZ184*VLOOKUP('Données projet'!$B$17,Paramètres!$A$1:$I$89,3,0)*VLOOKUP('Données projet'!$B$17,Paramètres!$A$1:$I$89,5,0)</f>
        <v>-2.2878339223098009E-13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408.91016501484626</v>
      </c>
      <c r="GF184" s="62">
        <f t="shared" si="158"/>
        <v>354.22396807666433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-1.1368683772161603E-13</v>
      </c>
      <c r="GV184" s="18">
        <f>GU184*VLOOKUP('Données projet'!$B$18,Paramètres!$A$1:$I$89,3,0)*VLOOKUP('Données projet'!$B$18,Paramètres!$A$1:$I$89,5,0)</f>
        <v>-1.0995790944434703E-13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562.69380557620775</v>
      </c>
      <c r="HA184" s="62">
        <f t="shared" si="160"/>
        <v>294.45557293177131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-1.0286385077051818E-13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529.25712986118265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8.8675733422860506E-14</v>
      </c>
      <c r="AK185" s="14">
        <f t="shared" si="164"/>
        <v>1.3509285393066301E-12</v>
      </c>
      <c r="AL185" s="22">
        <f t="shared" si="165"/>
        <v>2.5073107750038623E-12</v>
      </c>
      <c r="AM185" s="62">
        <f t="shared" si="113"/>
        <v>293.33333333333582</v>
      </c>
      <c r="AN185" s="62">
        <f ca="1">AVERAGE(OFFSET($AM$3,0,0,'Données projet'!$E$10+1,1))-AVERAGE(OFFSET($H$3,0,0,'Données projet'!$E$10+1,1))</f>
        <v>292.57482726862594</v>
      </c>
      <c r="AO185" s="62">
        <f t="shared" si="144"/>
        <v>283.48738729114024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-3.4106051316484809E-13</v>
      </c>
      <c r="BE185" s="14">
        <f>BD185*VLOOKUP('Données projet'!$B$11,Paramètres!$A$1:$I$89,3,0)*VLOOKUP('Données projet'!$B$11,Paramètres!$A$1:$I$89,5,0)</f>
        <v>-2.5006556825246659E-13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397.24545766894346</v>
      </c>
      <c r="BJ185" s="62">
        <f t="shared" si="146"/>
        <v>431.44557882369696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2.2737367544323206E-13</v>
      </c>
      <c r="BZ185" s="14">
        <f>BY185*VLOOKUP('Données projet'!$B$12,Paramètres!$A$1:$I$89,3,0)*VLOOKUP('Données projet'!$B$12,Paramètres!$A$1:$I$89,5,0)</f>
        <v>1.4897523215040565E-13</v>
      </c>
      <c r="CA185" s="14">
        <f t="shared" si="170"/>
        <v>2.136562777003313E-12</v>
      </c>
      <c r="CB185" s="22">
        <f t="shared" si="171"/>
        <v>3.9806453659427267E-12</v>
      </c>
      <c r="CC185" s="62">
        <f t="shared" si="119"/>
        <v>293.33333333333729</v>
      </c>
      <c r="CD185" s="62">
        <f ca="1">AVERAGE(OFFSET($CC$3,0,0,'Données projet'!$E$12+1,1))-AVERAGE(OFFSET($H$3,0,0,'Données projet'!$E$12+1,1))</f>
        <v>277.27246253233807</v>
      </c>
      <c r="CE185" s="62">
        <f t="shared" si="148"/>
        <v>269.61868559913404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-8.1404323282185943E-13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402.15128814037058</v>
      </c>
      <c r="CZ185" s="62">
        <f t="shared" si="150"/>
        <v>232.85411068442738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-1.0818439477588981E-13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485.18236169209541</v>
      </c>
      <c r="DU185" s="62">
        <f t="shared" si="152"/>
        <v>417.30339652956951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-3.4106051316484809E-13</v>
      </c>
      <c r="EK185" s="18">
        <f>EJ185*VLOOKUP('Données projet'!$B$15,Paramètres!$A$1:$I$89,3,0)*VLOOKUP('Données projet'!$B$15,Paramètres!$A$1:$I$89,5,0)</f>
        <v>-2.7134774427395314E-13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427.78067187784063</v>
      </c>
      <c r="EP185" s="62">
        <f t="shared" si="154"/>
        <v>464.22892523825118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-1.1368683772161603E-13</v>
      </c>
      <c r="FF185" s="18">
        <f>FE185*VLOOKUP('Données projet'!$B$16,Paramètres!$A$1:$I$89,3,0)*VLOOKUP('Données projet'!$B$16,Paramètres!$A$1:$I$89,5,0)</f>
        <v>-9.7543306765146564E-14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448.44001099301806</v>
      </c>
      <c r="FK185" s="62">
        <f t="shared" si="156"/>
        <v>230.82970731138215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-3.4106051316484809E-13</v>
      </c>
      <c r="GA185" s="18">
        <f>FZ185*VLOOKUP('Données projet'!$B$17,Paramètres!$A$1:$I$89,3,0)*VLOOKUP('Données projet'!$B$17,Paramètres!$A$1:$I$89,5,0)</f>
        <v>-2.2878339223098009E-13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408.91016501484626</v>
      </c>
      <c r="GF185" s="62">
        <f t="shared" si="158"/>
        <v>354.22396807666433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-1.1368683772161603E-13</v>
      </c>
      <c r="GV185" s="18">
        <f>GU185*VLOOKUP('Données projet'!$B$18,Paramètres!$A$1:$I$89,3,0)*VLOOKUP('Données projet'!$B$18,Paramètres!$A$1:$I$89,5,0)</f>
        <v>-1.0995790944434703E-13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562.69380557620775</v>
      </c>
      <c r="HA185" s="62">
        <f t="shared" si="160"/>
        <v>294.45557293177131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-1.0286385077051818E-13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529.25712986118265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8.8675733422860506E-14</v>
      </c>
      <c r="AK186" s="14">
        <f t="shared" si="164"/>
        <v>1.3509285393066301E-12</v>
      </c>
      <c r="AL186" s="22">
        <f t="shared" si="165"/>
        <v>2.5073107750038623E-12</v>
      </c>
      <c r="AM186" s="62">
        <f t="shared" si="113"/>
        <v>293.33333333333582</v>
      </c>
      <c r="AN186" s="62">
        <f ca="1">AVERAGE(OFFSET($AM$3,0,0,'Données projet'!$E$10+1,1))-AVERAGE(OFFSET($H$3,0,0,'Données projet'!$E$10+1,1))</f>
        <v>292.57482726862594</v>
      </c>
      <c r="AO186" s="62">
        <f t="shared" si="144"/>
        <v>283.48738729114024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-3.4106051316484809E-13</v>
      </c>
      <c r="BE186" s="14">
        <f>BD186*VLOOKUP('Données projet'!$B$11,Paramètres!$A$1:$I$89,3,0)*VLOOKUP('Données projet'!$B$11,Paramètres!$A$1:$I$89,5,0)</f>
        <v>-2.5006556825246659E-13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397.24545766894346</v>
      </c>
      <c r="BJ186" s="62">
        <f t="shared" si="146"/>
        <v>431.44557882369696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2.2737367544323206E-13</v>
      </c>
      <c r="BZ186" s="14">
        <f>BY186*VLOOKUP('Données projet'!$B$12,Paramètres!$A$1:$I$89,3,0)*VLOOKUP('Données projet'!$B$12,Paramètres!$A$1:$I$89,5,0)</f>
        <v>1.4897523215040565E-13</v>
      </c>
      <c r="CA186" s="14">
        <f t="shared" si="170"/>
        <v>2.136562777003313E-12</v>
      </c>
      <c r="CB186" s="22">
        <f t="shared" si="171"/>
        <v>3.9806453659427267E-12</v>
      </c>
      <c r="CC186" s="62">
        <f t="shared" si="119"/>
        <v>293.33333333333729</v>
      </c>
      <c r="CD186" s="62">
        <f ca="1">AVERAGE(OFFSET($CC$3,0,0,'Données projet'!$E$12+1,1))-AVERAGE(OFFSET($H$3,0,0,'Données projet'!$E$12+1,1))</f>
        <v>277.27246253233807</v>
      </c>
      <c r="CE186" s="62">
        <f t="shared" si="148"/>
        <v>269.61868559913404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-8.1404323282185943E-13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402.15128814037058</v>
      </c>
      <c r="CZ186" s="62">
        <f t="shared" si="150"/>
        <v>232.85411068442738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-1.0818439477588981E-13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485.18236169209541</v>
      </c>
      <c r="DU186" s="62">
        <f t="shared" si="152"/>
        <v>417.30339652956951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-3.4106051316484809E-13</v>
      </c>
      <c r="EK186" s="18">
        <f>EJ186*VLOOKUP('Données projet'!$B$15,Paramètres!$A$1:$I$89,3,0)*VLOOKUP('Données projet'!$B$15,Paramètres!$A$1:$I$89,5,0)</f>
        <v>-2.7134774427395314E-13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427.78067187784063</v>
      </c>
      <c r="EP186" s="62">
        <f t="shared" si="154"/>
        <v>464.22892523825118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-1.1368683772161603E-13</v>
      </c>
      <c r="FF186" s="18">
        <f>FE186*VLOOKUP('Données projet'!$B$16,Paramètres!$A$1:$I$89,3,0)*VLOOKUP('Données projet'!$B$16,Paramètres!$A$1:$I$89,5,0)</f>
        <v>-9.7543306765146564E-14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448.44001099301806</v>
      </c>
      <c r="FK186" s="62">
        <f t="shared" si="156"/>
        <v>230.82970731138215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-3.4106051316484809E-13</v>
      </c>
      <c r="GA186" s="18">
        <f>FZ186*VLOOKUP('Données projet'!$B$17,Paramètres!$A$1:$I$89,3,0)*VLOOKUP('Données projet'!$B$17,Paramètres!$A$1:$I$89,5,0)</f>
        <v>-2.2878339223098009E-13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408.91016501484626</v>
      </c>
      <c r="GF186" s="62">
        <f t="shared" si="158"/>
        <v>354.22396807666433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-1.1368683772161603E-13</v>
      </c>
      <c r="GV186" s="18">
        <f>GU186*VLOOKUP('Données projet'!$B$18,Paramètres!$A$1:$I$89,3,0)*VLOOKUP('Données projet'!$B$18,Paramètres!$A$1:$I$89,5,0)</f>
        <v>-1.0995790944434703E-13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562.69380557620775</v>
      </c>
      <c r="HA186" s="62">
        <f t="shared" si="160"/>
        <v>294.45557293177131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-1.0286385077051818E-13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529.25712986118265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8.8675733422860506E-14</v>
      </c>
      <c r="AK187" s="14">
        <f t="shared" si="164"/>
        <v>1.3509285393066301E-12</v>
      </c>
      <c r="AL187" s="22">
        <f t="shared" si="165"/>
        <v>2.5073107750038623E-12</v>
      </c>
      <c r="AM187" s="62">
        <f t="shared" si="113"/>
        <v>293.33333333333582</v>
      </c>
      <c r="AN187" s="62">
        <f ca="1">AVERAGE(OFFSET($AM$3,0,0,'Données projet'!$E$10+1,1))-AVERAGE(OFFSET($H$3,0,0,'Données projet'!$E$10+1,1))</f>
        <v>292.57482726862594</v>
      </c>
      <c r="AO187" s="62">
        <f t="shared" si="144"/>
        <v>283.48738729114024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-3.4106051316484809E-13</v>
      </c>
      <c r="BE187" s="14">
        <f>BD187*VLOOKUP('Données projet'!$B$11,Paramètres!$A$1:$I$89,3,0)*VLOOKUP('Données projet'!$B$11,Paramètres!$A$1:$I$89,5,0)</f>
        <v>-2.5006556825246659E-13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397.24545766894346</v>
      </c>
      <c r="BJ187" s="62">
        <f t="shared" si="146"/>
        <v>431.44557882369696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2.2737367544323206E-13</v>
      </c>
      <c r="BZ187" s="14">
        <f>BY187*VLOOKUP('Données projet'!$B$12,Paramètres!$A$1:$I$89,3,0)*VLOOKUP('Données projet'!$B$12,Paramètres!$A$1:$I$89,5,0)</f>
        <v>1.4897523215040565E-13</v>
      </c>
      <c r="CA187" s="14">
        <f t="shared" si="170"/>
        <v>2.136562777003313E-12</v>
      </c>
      <c r="CB187" s="22">
        <f t="shared" si="171"/>
        <v>3.9806453659427267E-12</v>
      </c>
      <c r="CC187" s="62">
        <f t="shared" si="119"/>
        <v>293.33333333333729</v>
      </c>
      <c r="CD187" s="62">
        <f ca="1">AVERAGE(OFFSET($CC$3,0,0,'Données projet'!$E$12+1,1))-AVERAGE(OFFSET($H$3,0,0,'Données projet'!$E$12+1,1))</f>
        <v>277.27246253233807</v>
      </c>
      <c r="CE187" s="62">
        <f t="shared" si="148"/>
        <v>269.61868559913404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-8.1404323282185943E-13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402.15128814037058</v>
      </c>
      <c r="CZ187" s="62">
        <f t="shared" si="150"/>
        <v>232.85411068442738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-1.0818439477588981E-13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485.18236169209541</v>
      </c>
      <c r="DU187" s="62">
        <f t="shared" si="152"/>
        <v>417.30339652956951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-3.4106051316484809E-13</v>
      </c>
      <c r="EK187" s="18">
        <f>EJ187*VLOOKUP('Données projet'!$B$15,Paramètres!$A$1:$I$89,3,0)*VLOOKUP('Données projet'!$B$15,Paramètres!$A$1:$I$89,5,0)</f>
        <v>-2.7134774427395314E-13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427.78067187784063</v>
      </c>
      <c r="EP187" s="62">
        <f t="shared" si="154"/>
        <v>464.22892523825118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-1.1368683772161603E-13</v>
      </c>
      <c r="FF187" s="18">
        <f>FE187*VLOOKUP('Données projet'!$B$16,Paramètres!$A$1:$I$89,3,0)*VLOOKUP('Données projet'!$B$16,Paramètres!$A$1:$I$89,5,0)</f>
        <v>-9.7543306765146564E-14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448.44001099301806</v>
      </c>
      <c r="FK187" s="62">
        <f t="shared" si="156"/>
        <v>230.82970731138215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-3.4106051316484809E-13</v>
      </c>
      <c r="GA187" s="18">
        <f>FZ187*VLOOKUP('Données projet'!$B$17,Paramètres!$A$1:$I$89,3,0)*VLOOKUP('Données projet'!$B$17,Paramètres!$A$1:$I$89,5,0)</f>
        <v>-2.2878339223098009E-13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408.91016501484626</v>
      </c>
      <c r="GF187" s="62">
        <f t="shared" si="158"/>
        <v>354.22396807666433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-1.1368683772161603E-13</v>
      </c>
      <c r="GV187" s="18">
        <f>GU187*VLOOKUP('Données projet'!$B$18,Paramètres!$A$1:$I$89,3,0)*VLOOKUP('Données projet'!$B$18,Paramètres!$A$1:$I$89,5,0)</f>
        <v>-1.0995790944434703E-13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562.69380557620775</v>
      </c>
      <c r="HA187" s="62">
        <f t="shared" si="160"/>
        <v>294.45557293177131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-1.0286385077051818E-13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529.25712986118265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8.8675733422860506E-14</v>
      </c>
      <c r="AK188" s="14">
        <f t="shared" si="164"/>
        <v>1.3509285393066301E-12</v>
      </c>
      <c r="AL188" s="22">
        <f t="shared" si="165"/>
        <v>2.5073107750038623E-12</v>
      </c>
      <c r="AM188" s="62">
        <f t="shared" si="113"/>
        <v>293.33333333333582</v>
      </c>
      <c r="AN188" s="62">
        <f ca="1">AVERAGE(OFFSET($AM$3,0,0,'Données projet'!$E$10+1,1))-AVERAGE(OFFSET($H$3,0,0,'Données projet'!$E$10+1,1))</f>
        <v>292.57482726862594</v>
      </c>
      <c r="AO188" s="62">
        <f t="shared" si="144"/>
        <v>283.48738729114024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-3.4106051316484809E-13</v>
      </c>
      <c r="BE188" s="14">
        <f>BD188*VLOOKUP('Données projet'!$B$11,Paramètres!$A$1:$I$89,3,0)*VLOOKUP('Données projet'!$B$11,Paramètres!$A$1:$I$89,5,0)</f>
        <v>-2.5006556825246659E-13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397.24545766894346</v>
      </c>
      <c r="BJ188" s="62">
        <f t="shared" si="146"/>
        <v>431.44557882369696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2.2737367544323206E-13</v>
      </c>
      <c r="BZ188" s="14">
        <f>BY188*VLOOKUP('Données projet'!$B$12,Paramètres!$A$1:$I$89,3,0)*VLOOKUP('Données projet'!$B$12,Paramètres!$A$1:$I$89,5,0)</f>
        <v>1.4897523215040565E-13</v>
      </c>
      <c r="CA188" s="14">
        <f t="shared" si="170"/>
        <v>2.136562777003313E-12</v>
      </c>
      <c r="CB188" s="22">
        <f t="shared" si="171"/>
        <v>3.9806453659427267E-12</v>
      </c>
      <c r="CC188" s="62">
        <f t="shared" si="119"/>
        <v>293.33333333333729</v>
      </c>
      <c r="CD188" s="62">
        <f ca="1">AVERAGE(OFFSET($CC$3,0,0,'Données projet'!$E$12+1,1))-AVERAGE(OFFSET($H$3,0,0,'Données projet'!$E$12+1,1))</f>
        <v>277.27246253233807</v>
      </c>
      <c r="CE188" s="62">
        <f t="shared" si="148"/>
        <v>269.61868559913404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-8.1404323282185943E-13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402.15128814037058</v>
      </c>
      <c r="CZ188" s="62">
        <f t="shared" si="150"/>
        <v>232.85411068442738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-1.0818439477588981E-13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485.18236169209541</v>
      </c>
      <c r="DU188" s="62">
        <f t="shared" si="152"/>
        <v>417.30339652956951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-3.4106051316484809E-13</v>
      </c>
      <c r="EK188" s="18">
        <f>EJ188*VLOOKUP('Données projet'!$B$15,Paramètres!$A$1:$I$89,3,0)*VLOOKUP('Données projet'!$B$15,Paramètres!$A$1:$I$89,5,0)</f>
        <v>-2.7134774427395314E-13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427.78067187784063</v>
      </c>
      <c r="EP188" s="62">
        <f t="shared" si="154"/>
        <v>464.22892523825118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-1.1368683772161603E-13</v>
      </c>
      <c r="FF188" s="18">
        <f>FE188*VLOOKUP('Données projet'!$B$16,Paramètres!$A$1:$I$89,3,0)*VLOOKUP('Données projet'!$B$16,Paramètres!$A$1:$I$89,5,0)</f>
        <v>-9.7543306765146564E-14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448.44001099301806</v>
      </c>
      <c r="FK188" s="62">
        <f t="shared" si="156"/>
        <v>230.82970731138215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-3.4106051316484809E-13</v>
      </c>
      <c r="GA188" s="18">
        <f>FZ188*VLOOKUP('Données projet'!$B$17,Paramètres!$A$1:$I$89,3,0)*VLOOKUP('Données projet'!$B$17,Paramètres!$A$1:$I$89,5,0)</f>
        <v>-2.2878339223098009E-13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408.91016501484626</v>
      </c>
      <c r="GF188" s="62">
        <f t="shared" si="158"/>
        <v>354.22396807666433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-1.1368683772161603E-13</v>
      </c>
      <c r="GV188" s="18">
        <f>GU188*VLOOKUP('Données projet'!$B$18,Paramètres!$A$1:$I$89,3,0)*VLOOKUP('Données projet'!$B$18,Paramètres!$A$1:$I$89,5,0)</f>
        <v>-1.0995790944434703E-13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562.69380557620775</v>
      </c>
      <c r="HA188" s="62">
        <f t="shared" si="160"/>
        <v>294.45557293177131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-1.0286385077051818E-13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529.25712986118265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8.8675733422860506E-14</v>
      </c>
      <c r="AK189" s="14">
        <f t="shared" si="164"/>
        <v>1.3509285393066301E-12</v>
      </c>
      <c r="AL189" s="22">
        <f t="shared" si="165"/>
        <v>2.5073107750038623E-12</v>
      </c>
      <c r="AM189" s="62">
        <f t="shared" si="113"/>
        <v>293.33333333333582</v>
      </c>
      <c r="AN189" s="62">
        <f ca="1">AVERAGE(OFFSET($AM$3,0,0,'Données projet'!$E$10+1,1))-AVERAGE(OFFSET($H$3,0,0,'Données projet'!$E$10+1,1))</f>
        <v>292.57482726862594</v>
      </c>
      <c r="AO189" s="62">
        <f t="shared" si="144"/>
        <v>283.48738729114024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-3.4106051316484809E-13</v>
      </c>
      <c r="BE189" s="14">
        <f>BD189*VLOOKUP('Données projet'!$B$11,Paramètres!$A$1:$I$89,3,0)*VLOOKUP('Données projet'!$B$11,Paramètres!$A$1:$I$89,5,0)</f>
        <v>-2.5006556825246659E-13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397.24545766894346</v>
      </c>
      <c r="BJ189" s="62">
        <f t="shared" si="146"/>
        <v>431.44557882369696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2.2737367544323206E-13</v>
      </c>
      <c r="BZ189" s="14">
        <f>BY189*VLOOKUP('Données projet'!$B$12,Paramètres!$A$1:$I$89,3,0)*VLOOKUP('Données projet'!$B$12,Paramètres!$A$1:$I$89,5,0)</f>
        <v>1.4897523215040565E-13</v>
      </c>
      <c r="CA189" s="14">
        <f t="shared" si="170"/>
        <v>2.136562777003313E-12</v>
      </c>
      <c r="CB189" s="22">
        <f t="shared" si="171"/>
        <v>3.9806453659427267E-12</v>
      </c>
      <c r="CC189" s="62">
        <f t="shared" si="119"/>
        <v>293.33333333333729</v>
      </c>
      <c r="CD189" s="62">
        <f ca="1">AVERAGE(OFFSET($CC$3,0,0,'Données projet'!$E$12+1,1))-AVERAGE(OFFSET($H$3,0,0,'Données projet'!$E$12+1,1))</f>
        <v>277.27246253233807</v>
      </c>
      <c r="CE189" s="62">
        <f t="shared" si="148"/>
        <v>269.61868559913404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-8.1404323282185943E-13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402.15128814037058</v>
      </c>
      <c r="CZ189" s="62">
        <f t="shared" si="150"/>
        <v>232.85411068442738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-1.0818439477588981E-13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485.18236169209541</v>
      </c>
      <c r="DU189" s="62">
        <f t="shared" si="152"/>
        <v>417.30339652956951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-3.4106051316484809E-13</v>
      </c>
      <c r="EK189" s="18">
        <f>EJ189*VLOOKUP('Données projet'!$B$15,Paramètres!$A$1:$I$89,3,0)*VLOOKUP('Données projet'!$B$15,Paramètres!$A$1:$I$89,5,0)</f>
        <v>-2.7134774427395314E-13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427.78067187784063</v>
      </c>
      <c r="EP189" s="62">
        <f t="shared" si="154"/>
        <v>464.22892523825118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-1.1368683772161603E-13</v>
      </c>
      <c r="FF189" s="18">
        <f>FE189*VLOOKUP('Données projet'!$B$16,Paramètres!$A$1:$I$89,3,0)*VLOOKUP('Données projet'!$B$16,Paramètres!$A$1:$I$89,5,0)</f>
        <v>-9.7543306765146564E-14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448.44001099301806</v>
      </c>
      <c r="FK189" s="62">
        <f t="shared" si="156"/>
        <v>230.82970731138215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-3.4106051316484809E-13</v>
      </c>
      <c r="GA189" s="18">
        <f>FZ189*VLOOKUP('Données projet'!$B$17,Paramètres!$A$1:$I$89,3,0)*VLOOKUP('Données projet'!$B$17,Paramètres!$A$1:$I$89,5,0)</f>
        <v>-2.2878339223098009E-13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408.91016501484626</v>
      </c>
      <c r="GF189" s="62">
        <f t="shared" si="158"/>
        <v>354.22396807666433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-1.1368683772161603E-13</v>
      </c>
      <c r="GV189" s="18">
        <f>GU189*VLOOKUP('Données projet'!$B$18,Paramètres!$A$1:$I$89,3,0)*VLOOKUP('Données projet'!$B$18,Paramètres!$A$1:$I$89,5,0)</f>
        <v>-1.0995790944434703E-13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562.69380557620775</v>
      </c>
      <c r="HA189" s="62">
        <f t="shared" si="160"/>
        <v>294.45557293177131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-1.0286385077051818E-13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529.25712986118265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8.8675733422860506E-14</v>
      </c>
      <c r="AK190" s="14">
        <f t="shared" si="164"/>
        <v>1.3509285393066301E-12</v>
      </c>
      <c r="AL190" s="22">
        <f t="shared" si="165"/>
        <v>2.5073107750038623E-12</v>
      </c>
      <c r="AM190" s="62">
        <f t="shared" si="113"/>
        <v>293.33333333333582</v>
      </c>
      <c r="AN190" s="62">
        <f ca="1">AVERAGE(OFFSET($AM$3,0,0,'Données projet'!$E$10+1,1))-AVERAGE(OFFSET($H$3,0,0,'Données projet'!$E$10+1,1))</f>
        <v>292.57482726862594</v>
      </c>
      <c r="AO190" s="62">
        <f t="shared" si="144"/>
        <v>283.48738729114024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-3.4106051316484809E-13</v>
      </c>
      <c r="BE190" s="14">
        <f>BD190*VLOOKUP('Données projet'!$B$11,Paramètres!$A$1:$I$89,3,0)*VLOOKUP('Données projet'!$B$11,Paramètres!$A$1:$I$89,5,0)</f>
        <v>-2.5006556825246659E-13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397.24545766894346</v>
      </c>
      <c r="BJ190" s="62">
        <f t="shared" si="146"/>
        <v>431.44557882369696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2.2737367544323206E-13</v>
      </c>
      <c r="BZ190" s="14">
        <f>BY190*VLOOKUP('Données projet'!$B$12,Paramètres!$A$1:$I$89,3,0)*VLOOKUP('Données projet'!$B$12,Paramètres!$A$1:$I$89,5,0)</f>
        <v>1.4897523215040565E-13</v>
      </c>
      <c r="CA190" s="14">
        <f t="shared" si="170"/>
        <v>2.136562777003313E-12</v>
      </c>
      <c r="CB190" s="22">
        <f t="shared" si="171"/>
        <v>3.9806453659427267E-12</v>
      </c>
      <c r="CC190" s="62">
        <f t="shared" si="119"/>
        <v>293.33333333333729</v>
      </c>
      <c r="CD190" s="62">
        <f ca="1">AVERAGE(OFFSET($CC$3,0,0,'Données projet'!$E$12+1,1))-AVERAGE(OFFSET($H$3,0,0,'Données projet'!$E$12+1,1))</f>
        <v>277.27246253233807</v>
      </c>
      <c r="CE190" s="62">
        <f t="shared" si="148"/>
        <v>269.61868559913404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-8.1404323282185943E-13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402.15128814037058</v>
      </c>
      <c r="CZ190" s="62">
        <f t="shared" si="150"/>
        <v>232.85411068442738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-1.0818439477588981E-13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485.18236169209541</v>
      </c>
      <c r="DU190" s="62">
        <f t="shared" si="152"/>
        <v>417.30339652956951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-3.4106051316484809E-13</v>
      </c>
      <c r="EK190" s="18">
        <f>EJ190*VLOOKUP('Données projet'!$B$15,Paramètres!$A$1:$I$89,3,0)*VLOOKUP('Données projet'!$B$15,Paramètres!$A$1:$I$89,5,0)</f>
        <v>-2.7134774427395314E-13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427.78067187784063</v>
      </c>
      <c r="EP190" s="62">
        <f t="shared" si="154"/>
        <v>464.22892523825118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-1.1368683772161603E-13</v>
      </c>
      <c r="FF190" s="18">
        <f>FE190*VLOOKUP('Données projet'!$B$16,Paramètres!$A$1:$I$89,3,0)*VLOOKUP('Données projet'!$B$16,Paramètres!$A$1:$I$89,5,0)</f>
        <v>-9.7543306765146564E-14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448.44001099301806</v>
      </c>
      <c r="FK190" s="62">
        <f t="shared" si="156"/>
        <v>230.82970731138215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-3.4106051316484809E-13</v>
      </c>
      <c r="GA190" s="18">
        <f>FZ190*VLOOKUP('Données projet'!$B$17,Paramètres!$A$1:$I$89,3,0)*VLOOKUP('Données projet'!$B$17,Paramètres!$A$1:$I$89,5,0)</f>
        <v>-2.2878339223098009E-13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408.91016501484626</v>
      </c>
      <c r="GF190" s="62">
        <f t="shared" si="158"/>
        <v>354.22396807666433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-1.1368683772161603E-13</v>
      </c>
      <c r="GV190" s="18">
        <f>GU190*VLOOKUP('Données projet'!$B$18,Paramètres!$A$1:$I$89,3,0)*VLOOKUP('Données projet'!$B$18,Paramètres!$A$1:$I$89,5,0)</f>
        <v>-1.0995790944434703E-13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562.69380557620775</v>
      </c>
      <c r="HA190" s="62">
        <f t="shared" si="160"/>
        <v>294.45557293177131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-1.0286385077051818E-13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529.25712986118265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8.8675733422860506E-14</v>
      </c>
      <c r="AK191" s="14">
        <f t="shared" si="164"/>
        <v>1.3509285393066301E-12</v>
      </c>
      <c r="AL191" s="22">
        <f t="shared" si="165"/>
        <v>2.5073107750038623E-12</v>
      </c>
      <c r="AM191" s="62">
        <f t="shared" si="113"/>
        <v>293.33333333333582</v>
      </c>
      <c r="AN191" s="62">
        <f ca="1">AVERAGE(OFFSET($AM$3,0,0,'Données projet'!$E$10+1,1))-AVERAGE(OFFSET($H$3,0,0,'Données projet'!$E$10+1,1))</f>
        <v>292.57482726862594</v>
      </c>
      <c r="AO191" s="62">
        <f t="shared" si="144"/>
        <v>283.48738729114024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-3.4106051316484809E-13</v>
      </c>
      <c r="BE191" s="14">
        <f>BD191*VLOOKUP('Données projet'!$B$11,Paramètres!$A$1:$I$89,3,0)*VLOOKUP('Données projet'!$B$11,Paramètres!$A$1:$I$89,5,0)</f>
        <v>-2.5006556825246659E-13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397.24545766894346</v>
      </c>
      <c r="BJ191" s="62">
        <f t="shared" si="146"/>
        <v>431.44557882369696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2.2737367544323206E-13</v>
      </c>
      <c r="BZ191" s="14">
        <f>BY191*VLOOKUP('Données projet'!$B$12,Paramètres!$A$1:$I$89,3,0)*VLOOKUP('Données projet'!$B$12,Paramètres!$A$1:$I$89,5,0)</f>
        <v>1.4897523215040565E-13</v>
      </c>
      <c r="CA191" s="14">
        <f t="shared" si="170"/>
        <v>2.136562777003313E-12</v>
      </c>
      <c r="CB191" s="22">
        <f t="shared" si="171"/>
        <v>3.9806453659427267E-12</v>
      </c>
      <c r="CC191" s="62">
        <f t="shared" si="119"/>
        <v>293.33333333333729</v>
      </c>
      <c r="CD191" s="62">
        <f ca="1">AVERAGE(OFFSET($CC$3,0,0,'Données projet'!$E$12+1,1))-AVERAGE(OFFSET($H$3,0,0,'Données projet'!$E$12+1,1))</f>
        <v>277.27246253233807</v>
      </c>
      <c r="CE191" s="62">
        <f t="shared" si="148"/>
        <v>269.61868559913404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-8.1404323282185943E-13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402.15128814037058</v>
      </c>
      <c r="CZ191" s="62">
        <f t="shared" si="150"/>
        <v>232.85411068442738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-1.0818439477588981E-13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485.18236169209541</v>
      </c>
      <c r="DU191" s="62">
        <f t="shared" si="152"/>
        <v>417.30339652956951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-3.4106051316484809E-13</v>
      </c>
      <c r="EK191" s="18">
        <f>EJ191*VLOOKUP('Données projet'!$B$15,Paramètres!$A$1:$I$89,3,0)*VLOOKUP('Données projet'!$B$15,Paramètres!$A$1:$I$89,5,0)</f>
        <v>-2.7134774427395314E-13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427.78067187784063</v>
      </c>
      <c r="EP191" s="62">
        <f t="shared" si="154"/>
        <v>464.22892523825118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-1.1368683772161603E-13</v>
      </c>
      <c r="FF191" s="18">
        <f>FE191*VLOOKUP('Données projet'!$B$16,Paramètres!$A$1:$I$89,3,0)*VLOOKUP('Données projet'!$B$16,Paramètres!$A$1:$I$89,5,0)</f>
        <v>-9.7543306765146564E-14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448.44001099301806</v>
      </c>
      <c r="FK191" s="62">
        <f t="shared" si="156"/>
        <v>230.82970731138215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-3.4106051316484809E-13</v>
      </c>
      <c r="GA191" s="18">
        <f>FZ191*VLOOKUP('Données projet'!$B$17,Paramètres!$A$1:$I$89,3,0)*VLOOKUP('Données projet'!$B$17,Paramètres!$A$1:$I$89,5,0)</f>
        <v>-2.2878339223098009E-13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408.91016501484626</v>
      </c>
      <c r="GF191" s="62">
        <f t="shared" si="158"/>
        <v>354.22396807666433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-1.1368683772161603E-13</v>
      </c>
      <c r="GV191" s="18">
        <f>GU191*VLOOKUP('Données projet'!$B$18,Paramètres!$A$1:$I$89,3,0)*VLOOKUP('Données projet'!$B$18,Paramètres!$A$1:$I$89,5,0)</f>
        <v>-1.0995790944434703E-13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562.69380557620775</v>
      </c>
      <c r="HA191" s="62">
        <f t="shared" si="160"/>
        <v>294.45557293177131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-1.0286385077051818E-13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529.25712986118265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8.8675733422860506E-14</v>
      </c>
      <c r="AK192" s="14">
        <f t="shared" si="164"/>
        <v>1.3509285393066301E-12</v>
      </c>
      <c r="AL192" s="22">
        <f t="shared" si="165"/>
        <v>2.5073107750038623E-12</v>
      </c>
      <c r="AM192" s="62">
        <f t="shared" si="113"/>
        <v>293.33333333333582</v>
      </c>
      <c r="AN192" s="62">
        <f ca="1">AVERAGE(OFFSET($AM$3,0,0,'Données projet'!$E$10+1,1))-AVERAGE(OFFSET($H$3,0,0,'Données projet'!$E$10+1,1))</f>
        <v>292.57482726862594</v>
      </c>
      <c r="AO192" s="62">
        <f t="shared" si="144"/>
        <v>283.48738729114024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-3.4106051316484809E-13</v>
      </c>
      <c r="BE192" s="14">
        <f>BD192*VLOOKUP('Données projet'!$B$11,Paramètres!$A$1:$I$89,3,0)*VLOOKUP('Données projet'!$B$11,Paramètres!$A$1:$I$89,5,0)</f>
        <v>-2.5006556825246659E-13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397.24545766894346</v>
      </c>
      <c r="BJ192" s="62">
        <f t="shared" si="146"/>
        <v>431.44557882369696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2.2737367544323206E-13</v>
      </c>
      <c r="BZ192" s="14">
        <f>BY192*VLOOKUP('Données projet'!$B$12,Paramètres!$A$1:$I$89,3,0)*VLOOKUP('Données projet'!$B$12,Paramètres!$A$1:$I$89,5,0)</f>
        <v>1.4897523215040565E-13</v>
      </c>
      <c r="CA192" s="14">
        <f t="shared" si="170"/>
        <v>2.136562777003313E-12</v>
      </c>
      <c r="CB192" s="22">
        <f t="shared" si="171"/>
        <v>3.9806453659427267E-12</v>
      </c>
      <c r="CC192" s="62">
        <f t="shared" si="119"/>
        <v>293.33333333333729</v>
      </c>
      <c r="CD192" s="62">
        <f ca="1">AVERAGE(OFFSET($CC$3,0,0,'Données projet'!$E$12+1,1))-AVERAGE(OFFSET($H$3,0,0,'Données projet'!$E$12+1,1))</f>
        <v>277.27246253233807</v>
      </c>
      <c r="CE192" s="62">
        <f t="shared" si="148"/>
        <v>269.61868559913404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-8.1404323282185943E-13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402.15128814037058</v>
      </c>
      <c r="CZ192" s="62">
        <f t="shared" si="150"/>
        <v>232.85411068442738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-1.0818439477588981E-13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485.18236169209541</v>
      </c>
      <c r="DU192" s="62">
        <f t="shared" si="152"/>
        <v>417.30339652956951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-3.4106051316484809E-13</v>
      </c>
      <c r="EK192" s="18">
        <f>EJ192*VLOOKUP('Données projet'!$B$15,Paramètres!$A$1:$I$89,3,0)*VLOOKUP('Données projet'!$B$15,Paramètres!$A$1:$I$89,5,0)</f>
        <v>-2.7134774427395314E-13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427.78067187784063</v>
      </c>
      <c r="EP192" s="62">
        <f t="shared" si="154"/>
        <v>464.22892523825118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-1.1368683772161603E-13</v>
      </c>
      <c r="FF192" s="18">
        <f>FE192*VLOOKUP('Données projet'!$B$16,Paramètres!$A$1:$I$89,3,0)*VLOOKUP('Données projet'!$B$16,Paramètres!$A$1:$I$89,5,0)</f>
        <v>-9.7543306765146564E-14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448.44001099301806</v>
      </c>
      <c r="FK192" s="62">
        <f t="shared" si="156"/>
        <v>230.82970731138215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-3.4106051316484809E-13</v>
      </c>
      <c r="GA192" s="18">
        <f>FZ192*VLOOKUP('Données projet'!$B$17,Paramètres!$A$1:$I$89,3,0)*VLOOKUP('Données projet'!$B$17,Paramètres!$A$1:$I$89,5,0)</f>
        <v>-2.2878339223098009E-13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408.91016501484626</v>
      </c>
      <c r="GF192" s="62">
        <f t="shared" si="158"/>
        <v>354.22396807666433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-1.1368683772161603E-13</v>
      </c>
      <c r="GV192" s="18">
        <f>GU192*VLOOKUP('Données projet'!$B$18,Paramètres!$A$1:$I$89,3,0)*VLOOKUP('Données projet'!$B$18,Paramètres!$A$1:$I$89,5,0)</f>
        <v>-1.0995790944434703E-13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562.69380557620775</v>
      </c>
      <c r="HA192" s="62">
        <f t="shared" si="160"/>
        <v>294.45557293177131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-1.0286385077051818E-13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529.25712986118265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8.8675733422860506E-14</v>
      </c>
      <c r="AK193" s="14">
        <f t="shared" si="164"/>
        <v>1.3509285393066301E-12</v>
      </c>
      <c r="AL193" s="22">
        <f t="shared" si="165"/>
        <v>2.5073107750038623E-12</v>
      </c>
      <c r="AM193" s="62">
        <f t="shared" si="113"/>
        <v>293.33333333333582</v>
      </c>
      <c r="AN193" s="62">
        <f ca="1">AVERAGE(OFFSET($AM$3,0,0,'Données projet'!$E$10+1,1))-AVERAGE(OFFSET($H$3,0,0,'Données projet'!$E$10+1,1))</f>
        <v>292.57482726862594</v>
      </c>
      <c r="AO193" s="62">
        <f t="shared" si="144"/>
        <v>283.48738729114024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-3.4106051316484809E-13</v>
      </c>
      <c r="BE193" s="14">
        <f>BD193*VLOOKUP('Données projet'!$B$11,Paramètres!$A$1:$I$89,3,0)*VLOOKUP('Données projet'!$B$11,Paramètres!$A$1:$I$89,5,0)</f>
        <v>-2.5006556825246659E-13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397.24545766894346</v>
      </c>
      <c r="BJ193" s="62">
        <f t="shared" si="146"/>
        <v>431.44557882369696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2.2737367544323206E-13</v>
      </c>
      <c r="BZ193" s="14">
        <f>BY193*VLOOKUP('Données projet'!$B$12,Paramètres!$A$1:$I$89,3,0)*VLOOKUP('Données projet'!$B$12,Paramètres!$A$1:$I$89,5,0)</f>
        <v>1.4897523215040565E-13</v>
      </c>
      <c r="CA193" s="14">
        <f t="shared" si="170"/>
        <v>2.136562777003313E-12</v>
      </c>
      <c r="CB193" s="22">
        <f t="shared" si="171"/>
        <v>3.9806453659427267E-12</v>
      </c>
      <c r="CC193" s="62">
        <f t="shared" si="119"/>
        <v>293.33333333333729</v>
      </c>
      <c r="CD193" s="62">
        <f ca="1">AVERAGE(OFFSET($CC$3,0,0,'Données projet'!$E$12+1,1))-AVERAGE(OFFSET($H$3,0,0,'Données projet'!$E$12+1,1))</f>
        <v>277.27246253233807</v>
      </c>
      <c r="CE193" s="62">
        <f t="shared" si="148"/>
        <v>269.61868559913404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-8.1404323282185943E-13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402.15128814037058</v>
      </c>
      <c r="CZ193" s="62">
        <f t="shared" si="150"/>
        <v>232.85411068442738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-1.0818439477588981E-13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485.18236169209541</v>
      </c>
      <c r="DU193" s="62">
        <f t="shared" si="152"/>
        <v>417.30339652956951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-3.4106051316484809E-13</v>
      </c>
      <c r="EK193" s="18">
        <f>EJ193*VLOOKUP('Données projet'!$B$15,Paramètres!$A$1:$I$89,3,0)*VLOOKUP('Données projet'!$B$15,Paramètres!$A$1:$I$89,5,0)</f>
        <v>-2.7134774427395314E-13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427.78067187784063</v>
      </c>
      <c r="EP193" s="62">
        <f t="shared" si="154"/>
        <v>464.22892523825118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-1.1368683772161603E-13</v>
      </c>
      <c r="FF193" s="18">
        <f>FE193*VLOOKUP('Données projet'!$B$16,Paramètres!$A$1:$I$89,3,0)*VLOOKUP('Données projet'!$B$16,Paramètres!$A$1:$I$89,5,0)</f>
        <v>-9.7543306765146564E-14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448.44001099301806</v>
      </c>
      <c r="FK193" s="62">
        <f t="shared" si="156"/>
        <v>230.82970731138215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-3.4106051316484809E-13</v>
      </c>
      <c r="GA193" s="18">
        <f>FZ193*VLOOKUP('Données projet'!$B$17,Paramètres!$A$1:$I$89,3,0)*VLOOKUP('Données projet'!$B$17,Paramètres!$A$1:$I$89,5,0)</f>
        <v>-2.2878339223098009E-13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408.91016501484626</v>
      </c>
      <c r="GF193" s="62">
        <f t="shared" si="158"/>
        <v>354.22396807666433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-1.1368683772161603E-13</v>
      </c>
      <c r="GV193" s="18">
        <f>GU193*VLOOKUP('Données projet'!$B$18,Paramètres!$A$1:$I$89,3,0)*VLOOKUP('Données projet'!$B$18,Paramètres!$A$1:$I$89,5,0)</f>
        <v>-1.0995790944434703E-13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562.69380557620775</v>
      </c>
      <c r="HA193" s="62">
        <f t="shared" si="160"/>
        <v>294.45557293177131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-1.0286385077051818E-13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529.25712986118265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8.8675733422860506E-14</v>
      </c>
      <c r="AK194" s="14">
        <f t="shared" si="164"/>
        <v>1.3509285393066301E-12</v>
      </c>
      <c r="AL194" s="22">
        <f t="shared" si="165"/>
        <v>2.5073107750038623E-12</v>
      </c>
      <c r="AM194" s="62">
        <f t="shared" si="113"/>
        <v>293.33333333333582</v>
      </c>
      <c r="AN194" s="62">
        <f ca="1">AVERAGE(OFFSET($AM$3,0,0,'Données projet'!$E$10+1,1))-AVERAGE(OFFSET($H$3,0,0,'Données projet'!$E$10+1,1))</f>
        <v>292.57482726862594</v>
      </c>
      <c r="AO194" s="62">
        <f t="shared" si="144"/>
        <v>283.48738729114024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-3.4106051316484809E-13</v>
      </c>
      <c r="BE194" s="14">
        <f>BD194*VLOOKUP('Données projet'!$B$11,Paramètres!$A$1:$I$89,3,0)*VLOOKUP('Données projet'!$B$11,Paramètres!$A$1:$I$89,5,0)</f>
        <v>-2.5006556825246659E-13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397.24545766894346</v>
      </c>
      <c r="BJ194" s="62">
        <f t="shared" si="146"/>
        <v>431.44557882369696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2.2737367544323206E-13</v>
      </c>
      <c r="BZ194" s="14">
        <f>BY194*VLOOKUP('Données projet'!$B$12,Paramètres!$A$1:$I$89,3,0)*VLOOKUP('Données projet'!$B$12,Paramètres!$A$1:$I$89,5,0)</f>
        <v>1.4897523215040565E-13</v>
      </c>
      <c r="CA194" s="14">
        <f t="shared" si="170"/>
        <v>2.136562777003313E-12</v>
      </c>
      <c r="CB194" s="22">
        <f t="shared" si="171"/>
        <v>3.9806453659427267E-12</v>
      </c>
      <c r="CC194" s="62">
        <f t="shared" si="119"/>
        <v>293.33333333333729</v>
      </c>
      <c r="CD194" s="62">
        <f ca="1">AVERAGE(OFFSET($CC$3,0,0,'Données projet'!$E$12+1,1))-AVERAGE(OFFSET($H$3,0,0,'Données projet'!$E$12+1,1))</f>
        <v>277.27246253233807</v>
      </c>
      <c r="CE194" s="62">
        <f t="shared" si="148"/>
        <v>269.61868559913404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-8.1404323282185943E-13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402.15128814037058</v>
      </c>
      <c r="CZ194" s="62">
        <f t="shared" si="150"/>
        <v>232.85411068442738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-1.0818439477588981E-13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485.18236169209541</v>
      </c>
      <c r="DU194" s="62">
        <f t="shared" si="152"/>
        <v>417.30339652956951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-3.4106051316484809E-13</v>
      </c>
      <c r="EK194" s="18">
        <f>EJ194*VLOOKUP('Données projet'!$B$15,Paramètres!$A$1:$I$89,3,0)*VLOOKUP('Données projet'!$B$15,Paramètres!$A$1:$I$89,5,0)</f>
        <v>-2.7134774427395314E-13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427.78067187784063</v>
      </c>
      <c r="EP194" s="62">
        <f t="shared" si="154"/>
        <v>464.22892523825118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-1.1368683772161603E-13</v>
      </c>
      <c r="FF194" s="18">
        <f>FE194*VLOOKUP('Données projet'!$B$16,Paramètres!$A$1:$I$89,3,0)*VLOOKUP('Données projet'!$B$16,Paramètres!$A$1:$I$89,5,0)</f>
        <v>-9.7543306765146564E-14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448.44001099301806</v>
      </c>
      <c r="FK194" s="62">
        <f t="shared" si="156"/>
        <v>230.82970731138215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-3.4106051316484809E-13</v>
      </c>
      <c r="GA194" s="18">
        <f>FZ194*VLOOKUP('Données projet'!$B$17,Paramètres!$A$1:$I$89,3,0)*VLOOKUP('Données projet'!$B$17,Paramètres!$A$1:$I$89,5,0)</f>
        <v>-2.2878339223098009E-13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408.91016501484626</v>
      </c>
      <c r="GF194" s="62">
        <f t="shared" si="158"/>
        <v>354.22396807666433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-1.1368683772161603E-13</v>
      </c>
      <c r="GV194" s="18">
        <f>GU194*VLOOKUP('Données projet'!$B$18,Paramètres!$A$1:$I$89,3,0)*VLOOKUP('Données projet'!$B$18,Paramètres!$A$1:$I$89,5,0)</f>
        <v>-1.0995790944434703E-13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562.69380557620775</v>
      </c>
      <c r="HA194" s="62">
        <f t="shared" si="160"/>
        <v>294.45557293177131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-1.0286385077051818E-13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529.25712986118265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8.8675733422860506E-14</v>
      </c>
      <c r="AK195" s="14">
        <f t="shared" si="164"/>
        <v>1.3509285393066301E-12</v>
      </c>
      <c r="AL195" s="22">
        <f t="shared" si="165"/>
        <v>2.5073107750038623E-12</v>
      </c>
      <c r="AM195" s="62">
        <f t="shared" si="113"/>
        <v>293.33333333333582</v>
      </c>
      <c r="AN195" s="62">
        <f ca="1">AVERAGE(OFFSET($AM$3,0,0,'Données projet'!$E$10+1,1))-AVERAGE(OFFSET($H$3,0,0,'Données projet'!$E$10+1,1))</f>
        <v>292.57482726862594</v>
      </c>
      <c r="AO195" s="62">
        <f t="shared" si="144"/>
        <v>283.48738729114024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-3.4106051316484809E-13</v>
      </c>
      <c r="BE195" s="14">
        <f>BD195*VLOOKUP('Données projet'!$B$11,Paramètres!$A$1:$I$89,3,0)*VLOOKUP('Données projet'!$B$11,Paramètres!$A$1:$I$89,5,0)</f>
        <v>-2.5006556825246659E-13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397.24545766894346</v>
      </c>
      <c r="BJ195" s="62">
        <f t="shared" si="146"/>
        <v>431.44557882369696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2.2737367544323206E-13</v>
      </c>
      <c r="BZ195" s="14">
        <f>BY195*VLOOKUP('Données projet'!$B$12,Paramètres!$A$1:$I$89,3,0)*VLOOKUP('Données projet'!$B$12,Paramètres!$A$1:$I$89,5,0)</f>
        <v>1.4897523215040565E-13</v>
      </c>
      <c r="CA195" s="14">
        <f t="shared" si="170"/>
        <v>2.136562777003313E-12</v>
      </c>
      <c r="CB195" s="22">
        <f t="shared" si="171"/>
        <v>3.9806453659427267E-12</v>
      </c>
      <c r="CC195" s="62">
        <f t="shared" si="119"/>
        <v>293.33333333333729</v>
      </c>
      <c r="CD195" s="62">
        <f ca="1">AVERAGE(OFFSET($CC$3,0,0,'Données projet'!$E$12+1,1))-AVERAGE(OFFSET($H$3,0,0,'Données projet'!$E$12+1,1))</f>
        <v>277.27246253233807</v>
      </c>
      <c r="CE195" s="62">
        <f t="shared" si="148"/>
        <v>269.61868559913404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-8.1404323282185943E-13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402.15128814037058</v>
      </c>
      <c r="CZ195" s="62">
        <f t="shared" si="150"/>
        <v>232.85411068442738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-1.0818439477588981E-13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485.18236169209541</v>
      </c>
      <c r="DU195" s="62">
        <f t="shared" si="152"/>
        <v>417.30339652956951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-3.4106051316484809E-13</v>
      </c>
      <c r="EK195" s="18">
        <f>EJ195*VLOOKUP('Données projet'!$B$15,Paramètres!$A$1:$I$89,3,0)*VLOOKUP('Données projet'!$B$15,Paramètres!$A$1:$I$89,5,0)</f>
        <v>-2.7134774427395314E-13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427.78067187784063</v>
      </c>
      <c r="EP195" s="62">
        <f t="shared" si="154"/>
        <v>464.22892523825118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-1.1368683772161603E-13</v>
      </c>
      <c r="FF195" s="18">
        <f>FE195*VLOOKUP('Données projet'!$B$16,Paramètres!$A$1:$I$89,3,0)*VLOOKUP('Données projet'!$B$16,Paramètres!$A$1:$I$89,5,0)</f>
        <v>-9.7543306765146564E-14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448.44001099301806</v>
      </c>
      <c r="FK195" s="62">
        <f t="shared" si="156"/>
        <v>230.82970731138215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-3.4106051316484809E-13</v>
      </c>
      <c r="GA195" s="18">
        <f>FZ195*VLOOKUP('Données projet'!$B$17,Paramètres!$A$1:$I$89,3,0)*VLOOKUP('Données projet'!$B$17,Paramètres!$A$1:$I$89,5,0)</f>
        <v>-2.2878339223098009E-13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408.91016501484626</v>
      </c>
      <c r="GF195" s="62">
        <f t="shared" si="158"/>
        <v>354.22396807666433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-1.1368683772161603E-13</v>
      </c>
      <c r="GV195" s="18">
        <f>GU195*VLOOKUP('Données projet'!$B$18,Paramètres!$A$1:$I$89,3,0)*VLOOKUP('Données projet'!$B$18,Paramètres!$A$1:$I$89,5,0)</f>
        <v>-1.0995790944434703E-13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562.69380557620775</v>
      </c>
      <c r="HA195" s="62">
        <f t="shared" si="160"/>
        <v>294.45557293177131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-1.0286385077051818E-13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529.25712986118265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8.8675733422860506E-14</v>
      </c>
      <c r="AK196" s="14">
        <f t="shared" si="164"/>
        <v>1.3509285393066301E-12</v>
      </c>
      <c r="AL196" s="22">
        <f t="shared" si="165"/>
        <v>2.5073107750038623E-12</v>
      </c>
      <c r="AM196" s="62">
        <f t="shared" ref="AM196:AM203" si="193">AL196+(AD196+AE196)*44/12</f>
        <v>293.33333333333582</v>
      </c>
      <c r="AN196" s="62">
        <f ca="1">AVERAGE(OFFSET($AM$3,0,0,'Données projet'!$E$10+1,1))-AVERAGE(OFFSET($H$3,0,0,'Données projet'!$E$10+1,1))</f>
        <v>292.57482726862594</v>
      </c>
      <c r="AO196" s="62">
        <f t="shared" si="144"/>
        <v>283.48738729114024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-3.4106051316484809E-13</v>
      </c>
      <c r="BE196" s="14">
        <f>BD196*VLOOKUP('Données projet'!$B$11,Paramètres!$A$1:$I$89,3,0)*VLOOKUP('Données projet'!$B$11,Paramètres!$A$1:$I$89,5,0)</f>
        <v>-2.5006556825246659E-13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397.24545766894346</v>
      </c>
      <c r="BJ196" s="62">
        <f t="shared" si="146"/>
        <v>431.44557882369696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2.2737367544323206E-13</v>
      </c>
      <c r="BZ196" s="14">
        <f>BY196*VLOOKUP('Données projet'!$B$12,Paramètres!$A$1:$I$89,3,0)*VLOOKUP('Données projet'!$B$12,Paramètres!$A$1:$I$89,5,0)</f>
        <v>1.4897523215040565E-13</v>
      </c>
      <c r="CA196" s="14">
        <f t="shared" si="170"/>
        <v>2.136562777003313E-12</v>
      </c>
      <c r="CB196" s="22">
        <f t="shared" si="171"/>
        <v>3.9806453659427267E-12</v>
      </c>
      <c r="CC196" s="62">
        <f t="shared" ref="CC196:CC203" si="195">CB196+(BT196+BU196)*44/12</f>
        <v>293.33333333333729</v>
      </c>
      <c r="CD196" s="62">
        <f ca="1">AVERAGE(OFFSET($CC$3,0,0,'Données projet'!$E$12+1,1))-AVERAGE(OFFSET($H$3,0,0,'Données projet'!$E$12+1,1))</f>
        <v>277.27246253233807</v>
      </c>
      <c r="CE196" s="62">
        <f t="shared" si="148"/>
        <v>269.61868559913404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-8.1404323282185943E-13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402.15128814037058</v>
      </c>
      <c r="CZ196" s="62">
        <f t="shared" si="150"/>
        <v>232.85411068442738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-1.0818439477588981E-13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485.18236169209541</v>
      </c>
      <c r="DU196" s="62">
        <f t="shared" si="152"/>
        <v>417.30339652956951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-3.4106051316484809E-13</v>
      </c>
      <c r="EK196" s="18">
        <f>EJ196*VLOOKUP('Données projet'!$B$15,Paramètres!$A$1:$I$89,3,0)*VLOOKUP('Données projet'!$B$15,Paramètres!$A$1:$I$89,5,0)</f>
        <v>-2.7134774427395314E-13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427.78067187784063</v>
      </c>
      <c r="EP196" s="62">
        <f t="shared" si="154"/>
        <v>464.22892523825118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-1.1368683772161603E-13</v>
      </c>
      <c r="FF196" s="18">
        <f>FE196*VLOOKUP('Données projet'!$B$16,Paramètres!$A$1:$I$89,3,0)*VLOOKUP('Données projet'!$B$16,Paramètres!$A$1:$I$89,5,0)</f>
        <v>-9.7543306765146564E-14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448.44001099301806</v>
      </c>
      <c r="FK196" s="62">
        <f t="shared" si="156"/>
        <v>230.82970731138215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-3.4106051316484809E-13</v>
      </c>
      <c r="GA196" s="18">
        <f>FZ196*VLOOKUP('Données projet'!$B$17,Paramètres!$A$1:$I$89,3,0)*VLOOKUP('Données projet'!$B$17,Paramètres!$A$1:$I$89,5,0)</f>
        <v>-2.2878339223098009E-13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408.91016501484626</v>
      </c>
      <c r="GF196" s="62">
        <f t="shared" si="158"/>
        <v>354.22396807666433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-1.1368683772161603E-13</v>
      </c>
      <c r="GV196" s="18">
        <f>GU196*VLOOKUP('Données projet'!$B$18,Paramètres!$A$1:$I$89,3,0)*VLOOKUP('Données projet'!$B$18,Paramètres!$A$1:$I$89,5,0)</f>
        <v>-1.0995790944434703E-13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562.69380557620775</v>
      </c>
      <c r="HA196" s="62">
        <f t="shared" si="160"/>
        <v>294.45557293177131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-1.0286385077051818E-13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529.25712986118265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8.8675733422860506E-14</v>
      </c>
      <c r="AK197" s="14">
        <f t="shared" si="164"/>
        <v>1.3509285393066301E-12</v>
      </c>
      <c r="AL197" s="22">
        <f t="shared" si="165"/>
        <v>2.5073107750038623E-12</v>
      </c>
      <c r="AM197" s="62">
        <f t="shared" si="193"/>
        <v>293.33333333333582</v>
      </c>
      <c r="AN197" s="62">
        <f ca="1">AVERAGE(OFFSET($AM$3,0,0,'Données projet'!$E$10+1,1))-AVERAGE(OFFSET($H$3,0,0,'Données projet'!$E$10+1,1))</f>
        <v>292.57482726862594</v>
      </c>
      <c r="AO197" s="62">
        <f t="shared" ref="AO197:AO203" si="205">$AO$3</f>
        <v>283.48738729114024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-3.4106051316484809E-13</v>
      </c>
      <c r="BE197" s="14">
        <f>BD197*VLOOKUP('Données projet'!$B$11,Paramètres!$A$1:$I$89,3,0)*VLOOKUP('Données projet'!$B$11,Paramètres!$A$1:$I$89,5,0)</f>
        <v>-2.5006556825246659E-13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397.24545766894346</v>
      </c>
      <c r="BJ197" s="62">
        <f t="shared" ref="BJ197:BJ203" si="206">$BJ$3</f>
        <v>431.44557882369696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2.2737367544323206E-13</v>
      </c>
      <c r="BZ197" s="14">
        <f>BY197*VLOOKUP('Données projet'!$B$12,Paramètres!$A$1:$I$89,3,0)*VLOOKUP('Données projet'!$B$12,Paramètres!$A$1:$I$89,5,0)</f>
        <v>1.4897523215040565E-13</v>
      </c>
      <c r="CA197" s="14">
        <f t="shared" si="170"/>
        <v>2.136562777003313E-12</v>
      </c>
      <c r="CB197" s="22">
        <f t="shared" si="171"/>
        <v>3.9806453659427267E-12</v>
      </c>
      <c r="CC197" s="62">
        <f t="shared" si="195"/>
        <v>293.33333333333729</v>
      </c>
      <c r="CD197" s="62">
        <f ca="1">AVERAGE(OFFSET($CC$3,0,0,'Données projet'!$E$12+1,1))-AVERAGE(OFFSET($H$3,0,0,'Données projet'!$E$12+1,1))</f>
        <v>277.27246253233807</v>
      </c>
      <c r="CE197" s="62">
        <f t="shared" ref="CE197:CE203" si="207">$CE$3</f>
        <v>269.61868559913404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-8.1404323282185943E-13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402.15128814037058</v>
      </c>
      <c r="CZ197" s="62">
        <f t="shared" ref="CZ197:CZ203" si="208">$CZ$3</f>
        <v>232.85411068442738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-1.0818439477588981E-13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485.18236169209541</v>
      </c>
      <c r="DU197" s="62">
        <f t="shared" ref="DU197:DU203" si="209">$DU$3</f>
        <v>417.30339652956951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-3.4106051316484809E-13</v>
      </c>
      <c r="EK197" s="18">
        <f>EJ197*VLOOKUP('Données projet'!$B$15,Paramètres!$A$1:$I$89,3,0)*VLOOKUP('Données projet'!$B$15,Paramètres!$A$1:$I$89,5,0)</f>
        <v>-2.7134774427395314E-13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427.78067187784063</v>
      </c>
      <c r="EP197" s="62">
        <f t="shared" ref="EP197:EP203" si="210">$EP$3</f>
        <v>464.22892523825118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-1.1368683772161603E-13</v>
      </c>
      <c r="FF197" s="18">
        <f>FE197*VLOOKUP('Données projet'!$B$16,Paramètres!$A$1:$I$89,3,0)*VLOOKUP('Données projet'!$B$16,Paramètres!$A$1:$I$89,5,0)</f>
        <v>-9.7543306765146564E-14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448.44001099301806</v>
      </c>
      <c r="FK197" s="62">
        <f t="shared" ref="FK197:FK203" si="211">$FK$3</f>
        <v>230.82970731138215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-3.4106051316484809E-13</v>
      </c>
      <c r="GA197" s="18">
        <f>FZ197*VLOOKUP('Données projet'!$B$17,Paramètres!$A$1:$I$89,3,0)*VLOOKUP('Données projet'!$B$17,Paramètres!$A$1:$I$89,5,0)</f>
        <v>-2.2878339223098009E-13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408.91016501484626</v>
      </c>
      <c r="GF197" s="62">
        <f t="shared" ref="GF197:GF203" si="212">$GF$3</f>
        <v>354.22396807666433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-1.1368683772161603E-13</v>
      </c>
      <c r="GV197" s="18">
        <f>GU197*VLOOKUP('Données projet'!$B$18,Paramètres!$A$1:$I$89,3,0)*VLOOKUP('Données projet'!$B$18,Paramètres!$A$1:$I$89,5,0)</f>
        <v>-1.0995790944434703E-13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562.69380557620775</v>
      </c>
      <c r="HA197" s="62">
        <f t="shared" ref="HA197:HA203" si="213">$HA$3</f>
        <v>294.45557293177131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-1.0286385077051818E-13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529.25712986118265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8.8675733422860506E-14</v>
      </c>
      <c r="AK198" s="14">
        <f t="shared" si="164"/>
        <v>1.3509285393066301E-12</v>
      </c>
      <c r="AL198" s="22">
        <f t="shared" si="165"/>
        <v>2.5073107750038623E-12</v>
      </c>
      <c r="AM198" s="62">
        <f t="shared" si="193"/>
        <v>293.33333333333582</v>
      </c>
      <c r="AN198" s="62">
        <f ca="1">AVERAGE(OFFSET($AM$3,0,0,'Données projet'!$E$10+1,1))-AVERAGE(OFFSET($H$3,0,0,'Données projet'!$E$10+1,1))</f>
        <v>292.57482726862594</v>
      </c>
      <c r="AO198" s="62">
        <f t="shared" si="205"/>
        <v>283.48738729114024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-3.4106051316484809E-13</v>
      </c>
      <c r="BE198" s="14">
        <f>BD198*VLOOKUP('Données projet'!$B$11,Paramètres!$A$1:$I$89,3,0)*VLOOKUP('Données projet'!$B$11,Paramètres!$A$1:$I$89,5,0)</f>
        <v>-2.5006556825246659E-13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397.24545766894346</v>
      </c>
      <c r="BJ198" s="62">
        <f t="shared" si="206"/>
        <v>431.44557882369696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2.2737367544323206E-13</v>
      </c>
      <c r="BZ198" s="14">
        <f>BY198*VLOOKUP('Données projet'!$B$12,Paramètres!$A$1:$I$89,3,0)*VLOOKUP('Données projet'!$B$12,Paramètres!$A$1:$I$89,5,0)</f>
        <v>1.4897523215040565E-13</v>
      </c>
      <c r="CA198" s="14">
        <f t="shared" si="170"/>
        <v>2.136562777003313E-12</v>
      </c>
      <c r="CB198" s="22">
        <f t="shared" si="171"/>
        <v>3.9806453659427267E-12</v>
      </c>
      <c r="CC198" s="62">
        <f t="shared" si="195"/>
        <v>293.33333333333729</v>
      </c>
      <c r="CD198" s="62">
        <f ca="1">AVERAGE(OFFSET($CC$3,0,0,'Données projet'!$E$12+1,1))-AVERAGE(OFFSET($H$3,0,0,'Données projet'!$E$12+1,1))</f>
        <v>277.27246253233807</v>
      </c>
      <c r="CE198" s="62">
        <f t="shared" si="207"/>
        <v>269.61868559913404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-8.1404323282185943E-13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402.15128814037058</v>
      </c>
      <c r="CZ198" s="62">
        <f t="shared" si="208"/>
        <v>232.85411068442738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-1.0818439477588981E-13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485.18236169209541</v>
      </c>
      <c r="DU198" s="62">
        <f t="shared" si="209"/>
        <v>417.30339652956951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-3.4106051316484809E-13</v>
      </c>
      <c r="EK198" s="18">
        <f>EJ198*VLOOKUP('Données projet'!$B$15,Paramètres!$A$1:$I$89,3,0)*VLOOKUP('Données projet'!$B$15,Paramètres!$A$1:$I$89,5,0)</f>
        <v>-2.7134774427395314E-13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427.78067187784063</v>
      </c>
      <c r="EP198" s="62">
        <f t="shared" si="210"/>
        <v>464.22892523825118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-1.1368683772161603E-13</v>
      </c>
      <c r="FF198" s="18">
        <f>FE198*VLOOKUP('Données projet'!$B$16,Paramètres!$A$1:$I$89,3,0)*VLOOKUP('Données projet'!$B$16,Paramètres!$A$1:$I$89,5,0)</f>
        <v>-9.7543306765146564E-14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448.44001099301806</v>
      </c>
      <c r="FK198" s="62">
        <f t="shared" si="211"/>
        <v>230.82970731138215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-3.4106051316484809E-13</v>
      </c>
      <c r="GA198" s="18">
        <f>FZ198*VLOOKUP('Données projet'!$B$17,Paramètres!$A$1:$I$89,3,0)*VLOOKUP('Données projet'!$B$17,Paramètres!$A$1:$I$89,5,0)</f>
        <v>-2.2878339223098009E-13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408.91016501484626</v>
      </c>
      <c r="GF198" s="62">
        <f t="shared" si="212"/>
        <v>354.22396807666433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-1.1368683772161603E-13</v>
      </c>
      <c r="GV198" s="18">
        <f>GU198*VLOOKUP('Données projet'!$B$18,Paramètres!$A$1:$I$89,3,0)*VLOOKUP('Données projet'!$B$18,Paramètres!$A$1:$I$89,5,0)</f>
        <v>-1.0995790944434703E-13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562.69380557620775</v>
      </c>
      <c r="HA198" s="62">
        <f t="shared" si="213"/>
        <v>294.45557293177131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-1.0286385077051818E-13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529.25712986118265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8.8675733422860506E-14</v>
      </c>
      <c r="AK199" s="14">
        <f t="shared" si="164"/>
        <v>1.3509285393066301E-12</v>
      </c>
      <c r="AL199" s="22">
        <f t="shared" si="165"/>
        <v>2.5073107750038623E-12</v>
      </c>
      <c r="AM199" s="62">
        <f t="shared" si="193"/>
        <v>293.33333333333582</v>
      </c>
      <c r="AN199" s="62">
        <f ca="1">AVERAGE(OFFSET($AM$3,0,0,'Données projet'!$E$10+1,1))-AVERAGE(OFFSET($H$3,0,0,'Données projet'!$E$10+1,1))</f>
        <v>292.57482726862594</v>
      </c>
      <c r="AO199" s="62">
        <f t="shared" si="205"/>
        <v>283.48738729114024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-3.4106051316484809E-13</v>
      </c>
      <c r="BE199" s="14">
        <f>BD199*VLOOKUP('Données projet'!$B$11,Paramètres!$A$1:$I$89,3,0)*VLOOKUP('Données projet'!$B$11,Paramètres!$A$1:$I$89,5,0)</f>
        <v>-2.5006556825246659E-13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397.24545766894346</v>
      </c>
      <c r="BJ199" s="62">
        <f t="shared" si="206"/>
        <v>431.44557882369696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2.2737367544323206E-13</v>
      </c>
      <c r="BZ199" s="14">
        <f>BY199*VLOOKUP('Données projet'!$B$12,Paramètres!$A$1:$I$89,3,0)*VLOOKUP('Données projet'!$B$12,Paramètres!$A$1:$I$89,5,0)</f>
        <v>1.4897523215040565E-13</v>
      </c>
      <c r="CA199" s="14">
        <f t="shared" si="170"/>
        <v>2.136562777003313E-12</v>
      </c>
      <c r="CB199" s="22">
        <f t="shared" si="171"/>
        <v>3.9806453659427267E-12</v>
      </c>
      <c r="CC199" s="62">
        <f t="shared" si="195"/>
        <v>293.33333333333729</v>
      </c>
      <c r="CD199" s="62">
        <f ca="1">AVERAGE(OFFSET($CC$3,0,0,'Données projet'!$E$12+1,1))-AVERAGE(OFFSET($H$3,0,0,'Données projet'!$E$12+1,1))</f>
        <v>277.27246253233807</v>
      </c>
      <c r="CE199" s="62">
        <f t="shared" si="207"/>
        <v>269.61868559913404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-8.1404323282185943E-13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402.15128814037058</v>
      </c>
      <c r="CZ199" s="62">
        <f t="shared" si="208"/>
        <v>232.85411068442738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-1.0818439477588981E-13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485.18236169209541</v>
      </c>
      <c r="DU199" s="62">
        <f t="shared" si="209"/>
        <v>417.30339652956951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-3.4106051316484809E-13</v>
      </c>
      <c r="EK199" s="18">
        <f>EJ199*VLOOKUP('Données projet'!$B$15,Paramètres!$A$1:$I$89,3,0)*VLOOKUP('Données projet'!$B$15,Paramètres!$A$1:$I$89,5,0)</f>
        <v>-2.7134774427395314E-13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427.78067187784063</v>
      </c>
      <c r="EP199" s="62">
        <f t="shared" si="210"/>
        <v>464.22892523825118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-1.1368683772161603E-13</v>
      </c>
      <c r="FF199" s="18">
        <f>FE199*VLOOKUP('Données projet'!$B$16,Paramètres!$A$1:$I$89,3,0)*VLOOKUP('Données projet'!$B$16,Paramètres!$A$1:$I$89,5,0)</f>
        <v>-9.7543306765146564E-14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448.44001099301806</v>
      </c>
      <c r="FK199" s="62">
        <f t="shared" si="211"/>
        <v>230.82970731138215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-3.4106051316484809E-13</v>
      </c>
      <c r="GA199" s="18">
        <f>FZ199*VLOOKUP('Données projet'!$B$17,Paramètres!$A$1:$I$89,3,0)*VLOOKUP('Données projet'!$B$17,Paramètres!$A$1:$I$89,5,0)</f>
        <v>-2.2878339223098009E-13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408.91016501484626</v>
      </c>
      <c r="GF199" s="62">
        <f t="shared" si="212"/>
        <v>354.22396807666433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-1.1368683772161603E-13</v>
      </c>
      <c r="GV199" s="18">
        <f>GU199*VLOOKUP('Données projet'!$B$18,Paramètres!$A$1:$I$89,3,0)*VLOOKUP('Données projet'!$B$18,Paramètres!$A$1:$I$89,5,0)</f>
        <v>-1.0995790944434703E-13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562.69380557620775</v>
      </c>
      <c r="HA199" s="62">
        <f t="shared" si="213"/>
        <v>294.45557293177131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-1.0286385077051818E-13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529.25712986118265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8.8675733422860506E-14</v>
      </c>
      <c r="AK200" s="14">
        <f t="shared" si="164"/>
        <v>1.3509285393066301E-12</v>
      </c>
      <c r="AL200" s="22">
        <f t="shared" si="165"/>
        <v>2.5073107750038623E-12</v>
      </c>
      <c r="AM200" s="62">
        <f t="shared" si="193"/>
        <v>293.33333333333582</v>
      </c>
      <c r="AN200" s="62">
        <f ca="1">AVERAGE(OFFSET($AM$3,0,0,'Données projet'!$E$10+1,1))-AVERAGE(OFFSET($H$3,0,0,'Données projet'!$E$10+1,1))</f>
        <v>292.57482726862594</v>
      </c>
      <c r="AO200" s="62">
        <f t="shared" si="205"/>
        <v>283.48738729114024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-3.4106051316484809E-13</v>
      </c>
      <c r="BE200" s="14">
        <f>BD200*VLOOKUP('Données projet'!$B$11,Paramètres!$A$1:$I$89,3,0)*VLOOKUP('Données projet'!$B$11,Paramètres!$A$1:$I$89,5,0)</f>
        <v>-2.5006556825246659E-13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397.24545766894346</v>
      </c>
      <c r="BJ200" s="62">
        <f t="shared" si="206"/>
        <v>431.44557882369696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2.2737367544323206E-13</v>
      </c>
      <c r="BZ200" s="14">
        <f>BY200*VLOOKUP('Données projet'!$B$12,Paramètres!$A$1:$I$89,3,0)*VLOOKUP('Données projet'!$B$12,Paramètres!$A$1:$I$89,5,0)</f>
        <v>1.4897523215040565E-13</v>
      </c>
      <c r="CA200" s="14">
        <f t="shared" si="170"/>
        <v>2.136562777003313E-12</v>
      </c>
      <c r="CB200" s="22">
        <f t="shared" si="171"/>
        <v>3.9806453659427267E-12</v>
      </c>
      <c r="CC200" s="62">
        <f t="shared" si="195"/>
        <v>293.33333333333729</v>
      </c>
      <c r="CD200" s="62">
        <f ca="1">AVERAGE(OFFSET($CC$3,0,0,'Données projet'!$E$12+1,1))-AVERAGE(OFFSET($H$3,0,0,'Données projet'!$E$12+1,1))</f>
        <v>277.27246253233807</v>
      </c>
      <c r="CE200" s="62">
        <f t="shared" si="207"/>
        <v>269.61868559913404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-8.1404323282185943E-13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402.15128814037058</v>
      </c>
      <c r="CZ200" s="62">
        <f t="shared" si="208"/>
        <v>232.85411068442738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-1.0818439477588981E-13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485.18236169209541</v>
      </c>
      <c r="DU200" s="62">
        <f t="shared" si="209"/>
        <v>417.30339652956951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-3.4106051316484809E-13</v>
      </c>
      <c r="EK200" s="18">
        <f>EJ200*VLOOKUP('Données projet'!$B$15,Paramètres!$A$1:$I$89,3,0)*VLOOKUP('Données projet'!$B$15,Paramètres!$A$1:$I$89,5,0)</f>
        <v>-2.7134774427395314E-13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427.78067187784063</v>
      </c>
      <c r="EP200" s="62">
        <f t="shared" si="210"/>
        <v>464.22892523825118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-1.1368683772161603E-13</v>
      </c>
      <c r="FF200" s="18">
        <f>FE200*VLOOKUP('Données projet'!$B$16,Paramètres!$A$1:$I$89,3,0)*VLOOKUP('Données projet'!$B$16,Paramètres!$A$1:$I$89,5,0)</f>
        <v>-9.7543306765146564E-14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448.44001099301806</v>
      </c>
      <c r="FK200" s="62">
        <f t="shared" si="211"/>
        <v>230.82970731138215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-3.4106051316484809E-13</v>
      </c>
      <c r="GA200" s="18">
        <f>FZ200*VLOOKUP('Données projet'!$B$17,Paramètres!$A$1:$I$89,3,0)*VLOOKUP('Données projet'!$B$17,Paramètres!$A$1:$I$89,5,0)</f>
        <v>-2.2878339223098009E-13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408.91016501484626</v>
      </c>
      <c r="GF200" s="62">
        <f t="shared" si="212"/>
        <v>354.22396807666433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-1.1368683772161603E-13</v>
      </c>
      <c r="GV200" s="18">
        <f>GU200*VLOOKUP('Données projet'!$B$18,Paramètres!$A$1:$I$89,3,0)*VLOOKUP('Données projet'!$B$18,Paramètres!$A$1:$I$89,5,0)</f>
        <v>-1.0995790944434703E-13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562.69380557620775</v>
      </c>
      <c r="HA200" s="62">
        <f t="shared" si="213"/>
        <v>294.45557293177131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-1.0286385077051818E-13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529.25712986118265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8.8675733422860506E-14</v>
      </c>
      <c r="AK201" s="14">
        <f t="shared" si="164"/>
        <v>1.3509285393066301E-12</v>
      </c>
      <c r="AL201" s="22">
        <f t="shared" si="165"/>
        <v>2.5073107750038623E-12</v>
      </c>
      <c r="AM201" s="62">
        <f t="shared" si="193"/>
        <v>293.33333333333582</v>
      </c>
      <c r="AN201" s="62">
        <f ca="1">AVERAGE(OFFSET($AM$3,0,0,'Données projet'!$E$10+1,1))-AVERAGE(OFFSET($H$3,0,0,'Données projet'!$E$10+1,1))</f>
        <v>292.57482726862594</v>
      </c>
      <c r="AO201" s="62">
        <f t="shared" si="205"/>
        <v>283.48738729114024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-3.4106051316484809E-13</v>
      </c>
      <c r="BE201" s="14">
        <f>BD201*VLOOKUP('Données projet'!$B$11,Paramètres!$A$1:$I$89,3,0)*VLOOKUP('Données projet'!$B$11,Paramètres!$A$1:$I$89,5,0)</f>
        <v>-2.5006556825246659E-13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397.24545766894346</v>
      </c>
      <c r="BJ201" s="62">
        <f t="shared" si="206"/>
        <v>431.44557882369696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2.2737367544323206E-13</v>
      </c>
      <c r="BZ201" s="14">
        <f>BY201*VLOOKUP('Données projet'!$B$12,Paramètres!$A$1:$I$89,3,0)*VLOOKUP('Données projet'!$B$12,Paramètres!$A$1:$I$89,5,0)</f>
        <v>1.4897523215040565E-13</v>
      </c>
      <c r="CA201" s="14">
        <f t="shared" si="170"/>
        <v>2.136562777003313E-12</v>
      </c>
      <c r="CB201" s="22">
        <f t="shared" si="171"/>
        <v>3.9806453659427267E-12</v>
      </c>
      <c r="CC201" s="62">
        <f t="shared" si="195"/>
        <v>293.33333333333729</v>
      </c>
      <c r="CD201" s="62">
        <f ca="1">AVERAGE(OFFSET($CC$3,0,0,'Données projet'!$E$12+1,1))-AVERAGE(OFFSET($H$3,0,0,'Données projet'!$E$12+1,1))</f>
        <v>277.27246253233807</v>
      </c>
      <c r="CE201" s="62">
        <f t="shared" si="207"/>
        <v>269.61868559913404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-8.1404323282185943E-13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402.15128814037058</v>
      </c>
      <c r="CZ201" s="62">
        <f t="shared" si="208"/>
        <v>232.85411068442738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-1.0818439477588981E-13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485.18236169209541</v>
      </c>
      <c r="DU201" s="62">
        <f t="shared" si="209"/>
        <v>417.30339652956951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-3.4106051316484809E-13</v>
      </c>
      <c r="EK201" s="18">
        <f>EJ201*VLOOKUP('Données projet'!$B$15,Paramètres!$A$1:$I$89,3,0)*VLOOKUP('Données projet'!$B$15,Paramètres!$A$1:$I$89,5,0)</f>
        <v>-2.7134774427395314E-13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427.78067187784063</v>
      </c>
      <c r="EP201" s="62">
        <f t="shared" si="210"/>
        <v>464.22892523825118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-1.1368683772161603E-13</v>
      </c>
      <c r="FF201" s="18">
        <f>FE201*VLOOKUP('Données projet'!$B$16,Paramètres!$A$1:$I$89,3,0)*VLOOKUP('Données projet'!$B$16,Paramètres!$A$1:$I$89,5,0)</f>
        <v>-9.7543306765146564E-14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448.44001099301806</v>
      </c>
      <c r="FK201" s="62">
        <f t="shared" si="211"/>
        <v>230.82970731138215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-3.4106051316484809E-13</v>
      </c>
      <c r="GA201" s="18">
        <f>FZ201*VLOOKUP('Données projet'!$B$17,Paramètres!$A$1:$I$89,3,0)*VLOOKUP('Données projet'!$B$17,Paramètres!$A$1:$I$89,5,0)</f>
        <v>-2.2878339223098009E-13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408.91016501484626</v>
      </c>
      <c r="GF201" s="62">
        <f t="shared" si="212"/>
        <v>354.22396807666433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-1.1368683772161603E-13</v>
      </c>
      <c r="GV201" s="18">
        <f>GU201*VLOOKUP('Données projet'!$B$18,Paramètres!$A$1:$I$89,3,0)*VLOOKUP('Données projet'!$B$18,Paramètres!$A$1:$I$89,5,0)</f>
        <v>-1.0995790944434703E-13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562.69380557620775</v>
      </c>
      <c r="HA201" s="62">
        <f t="shared" si="213"/>
        <v>294.45557293177131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-1.0286385077051818E-13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529.25712986118265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8.8675733422860506E-14</v>
      </c>
      <c r="AK202" s="14">
        <f t="shared" si="164"/>
        <v>1.3509285393066301E-12</v>
      </c>
      <c r="AL202" s="22">
        <f t="shared" si="165"/>
        <v>2.5073107750038623E-12</v>
      </c>
      <c r="AM202" s="62">
        <f t="shared" si="193"/>
        <v>293.33333333333582</v>
      </c>
      <c r="AN202" s="62">
        <f ca="1">AVERAGE(OFFSET($AM$3,0,0,'Données projet'!$E$10+1,1))-AVERAGE(OFFSET($H$3,0,0,'Données projet'!$E$10+1,1))</f>
        <v>292.57482726862594</v>
      </c>
      <c r="AO202" s="62">
        <f t="shared" si="205"/>
        <v>283.48738729114024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-3.4106051316484809E-13</v>
      </c>
      <c r="BE202" s="14">
        <f>BD202*VLOOKUP('Données projet'!$B$11,Paramètres!$A$1:$I$89,3,0)*VLOOKUP('Données projet'!$B$11,Paramètres!$A$1:$I$89,5,0)</f>
        <v>-2.5006556825246659E-13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397.24545766894346</v>
      </c>
      <c r="BJ202" s="62">
        <f t="shared" si="206"/>
        <v>431.44557882369696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2.2737367544323206E-13</v>
      </c>
      <c r="BZ202" s="14">
        <f>BY202*VLOOKUP('Données projet'!$B$12,Paramètres!$A$1:$I$89,3,0)*VLOOKUP('Données projet'!$B$12,Paramètres!$A$1:$I$89,5,0)</f>
        <v>1.4897523215040565E-13</v>
      </c>
      <c r="CA202" s="14">
        <f t="shared" si="170"/>
        <v>2.136562777003313E-12</v>
      </c>
      <c r="CB202" s="22">
        <f t="shared" si="171"/>
        <v>3.9806453659427267E-12</v>
      </c>
      <c r="CC202" s="62">
        <f t="shared" si="195"/>
        <v>293.33333333333729</v>
      </c>
      <c r="CD202" s="62">
        <f ca="1">AVERAGE(OFFSET($CC$3,0,0,'Données projet'!$E$12+1,1))-AVERAGE(OFFSET($H$3,0,0,'Données projet'!$E$12+1,1))</f>
        <v>277.27246253233807</v>
      </c>
      <c r="CE202" s="62">
        <f t="shared" si="207"/>
        <v>269.61868559913404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-8.1404323282185943E-13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402.15128814037058</v>
      </c>
      <c r="CZ202" s="62">
        <f t="shared" si="208"/>
        <v>232.85411068442738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-1.0818439477588981E-13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485.18236169209541</v>
      </c>
      <c r="DU202" s="62">
        <f t="shared" si="209"/>
        <v>417.30339652956951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-3.4106051316484809E-13</v>
      </c>
      <c r="EK202" s="18">
        <f>EJ202*VLOOKUP('Données projet'!$B$15,Paramètres!$A$1:$I$89,3,0)*VLOOKUP('Données projet'!$B$15,Paramètres!$A$1:$I$89,5,0)</f>
        <v>-2.7134774427395314E-13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427.78067187784063</v>
      </c>
      <c r="EP202" s="62">
        <f t="shared" si="210"/>
        <v>464.22892523825118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-1.1368683772161603E-13</v>
      </c>
      <c r="FF202" s="18">
        <f>FE202*VLOOKUP('Données projet'!$B$16,Paramètres!$A$1:$I$89,3,0)*VLOOKUP('Données projet'!$B$16,Paramètres!$A$1:$I$89,5,0)</f>
        <v>-9.7543306765146564E-14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448.44001099301806</v>
      </c>
      <c r="FK202" s="62">
        <f t="shared" si="211"/>
        <v>230.82970731138215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-3.4106051316484809E-13</v>
      </c>
      <c r="GA202" s="18">
        <f>FZ202*VLOOKUP('Données projet'!$B$17,Paramètres!$A$1:$I$89,3,0)*VLOOKUP('Données projet'!$B$17,Paramètres!$A$1:$I$89,5,0)</f>
        <v>-2.2878339223098009E-13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408.91016501484626</v>
      </c>
      <c r="GF202" s="62">
        <f t="shared" si="212"/>
        <v>354.22396807666433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-1.1368683772161603E-13</v>
      </c>
      <c r="GV202" s="18">
        <f>GU202*VLOOKUP('Données projet'!$B$18,Paramètres!$A$1:$I$89,3,0)*VLOOKUP('Données projet'!$B$18,Paramètres!$A$1:$I$89,5,0)</f>
        <v>-1.0995790944434703E-13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562.69380557620775</v>
      </c>
      <c r="HA202" s="62">
        <f t="shared" si="213"/>
        <v>294.45557293177131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-1.0286385077051818E-13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529.25712986118265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8.8675733422860506E-14</v>
      </c>
      <c r="AK203" s="14">
        <f t="shared" si="164"/>
        <v>1.3509285393066301E-12</v>
      </c>
      <c r="AL203" s="22">
        <f t="shared" si="165"/>
        <v>2.5073107750038623E-12</v>
      </c>
      <c r="AM203" s="62">
        <f t="shared" si="193"/>
        <v>293.33333333333582</v>
      </c>
      <c r="AN203" s="62">
        <f ca="1">AVERAGE(OFFSET($AM$3,0,0,'Données projet'!$E$10+1,1))-AVERAGE(OFFSET($H$3,0,0,'Données projet'!$E$10+1,1))</f>
        <v>292.57482726862594</v>
      </c>
      <c r="AO203" s="62">
        <f t="shared" si="205"/>
        <v>283.48738729114024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-3.4106051316484809E-13</v>
      </c>
      <c r="BE203" s="14">
        <f>BD203*VLOOKUP('Données projet'!$B$11,Paramètres!$A$1:$I$89,3,0)*VLOOKUP('Données projet'!$B$11,Paramètres!$A$1:$I$89,5,0)</f>
        <v>-2.5006556825246659E-13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397.24545766894346</v>
      </c>
      <c r="BJ203" s="62">
        <f t="shared" si="206"/>
        <v>431.44557882369696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2.2737367544323206E-13</v>
      </c>
      <c r="BZ203" s="14">
        <f>BY203*VLOOKUP('Données projet'!$B$12,Paramètres!$A$1:$I$89,3,0)*VLOOKUP('Données projet'!$B$12,Paramètres!$A$1:$I$89,5,0)</f>
        <v>1.4897523215040565E-13</v>
      </c>
      <c r="CA203" s="14">
        <f t="shared" si="170"/>
        <v>2.136562777003313E-12</v>
      </c>
      <c r="CB203" s="22">
        <f t="shared" si="171"/>
        <v>3.9806453659427267E-12</v>
      </c>
      <c r="CC203" s="62">
        <f t="shared" si="195"/>
        <v>293.33333333333729</v>
      </c>
      <c r="CD203" s="62">
        <f ca="1">AVERAGE(OFFSET($CC$3,0,0,'Données projet'!$E$12+1,1))-AVERAGE(OFFSET($H$3,0,0,'Données projet'!$E$12+1,1))</f>
        <v>277.27246253233807</v>
      </c>
      <c r="CE203" s="62">
        <f t="shared" si="207"/>
        <v>269.61868559913404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-8.1404323282185943E-13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402.15128814037058</v>
      </c>
      <c r="CZ203" s="62">
        <f t="shared" si="208"/>
        <v>232.85411068442738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-1.0818439477588981E-13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485.18236169209541</v>
      </c>
      <c r="DU203" s="62">
        <f t="shared" si="209"/>
        <v>417.30339652956951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-3.4106051316484809E-13</v>
      </c>
      <c r="EK203" s="18">
        <f>EJ203*VLOOKUP('Données projet'!$B$15,Paramètres!$A$1:$I$89,3,0)*VLOOKUP('Données projet'!$B$15,Paramètres!$A$1:$I$89,5,0)</f>
        <v>-2.7134774427395314E-13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427.78067187784063</v>
      </c>
      <c r="EP203" s="62">
        <f t="shared" si="210"/>
        <v>464.22892523825118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-1.1368683772161603E-13</v>
      </c>
      <c r="FF203" s="18">
        <f>FE203*VLOOKUP('Données projet'!$B$16,Paramètres!$A$1:$I$89,3,0)*VLOOKUP('Données projet'!$B$16,Paramètres!$A$1:$I$89,5,0)</f>
        <v>-9.7543306765146564E-14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448.44001099301806</v>
      </c>
      <c r="FK203" s="62">
        <f t="shared" si="211"/>
        <v>230.82970731138215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-3.4106051316484809E-13</v>
      </c>
      <c r="GA203" s="18">
        <f>FZ203*VLOOKUP('Données projet'!$B$17,Paramètres!$A$1:$I$89,3,0)*VLOOKUP('Données projet'!$B$17,Paramètres!$A$1:$I$89,5,0)</f>
        <v>-2.2878339223098009E-13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408.91016501484626</v>
      </c>
      <c r="GF203" s="62">
        <f t="shared" si="212"/>
        <v>354.22396807666433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-1.1368683772161603E-13</v>
      </c>
      <c r="GV203" s="18">
        <f>GU203*VLOOKUP('Données projet'!$B$18,Paramètres!$A$1:$I$89,3,0)*VLOOKUP('Données projet'!$B$18,Paramètres!$A$1:$I$89,5,0)</f>
        <v>-1.0995790944434703E-13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562.69380557620775</v>
      </c>
      <c r="HA203" s="62">
        <f t="shared" si="213"/>
        <v>294.45557293177131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1.2788040393997409</v>
      </c>
      <c r="BA205" s="88">
        <f>EXP(LN('Données projet'!B88)/'Données projet'!A88)</f>
        <v>1.3423796509621049</v>
      </c>
      <c r="BV205" s="88">
        <f>EXP(LN('Données projet'!B114)/'Données projet'!A114)</f>
        <v>1.2709816152101407</v>
      </c>
      <c r="CQ205" s="88">
        <f>EXP(LN('Données projet'!B140)/'Données projet'!A140)</f>
        <v>1.2054868146447177</v>
      </c>
      <c r="DL205" s="88">
        <f>EXP(LN('Données projet'!B166)/'Données projet'!A166)</f>
        <v>1.4253677099879467</v>
      </c>
      <c r="EG205" s="88">
        <f>EXP(LN('Données projet'!B192)/'Données projet'!A192)</f>
        <v>1.3423796509621049</v>
      </c>
      <c r="FB205" s="88">
        <f>EXP(LN('Données projet'!B218)/'Données projet'!A218)</f>
        <v>1.1745459910013509</v>
      </c>
      <c r="FW205" s="88">
        <f>EXP(LN('Données projet'!B244)/'Données projet'!A244)</f>
        <v>1.4669685047497352</v>
      </c>
      <c r="GR205" s="88">
        <f>EXP(LN('Données projet'!B270)/'Données projet'!A270)</f>
        <v>1.2392705892426346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145" zoomScaleNormal="145" workbookViewId="0">
      <selection activeCell="E12" sqref="E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0.39385500000000001</v>
      </c>
      <c r="C6" s="156">
        <f ca="1">IF(OR('Données projet'!B9="",'Données projet'!C9="",'Données projet'!C9=0%),0,Calculateur!S3)</f>
        <v>529.25712986118265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109.57731892811175</v>
      </c>
      <c r="G6" s="156">
        <f ca="1">F6*(100%-'Données projet'!$C$24)*(100%-'Données projet'!$C$25)*(100%-'Données projet'!$C$26)*(100%-'Données projet'!$C$27)</f>
        <v>98.619587035300583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3.3477675000000002</v>
      </c>
      <c r="K6" s="160">
        <f>J6*(100%-'Données projet'!$C$24)*(100%-'Données projet'!$C$25)*(100%-'Données projet'!$C$26)*(100%-'Données projet'!$C$27)</f>
        <v>3.0129907500000002</v>
      </c>
      <c r="L6" s="161">
        <f ca="1">G6+I6+K6</f>
        <v>101.63257778530058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Merisier</v>
      </c>
      <c r="B7" s="163">
        <f>'Données projet'!D10</f>
        <v>0.19778000000000001</v>
      </c>
      <c r="C7" s="156">
        <f ca="1">IF(OR('Données projet'!B10="",'Données projet'!C10="",'Données projet'!C10=0%),0,Calculateur!AN3)</f>
        <v>292.57482726862594</v>
      </c>
      <c r="D7" s="156">
        <f>IF(OR('Données projet'!B10="",'Données projet'!C10="",'Données projet'!C10=0%),0,Calculateur!AO3)</f>
        <v>283.48738729114024</v>
      </c>
      <c r="E7" s="156">
        <f t="shared" ref="E7:E15" ca="1" si="0">MIN(C7,D7)</f>
        <v>283.48738729114024</v>
      </c>
      <c r="F7" s="156">
        <f t="shared" ref="F7:F15" ca="1" si="1">E7*B7</f>
        <v>56.068135458441716</v>
      </c>
      <c r="G7" s="156">
        <f ca="1">F7*(100%-'Données projet'!$C$24)*(100%-'Données projet'!$C$25)*(100%-'Données projet'!$C$26)*(100%-'Données projet'!$C$27)</f>
        <v>50.461321912597548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2.7194750000000001</v>
      </c>
      <c r="K7" s="160">
        <f>J7*(100%-'Données projet'!$C$24)*(100%-'Données projet'!$C$25)*(100%-'Données projet'!$C$26)*(100%-'Données projet'!$C$27)</f>
        <v>2.4475275000000001</v>
      </c>
      <c r="L7" s="161">
        <f t="shared" ref="L7:L15" ca="1" si="2">G7+I7+K7</f>
        <v>52.908849412597547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Châtaignier</v>
      </c>
      <c r="B8" s="163">
        <f>'Données projet'!D11</f>
        <v>0.19778000000000001</v>
      </c>
      <c r="C8" s="156">
        <f ca="1">IF(OR('Données projet'!B11="",'Données projet'!C11="",'Données projet'!C11=0%),0,Calculateur!BI3)</f>
        <v>397.24545766894346</v>
      </c>
      <c r="D8" s="156">
        <f>IF(OR('Données projet'!B11="",'Données projet'!C11="",'Données projet'!C11=0%),0,Calculateur!BJ3)</f>
        <v>431.44557882369696</v>
      </c>
      <c r="E8" s="156">
        <f t="shared" ca="1" si="0"/>
        <v>397.24545766894346</v>
      </c>
      <c r="F8" s="156">
        <f t="shared" ca="1" si="1"/>
        <v>78.567206617763645</v>
      </c>
      <c r="G8" s="156">
        <f ca="1">F8*(100%-'Données projet'!$C$24)*(100%-'Données projet'!$C$25)*(100%-'Données projet'!$C$26)*(100%-'Données projet'!$C$27)</f>
        <v>70.710485955987281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8.6528749999999999</v>
      </c>
      <c r="K8" s="160">
        <f>J8*(100%-'Données projet'!$C$24)*(100%-'Données projet'!$C$25)*(100%-'Données projet'!$C$26)*(100%-'Données projet'!$C$27)</f>
        <v>7.7875874999999999</v>
      </c>
      <c r="L8" s="161">
        <f t="shared" ca="1" si="2"/>
        <v>78.498073455987281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Aulne glutineux</v>
      </c>
      <c r="B9" s="163">
        <f>'Données projet'!D12</f>
        <v>0.19437000000000001</v>
      </c>
      <c r="C9" s="156">
        <f ca="1">IF(OR('Données projet'!B12="",'Données projet'!C12="",'Données projet'!C12=0%),0,Calculateur!CD3)</f>
        <v>277.27246253233807</v>
      </c>
      <c r="D9" s="156">
        <f>IF(OR('Données projet'!B12="",'Données projet'!C12="",'Données projet'!C12=0%),0,Calculateur!CE3)</f>
        <v>269.61868559913404</v>
      </c>
      <c r="E9" s="156">
        <f t="shared" ca="1" si="0"/>
        <v>269.61868559913404</v>
      </c>
      <c r="F9" s="156">
        <f t="shared" ca="1" si="1"/>
        <v>52.405783919903691</v>
      </c>
      <c r="G9" s="156">
        <f ca="1">F9*(100%-'Données projet'!$C$24)*(100%-'Données projet'!$C$25)*(100%-'Données projet'!$C$26)*(100%-'Données projet'!$C$27)</f>
        <v>47.165205527913322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1.7493300000000001</v>
      </c>
      <c r="K9" s="160">
        <f>J9*(100%-'Données projet'!$C$24)*(100%-'Données projet'!$C$25)*(100%-'Données projet'!$C$26)*(100%-'Données projet'!$C$27)</f>
        <v>1.574397</v>
      </c>
      <c r="L9" s="161">
        <f t="shared" ca="1" si="2"/>
        <v>48.73960252791332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Chêne pédonculé</v>
      </c>
      <c r="B10" s="163">
        <f>'Données projet'!D13</f>
        <v>0.19437000000000001</v>
      </c>
      <c r="C10" s="156">
        <f ca="1">IF(OR('Données projet'!B13="",'Données projet'!C13="",'Données projet'!C13=0%),0,Calculateur!CY3)</f>
        <v>402.15128814037058</v>
      </c>
      <c r="D10" s="156">
        <f>IF(OR('Données projet'!B13="",'Données projet'!C13="",'Données projet'!C13=0%),0,Calculateur!CZ3)</f>
        <v>232.85411068442738</v>
      </c>
      <c r="E10" s="156">
        <f t="shared" ca="1" si="0"/>
        <v>232.85411068442738</v>
      </c>
      <c r="F10" s="156">
        <f t="shared" ca="1" si="1"/>
        <v>45.259853493732152</v>
      </c>
      <c r="G10" s="156">
        <f ca="1">F10*(100%-'Données projet'!$C$24)*(100%-'Données projet'!$C$25)*(100%-'Données projet'!$C$26)*(100%-'Données projet'!$C$27)</f>
        <v>40.733868144358937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1.4091825</v>
      </c>
      <c r="K10" s="160">
        <f>J10*(100%-'Données projet'!$C$24)*(100%-'Données projet'!$C$25)*(100%-'Données projet'!$C$26)*(100%-'Données projet'!$C$27)</f>
        <v>1.2682642500000001</v>
      </c>
      <c r="L10" s="161">
        <f t="shared" ca="1" si="2"/>
        <v>42.002132394358938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Charme</v>
      </c>
      <c r="B11" s="163">
        <f>'Données projet'!D14</f>
        <v>0.13128500000000001</v>
      </c>
      <c r="C11" s="156">
        <f ca="1">IF(OR('Données projet'!B14="",'Données projet'!C14="",'Données projet'!C14=0%),0,Calculateur!DT3)</f>
        <v>485.18236169209541</v>
      </c>
      <c r="D11" s="156">
        <f>IF(OR('Données projet'!B14="",'Données projet'!C14="",'Données projet'!C14=0%),0,Calculateur!DU3)</f>
        <v>417.30339652956951</v>
      </c>
      <c r="E11" s="156">
        <f t="shared" ca="1" si="0"/>
        <v>417.30339652956951</v>
      </c>
      <c r="F11" s="156">
        <f t="shared" ca="1" si="1"/>
        <v>54.785676413384536</v>
      </c>
      <c r="G11" s="156">
        <f ca="1">F11*(100%-'Données projet'!$C$24)*(100%-'Données projet'!$C$25)*(100%-'Données projet'!$C$26)*(100%-'Données projet'!$C$27)</f>
        <v>49.307108772046085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2.7982219551282053</v>
      </c>
      <c r="K11" s="160">
        <f>J11*(100%-'Données projet'!$C$24)*(100%-'Données projet'!$C$25)*(100%-'Données projet'!$C$26)*(100%-'Données projet'!$C$27)</f>
        <v>2.5183997596153849</v>
      </c>
      <c r="L11" s="161">
        <f t="shared" ca="1" si="2"/>
        <v>51.82550853166147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Erable sycomore</v>
      </c>
      <c r="B12" s="163">
        <f>'Données projet'!D15</f>
        <v>0.13128500000000001</v>
      </c>
      <c r="C12" s="156">
        <f ca="1">IF(OR('Données projet'!B15="",'Données projet'!C15="",'Données projet'!C15=0%),0,Calculateur!EO3)</f>
        <v>427.78067187784063</v>
      </c>
      <c r="D12" s="156">
        <f>IF(OR('Données projet'!B15="",'Données projet'!C15="",'Données projet'!C15=0%),0,Calculateur!EP3)</f>
        <v>464.22892523825118</v>
      </c>
      <c r="E12" s="156">
        <f t="shared" ca="1" si="0"/>
        <v>427.78067187784063</v>
      </c>
      <c r="F12" s="156">
        <f t="shared" ca="1" si="1"/>
        <v>56.161185507482315</v>
      </c>
      <c r="G12" s="156">
        <f ca="1">F12*(100%-'Données projet'!$C$24)*(100%-'Données projet'!$C$25)*(100%-'Données projet'!$C$26)*(100%-'Données projet'!$C$27)</f>
        <v>50.545066956734082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5.7437187500000002</v>
      </c>
      <c r="K12" s="160">
        <f>J12*(100%-'Données projet'!$C$24)*(100%-'Données projet'!$C$25)*(100%-'Données projet'!$C$26)*(100%-'Données projet'!$C$27)</f>
        <v>5.1693468750000005</v>
      </c>
      <c r="L12" s="161">
        <f t="shared" ca="1" si="2"/>
        <v>55.714413831734085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Hêtre</v>
      </c>
      <c r="B13" s="163">
        <f>'Données projet'!D16</f>
        <v>0.13128500000000001</v>
      </c>
      <c r="C13" s="156">
        <f ca="1">IF(OR('Données projet'!B16="",'Données projet'!C16="",'Données projet'!C16=0%),0,Calculateur!FJ3)</f>
        <v>448.44001099301806</v>
      </c>
      <c r="D13" s="156">
        <f>IF(OR('Données projet'!B16="",'Données projet'!C16="",'Données projet'!C16=0%),0,Calculateur!FK3)</f>
        <v>230.82970731138215</v>
      </c>
      <c r="E13" s="156">
        <f t="shared" ca="1" si="0"/>
        <v>230.82970731138215</v>
      </c>
      <c r="F13" s="156">
        <f t="shared" ca="1" si="1"/>
        <v>30.304478124374807</v>
      </c>
      <c r="G13" s="156">
        <f ca="1">F13*(100%-'Données projet'!$C$24)*(100%-'Données projet'!$C$25)*(100%-'Données projet'!$C$26)*(100%-'Données projet'!$C$27)</f>
        <v>27.274030311937327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0.82053125000000005</v>
      </c>
      <c r="K13" s="160">
        <f>J13*(100%-'Données projet'!$C$24)*(100%-'Données projet'!$C$25)*(100%-'Données projet'!$C$26)*(100%-'Données projet'!$C$27)</f>
        <v>0.7384781250000001</v>
      </c>
      <c r="L13" s="161">
        <f t="shared" ca="1" si="2"/>
        <v>28.012508436937328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>Tilleul</v>
      </c>
      <c r="B14" s="163">
        <f>'Données projet'!D17</f>
        <v>6.6494999999999999E-2</v>
      </c>
      <c r="C14" s="156">
        <f ca="1">IF(OR('Données projet'!B17="",'Données projet'!C17="",'Données projet'!C17=0%),0,Calculateur!GE3)</f>
        <v>408.91016501484626</v>
      </c>
      <c r="D14" s="156">
        <f>IF(OR('Données projet'!B17="",'Données projet'!C17="",'Données projet'!C17=0%),0,Calculateur!GF3)</f>
        <v>354.22396807666433</v>
      </c>
      <c r="E14" s="156">
        <f t="shared" ca="1" si="0"/>
        <v>354.22396807666433</v>
      </c>
      <c r="F14" s="156">
        <f t="shared" ca="1" si="1"/>
        <v>23.554122757257794</v>
      </c>
      <c r="G14" s="156">
        <f ca="1">F14*(100%-'Données projet'!$C$24)*(100%-'Données projet'!$C$25)*(100%-'Données projet'!$C$26)*(100%-'Données projet'!$C$27)</f>
        <v>21.198710481532014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1.5558125</v>
      </c>
      <c r="K14" s="160">
        <f>J14*(100%-'Données projet'!$C$24)*(100%-'Données projet'!$C$25)*(100%-'Données projet'!$C$26)*(100%-'Données projet'!$C$27)</f>
        <v>1.40023125</v>
      </c>
      <c r="L14" s="161">
        <f t="shared" ca="1" si="2"/>
        <v>22.598941731532015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>Alisier torminal</v>
      </c>
      <c r="B15" s="166">
        <f>'Données projet'!D18</f>
        <v>6.6494999999999999E-2</v>
      </c>
      <c r="C15" s="167">
        <f ca="1">IF(OR('Données projet'!B18="",'Données projet'!C18="",'Données projet'!C18=0%),0,Calculateur!GZ3)</f>
        <v>562.69380557620775</v>
      </c>
      <c r="D15" s="167">
        <f>IF(OR('Données projet'!B18="",'Données projet'!C18="",'Données projet'!C18=0%),0,Calculateur!HA3)</f>
        <v>294.45557293177131</v>
      </c>
      <c r="E15" s="167">
        <f t="shared" ca="1" si="0"/>
        <v>294.45557293177131</v>
      </c>
      <c r="F15" s="168">
        <f t="shared" ca="1" si="1"/>
        <v>19.579823322098132</v>
      </c>
      <c r="G15" s="168">
        <f ca="1">F15*(100%-'Données projet'!$C$24)*(100%-'Données projet'!$C$25)*(100%-'Données projet'!$C$26)*(100%-'Données projet'!$C$27)</f>
        <v>17.621840989888319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0.56520749999999997</v>
      </c>
      <c r="K15" s="172">
        <f>J15*(100%-'Données projet'!$C$24)*(100%-'Données projet'!$C$25)*(100%-'Données projet'!$C$26)*(100%-'Données projet'!$C$27)</f>
        <v>0.50868674999999997</v>
      </c>
      <c r="L15" s="173">
        <f t="shared" ca="1" si="2"/>
        <v>18.130527739888318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526.26358454255046</v>
      </c>
      <c r="G16" s="175">
        <f t="shared" ca="1" si="3"/>
        <v>473.63722608829556</v>
      </c>
      <c r="H16" s="176">
        <f t="shared" si="3"/>
        <v>0</v>
      </c>
      <c r="I16" s="176">
        <f t="shared" si="3"/>
        <v>0</v>
      </c>
      <c r="J16" s="177">
        <f t="shared" si="3"/>
        <v>29.362121955128202</v>
      </c>
      <c r="K16" s="177">
        <f t="shared" si="3"/>
        <v>26.425909759615386</v>
      </c>
      <c r="L16" s="178">
        <f t="shared" ca="1" si="3"/>
        <v>500.06313584791081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Merisier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Châtaignier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Aulne glutineux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Chêne pédonculé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Charme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Erable sycomore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Hêtre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>Tilleul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>Alisier torminal</v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E1" zoomScale="80" zoomScaleNormal="80" workbookViewId="0">
      <selection activeCell="Q25" sqref="Q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883.12431508985128</v>
      </c>
      <c r="U10" s="190">
        <f>'Données projet'!D9</f>
        <v>0.39385500000000001</v>
      </c>
      <c r="V10" s="189">
        <f>U10*T10</f>
        <v>347.82292711971337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Merisier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2358.3681940329943</v>
      </c>
      <c r="U11" s="190">
        <f>'Données projet'!D10</f>
        <v>0.19778000000000001</v>
      </c>
      <c r="V11" s="189">
        <f t="shared" ref="V11" si="0">U11*T11</f>
        <v>466.43806141584565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Châtaignier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2493.3213457583502</v>
      </c>
      <c r="U12" s="190">
        <f>'Données projet'!D11</f>
        <v>0.19778000000000001</v>
      </c>
      <c r="V12" s="189">
        <f t="shared" ref="V12:V19" si="1">U12*T12</f>
        <v>493.12909576408651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Aulne glutineux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724.50591870379935</v>
      </c>
      <c r="U13" s="190">
        <f>'Données projet'!D12</f>
        <v>0.19437000000000001</v>
      </c>
      <c r="V13" s="189">
        <f t="shared" si="1"/>
        <v>140.82221541845749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pédonculé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566.64391648456444</v>
      </c>
      <c r="U14" s="190">
        <f>'Données projet'!D13</f>
        <v>0.19437000000000001</v>
      </c>
      <c r="V14" s="189">
        <f t="shared" si="1"/>
        <v>110.1385780471048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Charme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770.90458153142617</v>
      </c>
      <c r="U15" s="190">
        <f>'Données projet'!D14</f>
        <v>0.13128500000000001</v>
      </c>
      <c r="V15" s="189">
        <f t="shared" si="1"/>
        <v>101.2082079863533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>Erable sycomore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2493.3213457583502</v>
      </c>
      <c r="U16" s="190">
        <f>'Données projet'!D15</f>
        <v>0.13128500000000001</v>
      </c>
      <c r="V16" s="189">
        <f t="shared" si="1"/>
        <v>327.33569287788504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Hêtre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1225.1437350061908</v>
      </c>
      <c r="U17" s="190">
        <f>'Données projet'!D16</f>
        <v>0.13128500000000001</v>
      </c>
      <c r="V17" s="189">
        <f t="shared" si="1"/>
        <v>160.84299525028777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>Tilleul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986.66359849846958</v>
      </c>
      <c r="U18" s="190">
        <f>'Données projet'!D17</f>
        <v>6.6494999999999999E-2</v>
      </c>
      <c r="V18" s="189">
        <f t="shared" si="1"/>
        <v>65.608195982155735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>Alisier torminal</v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769.99591221935452</v>
      </c>
      <c r="U19" s="190">
        <f>'Données projet'!D18</f>
        <v>6.6494999999999999E-2</v>
      </c>
      <c r="V19" s="189">
        <f t="shared" si="1"/>
        <v>51.200878183025978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-9670.4531519550837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34</v>
      </c>
      <c r="C24" s="204">
        <v>10</v>
      </c>
      <c r="D24" s="194">
        <f t="shared" ref="D24:D42" si="2">B24*C24</f>
        <v>340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25612.353618955607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0</v>
      </c>
      <c r="C25" s="204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678</v>
      </c>
      <c r="Q25" s="265"/>
      <c r="R25" s="25"/>
      <c r="S25" s="198" t="s">
        <v>266</v>
      </c>
      <c r="T25" s="336">
        <f ca="1">T23-T24</f>
        <v>-35282.806770910691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56</v>
      </c>
      <c r="C26" s="204">
        <v>10</v>
      </c>
      <c r="D26" s="194">
        <f t="shared" si="2"/>
        <v>560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0</v>
      </c>
      <c r="C27" s="204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56</v>
      </c>
      <c r="C28" s="204">
        <v>15</v>
      </c>
      <c r="D28" s="194">
        <f t="shared" si="2"/>
        <v>840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0</v>
      </c>
      <c r="C29" s="204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56</v>
      </c>
      <c r="C30" s="204">
        <v>20</v>
      </c>
      <c r="D30" s="194">
        <f t="shared" si="2"/>
        <v>1120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15021.908280912379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0</v>
      </c>
      <c r="C31" s="204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56</v>
      </c>
      <c r="C32" s="204">
        <v>30</v>
      </c>
      <c r="D32" s="194">
        <f t="shared" si="2"/>
        <v>1680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0</v>
      </c>
      <c r="C33" s="204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678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56</v>
      </c>
      <c r="C34" s="204">
        <v>40</v>
      </c>
      <c r="D34" s="194">
        <f t="shared" si="2"/>
        <v>2240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648.8038277511962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0</v>
      </c>
      <c r="C35" s="204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620.86490693894382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84</v>
      </c>
      <c r="C36" s="204">
        <v>50</v>
      </c>
      <c r="D36" s="194">
        <f t="shared" si="2"/>
        <v>4200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594.1290975492285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100</v>
      </c>
      <c r="B37" s="193">
        <f>'Données projet'!D50</f>
        <v>0</v>
      </c>
      <c r="C37" s="204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568.54459095619973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110</v>
      </c>
      <c r="B38" s="193">
        <f>'Données projet'!D51</f>
        <v>106</v>
      </c>
      <c r="C38" s="204">
        <v>60</v>
      </c>
      <c r="D38" s="194">
        <f t="shared" si="2"/>
        <v>6360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544.06180952746388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120</v>
      </c>
      <c r="B39" s="193">
        <f>'Données projet'!D52</f>
        <v>0</v>
      </c>
      <c r="C39" s="204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520.6333105525971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130</v>
      </c>
      <c r="B40" s="193">
        <f>'Données projet'!D53</f>
        <v>91</v>
      </c>
      <c r="C40" s="204">
        <v>80</v>
      </c>
      <c r="D40" s="194">
        <f t="shared" si="2"/>
        <v>7280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498.21369430870533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140</v>
      </c>
      <c r="B41" s="193">
        <f>'Données projet'!D54</f>
        <v>0</v>
      </c>
      <c r="C41" s="204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476.7595160848856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150</v>
      </c>
      <c r="B42" s="193">
        <f>'Données projet'!D55</f>
        <v>376</v>
      </c>
      <c r="C42" s="209">
        <v>200</v>
      </c>
      <c r="D42" s="194">
        <f t="shared" si="2"/>
        <v>75200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456.22920199510588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436.58296841636934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417.78274489604723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Merisier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399.79210037899264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382.57617261147618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366.10160058514475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350.33645989009068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335.25020085176152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320.81358933182923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306.9986500783055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293.77861251512491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281.1278588661483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269.02187451306054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0</v>
      </c>
      <c r="C55" s="206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257.43720049096714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55</v>
      </c>
      <c r="C56" s="206">
        <v>10</v>
      </c>
      <c r="D56" s="191">
        <f t="shared" si="4"/>
        <v>550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246.35138802963363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31</v>
      </c>
      <c r="B57" s="193">
        <f>'Données projet'!D65</f>
        <v>36</v>
      </c>
      <c r="C57" s="206">
        <v>10</v>
      </c>
      <c r="D57" s="191">
        <f t="shared" si="4"/>
        <v>360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235.74295505228102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37</v>
      </c>
      <c r="B58" s="193">
        <f>'Données projet'!D66</f>
        <v>36</v>
      </c>
      <c r="C58" s="206">
        <v>15</v>
      </c>
      <c r="D58" s="191">
        <f t="shared" si="4"/>
        <v>540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225.59134454763736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44</v>
      </c>
      <c r="B59" s="193">
        <f>'Données projet'!D67</f>
        <v>43</v>
      </c>
      <c r="C59" s="206">
        <v>20</v>
      </c>
      <c r="D59" s="191">
        <f t="shared" si="4"/>
        <v>860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215.87688473458127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52</v>
      </c>
      <c r="B60" s="193">
        <f>'Données projet'!D68</f>
        <v>48</v>
      </c>
      <c r="C60" s="206">
        <v>30</v>
      </c>
      <c r="D60" s="191">
        <f t="shared" si="4"/>
        <v>1440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206.58075094218302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47</v>
      </c>
      <c r="C61" s="206">
        <v>40</v>
      </c>
      <c r="D61" s="191">
        <f t="shared" si="4"/>
        <v>1880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197.68492913127565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69</v>
      </c>
      <c r="B62" s="193">
        <f>'Données projet'!D70</f>
        <v>328</v>
      </c>
      <c r="C62" s="206">
        <v>100</v>
      </c>
      <c r="D62" s="191">
        <f t="shared" si="4"/>
        <v>32800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189.17218098686664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6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181.02601051374805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173.23063207057226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165.77093978045201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158.63247825880578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151.80141460172803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145.26451158060098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139.00910199100576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133.0230641062256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127.29479818777571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121.81320400744087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116.56765933726403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111.54799936580291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106.74449700076835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Châtaignier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102.14784401987403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97.749133033372289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93.539840223322756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89.511808826146208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85.657233326455682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81.968644331536581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78.43889409716418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75.061142676712166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71.828844666710197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68.735736523167674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15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65.775824424083893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20</v>
      </c>
      <c r="B87" s="193">
        <f>'Données projet'!D90</f>
        <v>91</v>
      </c>
      <c r="C87" s="204">
        <v>10</v>
      </c>
      <c r="D87" s="191">
        <f t="shared" si="6"/>
        <v>910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62.943372654625762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25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60.232892492464828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30</v>
      </c>
      <c r="B89" s="193">
        <f>'Données projet'!D92</f>
        <v>84</v>
      </c>
      <c r="C89" s="204">
        <v>15</v>
      </c>
      <c r="D89" s="191">
        <f t="shared" si="6"/>
        <v>1260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57.639131571736698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35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55.157063705011197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40</v>
      </c>
      <c r="B91" s="193">
        <f>'Données projet'!D94</f>
        <v>82</v>
      </c>
      <c r="C91" s="204">
        <v>20</v>
      </c>
      <c r="D91" s="191">
        <f t="shared" si="6"/>
        <v>1640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52.7818791435514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45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50.508975256986986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50</v>
      </c>
      <c r="B93" s="193">
        <f>'Données projet'!D96</f>
        <v>47</v>
      </c>
      <c r="C93" s="204">
        <v>30</v>
      </c>
      <c r="D93" s="191">
        <f t="shared" si="6"/>
        <v>1410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48.333947614341618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55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46.25258144913073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60</v>
      </c>
      <c r="B95" s="193">
        <f>'Données projet'!D98</f>
        <v>35</v>
      </c>
      <c r="C95" s="204">
        <v>40</v>
      </c>
      <c r="D95" s="191">
        <f t="shared" si="6"/>
        <v>1400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44.260843491991146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65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42.354874155015445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70</v>
      </c>
      <c r="B97" s="193">
        <f>'Données projet'!D100</f>
        <v>31</v>
      </c>
      <c r="C97" s="204">
        <v>50</v>
      </c>
      <c r="D97" s="191">
        <f t="shared" si="6"/>
        <v>1550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40.530980052646377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75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38.785626844637683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80</v>
      </c>
      <c r="B99" s="193">
        <f>'Données projet'!D102</f>
        <v>396</v>
      </c>
      <c r="C99" s="206">
        <v>100</v>
      </c>
      <c r="D99" s="191">
        <f t="shared" si="6"/>
        <v>39600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37.115432387213104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35.517160179151297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33.987713090096939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32.52412735894444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str">
        <f>IF(O102+1&lt;=MIN('Données projet'!$E$9:$E$18),O102+1,"STOP")</f>
        <v>STOP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Aulne glutineux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36</v>
      </c>
      <c r="C119" s="204">
        <v>10</v>
      </c>
      <c r="D119" s="191">
        <f t="shared" si="8"/>
        <v>360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48</v>
      </c>
      <c r="C121" s="204">
        <v>10</v>
      </c>
      <c r="D121" s="191">
        <f t="shared" si="8"/>
        <v>480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50</v>
      </c>
      <c r="C123" s="204">
        <v>15</v>
      </c>
      <c r="D123" s="191">
        <f t="shared" si="8"/>
        <v>750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55</v>
      </c>
      <c r="B125" s="193">
        <f>'Données projet'!D123</f>
        <v>47</v>
      </c>
      <c r="C125" s="204">
        <v>20</v>
      </c>
      <c r="D125" s="191">
        <f t="shared" si="8"/>
        <v>940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65</v>
      </c>
      <c r="B127" s="193">
        <f>'Données projet'!D125</f>
        <v>42</v>
      </c>
      <c r="C127" s="204">
        <v>25</v>
      </c>
      <c r="D127" s="191">
        <f t="shared" si="8"/>
        <v>1050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75</v>
      </c>
      <c r="B129" s="193">
        <f>'Données projet'!D127</f>
        <v>37</v>
      </c>
      <c r="C129" s="204">
        <v>30</v>
      </c>
      <c r="D129" s="191">
        <f t="shared" si="8"/>
        <v>1110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80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85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90</v>
      </c>
      <c r="B132" s="193">
        <f>'Données projet'!D130</f>
        <v>281</v>
      </c>
      <c r="C132" s="204">
        <v>40</v>
      </c>
      <c r="D132" s="191">
        <f t="shared" si="8"/>
        <v>11240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Chêne pédonculé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7">
        <f>'Données projet'!D142</f>
        <v>29</v>
      </c>
      <c r="C149" s="206">
        <v>10</v>
      </c>
      <c r="D149" s="194">
        <f t="shared" si="10"/>
        <v>290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0</v>
      </c>
      <c r="C150" s="206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7">
        <f>'Données projet'!D144</f>
        <v>42</v>
      </c>
      <c r="C151" s="206">
        <v>10</v>
      </c>
      <c r="D151" s="194">
        <f t="shared" si="10"/>
        <v>420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7">
        <f>'Données projet'!D145</f>
        <v>0</v>
      </c>
      <c r="C152" s="206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7">
        <f>'Données projet'!D146</f>
        <v>42</v>
      </c>
      <c r="C153" s="206">
        <v>10</v>
      </c>
      <c r="D153" s="194">
        <f t="shared" si="10"/>
        <v>420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7">
        <f>'Données projet'!D147</f>
        <v>0</v>
      </c>
      <c r="C154" s="206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7">
        <f>'Données projet'!D148</f>
        <v>42</v>
      </c>
      <c r="C155" s="206">
        <v>20</v>
      </c>
      <c r="D155" s="194">
        <f t="shared" si="10"/>
        <v>840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7">
        <f>'Données projet'!D149</f>
        <v>0</v>
      </c>
      <c r="C156" s="206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7">
        <f>'Données projet'!D150</f>
        <v>42</v>
      </c>
      <c r="C157" s="206">
        <v>30</v>
      </c>
      <c r="D157" s="194">
        <f t="shared" si="10"/>
        <v>1260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7">
        <f>'Données projet'!D151</f>
        <v>0</v>
      </c>
      <c r="C158" s="206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7">
        <f>'Données projet'!D152</f>
        <v>42</v>
      </c>
      <c r="C159" s="206">
        <v>40</v>
      </c>
      <c r="D159" s="194">
        <f t="shared" si="10"/>
        <v>1680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7">
        <f>'Données projet'!D153</f>
        <v>42</v>
      </c>
      <c r="C160" s="206">
        <v>50</v>
      </c>
      <c r="D160" s="194">
        <f t="shared" si="10"/>
        <v>2100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100</v>
      </c>
      <c r="B161" s="187">
        <f>'Données projet'!D154</f>
        <v>42</v>
      </c>
      <c r="C161" s="206">
        <v>60</v>
      </c>
      <c r="D161" s="194">
        <f t="shared" si="10"/>
        <v>2520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110</v>
      </c>
      <c r="B162" s="187">
        <f>'Données projet'!D155</f>
        <v>39</v>
      </c>
      <c r="C162" s="206">
        <v>70</v>
      </c>
      <c r="D162" s="194">
        <f t="shared" si="10"/>
        <v>2730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120</v>
      </c>
      <c r="B163" s="187">
        <f>'Données projet'!D156</f>
        <v>35</v>
      </c>
      <c r="C163" s="206">
        <v>80</v>
      </c>
      <c r="D163" s="194">
        <f t="shared" si="10"/>
        <v>2800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130</v>
      </c>
      <c r="B164" s="187">
        <f>'Données projet'!D157</f>
        <v>31</v>
      </c>
      <c r="C164" s="206">
        <v>100</v>
      </c>
      <c r="D164" s="194">
        <f t="shared" si="10"/>
        <v>3100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140</v>
      </c>
      <c r="B165" s="187">
        <f>'Données projet'!D158</f>
        <v>27</v>
      </c>
      <c r="C165" s="206">
        <v>120</v>
      </c>
      <c r="D165" s="194">
        <f t="shared" si="10"/>
        <v>3240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150</v>
      </c>
      <c r="B166" s="187">
        <f>'Données projet'!D159</f>
        <v>293</v>
      </c>
      <c r="C166" s="206">
        <v>200</v>
      </c>
      <c r="D166" s="194">
        <f t="shared" si="10"/>
        <v>58600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Charme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15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20</v>
      </c>
      <c r="B180" s="193">
        <f>'Données projet'!D168</f>
        <v>42.948717948717949</v>
      </c>
      <c r="C180" s="204">
        <v>10</v>
      </c>
      <c r="D180" s="191">
        <f t="shared" si="11"/>
        <v>429.4871794871795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25</v>
      </c>
      <c r="B181" s="193">
        <f>'Données projet'!D169</f>
        <v>0</v>
      </c>
      <c r="C181" s="204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30</v>
      </c>
      <c r="B182" s="193">
        <f>'Données projet'!D170</f>
        <v>42.307692307692307</v>
      </c>
      <c r="C182" s="204">
        <v>10</v>
      </c>
      <c r="D182" s="191">
        <f t="shared" si="11"/>
        <v>423.07692307692309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35</v>
      </c>
      <c r="B183" s="193">
        <f>'Données projet'!D171</f>
        <v>0</v>
      </c>
      <c r="C183" s="204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40</v>
      </c>
      <c r="B184" s="193">
        <f>'Données projet'!D172</f>
        <v>44.871794871794869</v>
      </c>
      <c r="C184" s="204">
        <v>15</v>
      </c>
      <c r="D184" s="191">
        <f t="shared" si="11"/>
        <v>673.07692307692298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45</v>
      </c>
      <c r="B185" s="193">
        <f>'Données projet'!D173</f>
        <v>0</v>
      </c>
      <c r="C185" s="204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50</v>
      </c>
      <c r="B186" s="193">
        <f>'Données projet'!D174</f>
        <v>42.948717948717949</v>
      </c>
      <c r="C186" s="204">
        <v>20</v>
      </c>
      <c r="D186" s="191">
        <f t="shared" si="11"/>
        <v>858.97435897435901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55</v>
      </c>
      <c r="B187" s="193">
        <f>'Données projet'!D175</f>
        <v>0</v>
      </c>
      <c r="C187" s="204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60</v>
      </c>
      <c r="B188" s="193">
        <f>'Données projet'!D176</f>
        <v>40.38461538461538</v>
      </c>
      <c r="C188" s="204">
        <v>20</v>
      </c>
      <c r="D188" s="191">
        <f t="shared" si="11"/>
        <v>807.69230769230762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65</v>
      </c>
      <c r="B189" s="193">
        <f>'Données projet'!D177</f>
        <v>0</v>
      </c>
      <c r="C189" s="204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70</v>
      </c>
      <c r="B190" s="193">
        <f>'Données projet'!D178</f>
        <v>39.102564102564102</v>
      </c>
      <c r="C190" s="204">
        <v>25</v>
      </c>
      <c r="D190" s="191">
        <f t="shared" si="11"/>
        <v>977.56410256410254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75</v>
      </c>
      <c r="B191" s="193">
        <f>'Données projet'!D179</f>
        <v>0</v>
      </c>
      <c r="C191" s="204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80</v>
      </c>
      <c r="B192" s="193">
        <f>'Données projet'!D180</f>
        <v>36.53846153846154</v>
      </c>
      <c r="C192" s="204">
        <v>30</v>
      </c>
      <c r="D192" s="191">
        <f t="shared" si="11"/>
        <v>1096.1538461538462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85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90</v>
      </c>
      <c r="B194" s="193">
        <f>'Données projet'!D182</f>
        <v>33.974358974358971</v>
      </c>
      <c r="C194" s="206">
        <v>35</v>
      </c>
      <c r="D194" s="191">
        <f t="shared" si="11"/>
        <v>1189.102564102564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100</v>
      </c>
      <c r="B195" s="193">
        <f>'Données projet'!D183</f>
        <v>31.410256410256409</v>
      </c>
      <c r="C195" s="206">
        <v>40</v>
      </c>
      <c r="D195" s="191">
        <f t="shared" si="11"/>
        <v>1256.4102564102564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110</v>
      </c>
      <c r="B196" s="193">
        <f>'Données projet'!D184</f>
        <v>29.487179487179485</v>
      </c>
      <c r="C196" s="206">
        <v>45</v>
      </c>
      <c r="D196" s="191">
        <f t="shared" si="11"/>
        <v>1326.9230769230769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120</v>
      </c>
      <c r="B197" s="193">
        <f>'Données projet'!D185</f>
        <v>337.17948717948718</v>
      </c>
      <c r="C197" s="206">
        <v>50</v>
      </c>
      <c r="D197" s="191">
        <f t="shared" si="11"/>
        <v>16858.974358974359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Erable sycomore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15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20</v>
      </c>
      <c r="B211" s="193">
        <f>'Données projet'!D194</f>
        <v>91</v>
      </c>
      <c r="C211" s="204">
        <v>10</v>
      </c>
      <c r="D211" s="191">
        <f t="shared" si="12"/>
        <v>910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25</v>
      </c>
      <c r="B212" s="193">
        <f>'Données projet'!D195</f>
        <v>0</v>
      </c>
      <c r="C212" s="204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30</v>
      </c>
      <c r="B213" s="193">
        <f>'Données projet'!D196</f>
        <v>84</v>
      </c>
      <c r="C213" s="204">
        <v>15</v>
      </c>
      <c r="D213" s="191">
        <f t="shared" si="12"/>
        <v>1260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35</v>
      </c>
      <c r="B214" s="193">
        <f>'Données projet'!D197</f>
        <v>0</v>
      </c>
      <c r="C214" s="204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40</v>
      </c>
      <c r="B215" s="193">
        <f>'Données projet'!D198</f>
        <v>82</v>
      </c>
      <c r="C215" s="204">
        <v>20</v>
      </c>
      <c r="D215" s="191">
        <f t="shared" si="12"/>
        <v>1640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45</v>
      </c>
      <c r="B216" s="193">
        <f>'Données projet'!D199</f>
        <v>0</v>
      </c>
      <c r="C216" s="204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50</v>
      </c>
      <c r="B217" s="193">
        <f>'Données projet'!D200</f>
        <v>47</v>
      </c>
      <c r="C217" s="204">
        <v>30</v>
      </c>
      <c r="D217" s="191">
        <f t="shared" si="12"/>
        <v>1410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55</v>
      </c>
      <c r="B218" s="193">
        <f>'Données projet'!D201</f>
        <v>0</v>
      </c>
      <c r="C218" s="204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60</v>
      </c>
      <c r="B219" s="193">
        <f>'Données projet'!D202</f>
        <v>35</v>
      </c>
      <c r="C219" s="204">
        <v>40</v>
      </c>
      <c r="D219" s="191">
        <f t="shared" si="12"/>
        <v>1400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65</v>
      </c>
      <c r="B220" s="193">
        <f>'Données projet'!D203</f>
        <v>0</v>
      </c>
      <c r="C220" s="204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70</v>
      </c>
      <c r="B221" s="193">
        <f>'Données projet'!D204</f>
        <v>31</v>
      </c>
      <c r="C221" s="204">
        <v>50</v>
      </c>
      <c r="D221" s="191">
        <f t="shared" si="12"/>
        <v>1550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75</v>
      </c>
      <c r="B222" s="193">
        <f>'Données projet'!D205</f>
        <v>0</v>
      </c>
      <c r="C222" s="204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80</v>
      </c>
      <c r="B223" s="193">
        <f>'Données projet'!D206</f>
        <v>396</v>
      </c>
      <c r="C223" s="206">
        <v>100</v>
      </c>
      <c r="D223" s="191">
        <f t="shared" si="12"/>
        <v>39600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Hêtre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27</v>
      </c>
      <c r="B240" s="193">
        <f>'Données projet'!D218</f>
        <v>12</v>
      </c>
      <c r="C240" s="204">
        <v>10</v>
      </c>
      <c r="D240" s="191">
        <f>B240*C240</f>
        <v>120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30</v>
      </c>
      <c r="B241" s="193">
        <f>'Données projet'!D219</f>
        <v>13</v>
      </c>
      <c r="C241" s="204">
        <v>10</v>
      </c>
      <c r="D241" s="191">
        <f t="shared" ref="D241:D259" si="13">B241*C241</f>
        <v>130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36</v>
      </c>
      <c r="B242" s="193">
        <f>'Données projet'!D220</f>
        <v>60</v>
      </c>
      <c r="C242" s="204">
        <v>10</v>
      </c>
      <c r="D242" s="191">
        <f t="shared" si="13"/>
        <v>600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42</v>
      </c>
      <c r="B243" s="193">
        <f>'Données projet'!D221</f>
        <v>59</v>
      </c>
      <c r="C243" s="204">
        <v>15</v>
      </c>
      <c r="D243" s="191">
        <f t="shared" si="13"/>
        <v>885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48</v>
      </c>
      <c r="B244" s="193">
        <f>'Données projet'!D222</f>
        <v>63</v>
      </c>
      <c r="C244" s="204">
        <v>15</v>
      </c>
      <c r="D244" s="191">
        <f t="shared" si="13"/>
        <v>945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54</v>
      </c>
      <c r="B245" s="193">
        <f>'Données projet'!D223</f>
        <v>64</v>
      </c>
      <c r="C245" s="204">
        <v>20</v>
      </c>
      <c r="D245" s="191">
        <f t="shared" si="13"/>
        <v>1280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60</v>
      </c>
      <c r="B246" s="193">
        <f>'Données projet'!D224</f>
        <v>61</v>
      </c>
      <c r="C246" s="204">
        <v>25</v>
      </c>
      <c r="D246" s="191">
        <f t="shared" si="13"/>
        <v>1525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69</v>
      </c>
      <c r="B247" s="193">
        <f>'Données projet'!D225</f>
        <v>84</v>
      </c>
      <c r="C247" s="204">
        <v>30</v>
      </c>
      <c r="D247" s="191">
        <f t="shared" si="13"/>
        <v>2520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78</v>
      </c>
      <c r="B248" s="193">
        <f>'Données projet'!D226</f>
        <v>39</v>
      </c>
      <c r="C248" s="204">
        <v>40</v>
      </c>
      <c r="D248" s="191">
        <f t="shared" si="13"/>
        <v>1560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84</v>
      </c>
      <c r="B249" s="193">
        <f>'Données projet'!D227</f>
        <v>0</v>
      </c>
      <c r="C249" s="204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90</v>
      </c>
      <c r="B250" s="193">
        <f>'Données projet'!D228</f>
        <v>0</v>
      </c>
      <c r="C250" s="204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96</v>
      </c>
      <c r="B251" s="193">
        <f>'Données projet'!D229</f>
        <v>0</v>
      </c>
      <c r="C251" s="204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99</v>
      </c>
      <c r="B252" s="193">
        <f>'Données projet'!D230</f>
        <v>591</v>
      </c>
      <c r="C252" s="204">
        <v>50</v>
      </c>
      <c r="D252" s="191">
        <f t="shared" si="13"/>
        <v>29550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>Tilleul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10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15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20</v>
      </c>
      <c r="B273" s="193">
        <f>'Données projet'!D246</f>
        <v>48.717948717948715</v>
      </c>
      <c r="C273" s="206">
        <v>10</v>
      </c>
      <c r="D273" s="191">
        <f t="shared" si="14"/>
        <v>487.17948717948718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25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30</v>
      </c>
      <c r="B275" s="193">
        <f>'Données projet'!D248</f>
        <v>44.871794871794869</v>
      </c>
      <c r="C275" s="206">
        <v>10</v>
      </c>
      <c r="D275" s="191">
        <f t="shared" si="14"/>
        <v>448.71794871794867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35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40</v>
      </c>
      <c r="B277" s="193">
        <f>'Données projet'!D250</f>
        <v>42.948717948717949</v>
      </c>
      <c r="C277" s="206">
        <v>15</v>
      </c>
      <c r="D277" s="191">
        <f t="shared" si="14"/>
        <v>644.23076923076928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45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50</v>
      </c>
      <c r="B279" s="193">
        <f>'Données projet'!D252</f>
        <v>41.666666666666664</v>
      </c>
      <c r="C279" s="206">
        <v>20</v>
      </c>
      <c r="D279" s="191">
        <f t="shared" si="14"/>
        <v>833.33333333333326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55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60</v>
      </c>
      <c r="B281" s="193">
        <f>'Données projet'!D254</f>
        <v>37.820512820512818</v>
      </c>
      <c r="C281" s="206">
        <v>25</v>
      </c>
      <c r="D281" s="191">
        <f t="shared" si="14"/>
        <v>945.51282051282044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65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70</v>
      </c>
      <c r="B283" s="193">
        <f>'Données projet'!D256</f>
        <v>35.256410256410255</v>
      </c>
      <c r="C283" s="206">
        <v>30</v>
      </c>
      <c r="D283" s="191">
        <f t="shared" si="14"/>
        <v>1057.6923076923076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75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80</v>
      </c>
      <c r="B285" s="193">
        <f>'Données projet'!D258</f>
        <v>32.051282051282051</v>
      </c>
      <c r="C285" s="206">
        <v>40</v>
      </c>
      <c r="D285" s="191">
        <f t="shared" si="14"/>
        <v>1282.051282051282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85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90</v>
      </c>
      <c r="B287" s="193">
        <f>'Données projet'!D260</f>
        <v>30.128205128205128</v>
      </c>
      <c r="C287" s="206">
        <v>50</v>
      </c>
      <c r="D287" s="191">
        <f t="shared" si="14"/>
        <v>1506.4102564102564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95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100</v>
      </c>
      <c r="B289" s="193">
        <f>'Données projet'!D262</f>
        <v>27.564102564102562</v>
      </c>
      <c r="C289" s="206">
        <v>60</v>
      </c>
      <c r="D289" s="191">
        <f t="shared" si="14"/>
        <v>1653.8461538461538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110</v>
      </c>
      <c r="B290" s="193">
        <f>'Données projet'!D263</f>
        <v>410.25641025641022</v>
      </c>
      <c r="C290" s="206">
        <v>80</v>
      </c>
      <c r="D290" s="191">
        <f t="shared" si="14"/>
        <v>32820.51282051282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>Alisier torminal</v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20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25</v>
      </c>
      <c r="B303" s="193">
        <f>'Données projet'!D271</f>
        <v>34</v>
      </c>
      <c r="C303" s="204">
        <v>10</v>
      </c>
      <c r="D303" s="194">
        <f t="shared" ref="D303:D321" si="15">B303*C303</f>
        <v>340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30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35</v>
      </c>
      <c r="B305" s="193">
        <f>'Données projet'!D273</f>
        <v>56</v>
      </c>
      <c r="C305" s="204">
        <v>10</v>
      </c>
      <c r="D305" s="194">
        <f t="shared" si="15"/>
        <v>560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40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45</v>
      </c>
      <c r="B307" s="193">
        <f>'Données projet'!D275</f>
        <v>56</v>
      </c>
      <c r="C307" s="204">
        <v>15</v>
      </c>
      <c r="D307" s="194">
        <f t="shared" si="15"/>
        <v>840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50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55</v>
      </c>
      <c r="B309" s="193">
        <f>'Données projet'!D277</f>
        <v>56</v>
      </c>
      <c r="C309" s="204">
        <v>20</v>
      </c>
      <c r="D309" s="194">
        <f t="shared" si="15"/>
        <v>1120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60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65</v>
      </c>
      <c r="B311" s="193">
        <f>'Données projet'!D279</f>
        <v>56</v>
      </c>
      <c r="C311" s="204">
        <v>30</v>
      </c>
      <c r="D311" s="194">
        <f t="shared" si="15"/>
        <v>1680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70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75</v>
      </c>
      <c r="B313" s="193">
        <f>'Données projet'!D281</f>
        <v>56</v>
      </c>
      <c r="C313" s="204">
        <v>40</v>
      </c>
      <c r="D313" s="194">
        <f t="shared" si="15"/>
        <v>2240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80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90</v>
      </c>
      <c r="B315" s="193">
        <f>'Données projet'!D283</f>
        <v>84</v>
      </c>
      <c r="C315" s="204">
        <v>50</v>
      </c>
      <c r="D315" s="194">
        <f t="shared" si="15"/>
        <v>4200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100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110</v>
      </c>
      <c r="B317" s="193">
        <f>'Données projet'!D285</f>
        <v>106</v>
      </c>
      <c r="C317" s="204">
        <v>60</v>
      </c>
      <c r="D317" s="194">
        <f t="shared" si="15"/>
        <v>6360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120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130</v>
      </c>
      <c r="B319" s="193">
        <f>'Données projet'!D287</f>
        <v>91</v>
      </c>
      <c r="C319" s="204">
        <v>80</v>
      </c>
      <c r="D319" s="194">
        <f t="shared" si="15"/>
        <v>7280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140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150</v>
      </c>
      <c r="B321" s="193">
        <f>'Données projet'!D289</f>
        <v>376</v>
      </c>
      <c r="C321" s="209">
        <v>200</v>
      </c>
      <c r="D321" s="194">
        <f t="shared" si="15"/>
        <v>75200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2024-05-14T08:04:10Z</dcterms:modified>
</cp:coreProperties>
</file>