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EasyJet\58 - Saint-Pierre-le-Moûtier\"/>
    </mc:Choice>
  </mc:AlternateContent>
  <bookViews>
    <workbookView xWindow="0" yWindow="0" windowWidth="28800" windowHeight="1243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5" i="1" l="1"/>
  <c r="B203" i="1"/>
  <c r="B201" i="1"/>
  <c r="B199" i="1"/>
  <c r="B197" i="1"/>
  <c r="B195" i="1"/>
  <c r="B193" i="1"/>
  <c r="B173" i="1" l="1"/>
  <c r="D172" i="1"/>
  <c r="B172" i="1"/>
  <c r="B171" i="1"/>
  <c r="D170" i="1"/>
  <c r="B170" i="1"/>
  <c r="B169" i="1"/>
  <c r="D168" i="1"/>
  <c r="B168" i="1"/>
  <c r="B167" i="1"/>
  <c r="B225" i="1"/>
  <c r="D224" i="1"/>
  <c r="B224" i="1"/>
  <c r="B223" i="1"/>
  <c r="D222" i="1"/>
  <c r="B222" i="1"/>
  <c r="B221" i="1"/>
  <c r="D220" i="1"/>
  <c r="B220" i="1"/>
  <c r="B219" i="1"/>
  <c r="B153" i="1"/>
  <c r="D146" i="1"/>
  <c r="B146" i="1"/>
  <c r="B145" i="1"/>
  <c r="D144" i="1"/>
  <c r="B144" i="1"/>
  <c r="B143" i="1"/>
  <c r="D142" i="1"/>
  <c r="B142" i="1"/>
  <c r="B141" i="1"/>
  <c r="B140" i="1"/>
  <c r="D101" i="1"/>
  <c r="B101" i="1"/>
  <c r="B94" i="1"/>
  <c r="D93" i="1"/>
  <c r="B93" i="1"/>
  <c r="B92" i="1"/>
  <c r="B91" i="1"/>
  <c r="B90" i="1"/>
  <c r="B89" i="1"/>
  <c r="B88" i="1"/>
  <c r="B64" i="1"/>
  <c r="D63" i="1"/>
  <c r="B63" i="1"/>
  <c r="B62" i="1"/>
  <c r="D203" i="1" l="1"/>
  <c r="D201" i="1"/>
  <c r="D199" i="1"/>
  <c r="D197" i="1"/>
  <c r="D195" i="1"/>
  <c r="D193" i="1"/>
  <c r="D205" i="1"/>
  <c r="B43" i="1" l="1"/>
  <c r="D42" i="1"/>
  <c r="B42" i="1"/>
  <c r="B41" i="1"/>
  <c r="D40" i="1"/>
  <c r="B40" i="1"/>
  <c r="B39" i="1"/>
  <c r="D38" i="1"/>
  <c r="B38" i="1"/>
  <c r="B37" i="1"/>
  <c r="B121" i="1" l="1"/>
  <c r="D120" i="1"/>
  <c r="B120" i="1"/>
  <c r="B119" i="1"/>
  <c r="D118" i="1"/>
  <c r="B118" i="1"/>
  <c r="B117" i="1"/>
  <c r="D116" i="1"/>
  <c r="B116" i="1"/>
  <c r="B11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R4" i="2"/>
  <c r="FQ4" i="2"/>
  <c r="BQ4" i="2"/>
  <c r="EA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W20" i="2"/>
  <c r="EV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EB22" i="2"/>
  <c r="EC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EA35" i="2"/>
  <c r="EB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B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B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A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FS140" i="2"/>
  <c r="EX140" i="2"/>
  <c r="EC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A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FR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B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I154" i="2" s="1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Y154" i="2"/>
  <c r="EW155" i="2"/>
  <c r="EX155" i="2"/>
  <c r="ED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Y155" i="2"/>
  <c r="FS156" i="2"/>
  <c r="EX156" i="2"/>
  <c r="ED155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B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V158" i="2" l="1"/>
  <c r="EW158" i="2"/>
  <c r="ED157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ED159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FS161" i="2"/>
  <c r="EX161" i="2"/>
  <c r="ED160" i="2"/>
  <c r="E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Y161" i="2"/>
  <c r="ED161" i="2"/>
  <c r="EB162" i="2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D162" i="2"/>
  <c r="EB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FS164" i="2"/>
  <c r="FR164" i="2"/>
  <c r="EV164" i="2"/>
  <c r="EX164" i="2"/>
  <c r="DI163" i="2"/>
  <c r="EA164" i="2"/>
  <c r="ED163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EC166" i="2"/>
  <c r="ED165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X167" i="2"/>
  <c r="EY166" i="2"/>
  <c r="EC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EW168" i="2"/>
  <c r="DI167" i="2"/>
  <c r="EB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FS169" i="2"/>
  <c r="EX169" i="2"/>
  <c r="EB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EA172" i="2"/>
  <c r="EB172" i="2"/>
  <c r="ED171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ED172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FS175" i="2" l="1"/>
  <c r="EW175" i="2"/>
  <c r="EB175" i="2"/>
  <c r="ED174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FS178" i="2"/>
  <c r="EW178" i="2"/>
  <c r="ED177" i="2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V179" i="2" l="1"/>
  <c r="EA179" i="2"/>
  <c r="EB179" i="2"/>
  <c r="ED178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ED179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D180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A183" i="2" l="1"/>
  <c r="EY182" i="2"/>
  <c r="FS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EV185" i="2"/>
  <c r="ED184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S186" i="2"/>
  <c r="FR186" i="2"/>
  <c r="EW186" i="2"/>
  <c r="EB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EY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EB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EX193" i="2"/>
  <c r="ED192" i="2"/>
  <c r="EA193" i="2"/>
  <c r="EB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FQ194" i="2" l="1"/>
  <c r="EB194" i="2"/>
  <c r="ED193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Y194" i="2"/>
  <c r="FQ195" i="2"/>
  <c r="EX195" i="2"/>
  <c r="EB195" i="2"/>
  <c r="EA195" i="2"/>
  <c r="ED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EW197" i="2"/>
  <c r="FS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EV198" i="2"/>
  <c r="ED197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EV199" i="2"/>
  <c r="FS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FS201" i="2"/>
  <c r="DI200" i="2"/>
  <c r="ED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EX202" i="2"/>
  <c r="FR202" i="2"/>
  <c r="EW202" i="2"/>
  <c r="ED201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AH92" i="2" a="1"/>
  <c r="AH9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CS66" i="2" a="1"/>
  <c r="CS66" i="2" s="1"/>
  <c r="CS52" i="2" a="1"/>
  <c r="CS52" i="2" s="1"/>
  <c r="CS129" i="2" a="1"/>
  <c r="CS129" i="2" s="1"/>
  <c r="DN186" i="2" a="1"/>
  <c r="DN186" i="2" s="1"/>
  <c r="DN41" i="2" a="1"/>
  <c r="DN41" i="2" s="1"/>
  <c r="DN25" i="2" a="1"/>
  <c r="DN25" i="2" s="1"/>
  <c r="DN170" i="2" a="1"/>
  <c r="DN170" i="2" s="1"/>
  <c r="DN153" i="2" a="1"/>
  <c r="DN153" i="2" s="1"/>
  <c r="DN115" i="2" a="1"/>
  <c r="DN115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DN187" i="2" a="1"/>
  <c r="DN187" i="2" s="1"/>
  <c r="HJ202" i="2"/>
  <c r="AX200" i="2"/>
  <c r="FS203" i="2" l="1"/>
  <c r="FY42" i="2" a="1"/>
  <c r="FY42" i="2" s="1"/>
  <c r="FY82" i="2" a="1"/>
  <c r="FY82" i="2" s="1"/>
  <c r="FY29" i="2" a="1"/>
  <c r="FY29" i="2" s="1"/>
  <c r="FY115" i="2" a="1"/>
  <c r="FY115" i="2" s="1"/>
  <c r="FY86" i="2" a="1"/>
  <c r="FY86" i="2" s="1"/>
  <c r="FY73" i="2" a="1"/>
  <c r="FY73" i="2" s="1"/>
  <c r="FY50" i="2" a="1"/>
  <c r="FY50" i="2" s="1"/>
  <c r="FY121" i="2" a="1"/>
  <c r="FY121" i="2" s="1"/>
  <c r="FY80" i="2" a="1"/>
  <c r="FY80" i="2" s="1"/>
  <c r="FY167" i="2" a="1"/>
  <c r="FY167" i="2" s="1"/>
  <c r="FY142" i="2" a="1"/>
  <c r="FY142" i="2" s="1"/>
  <c r="FY143" i="2" a="1"/>
  <c r="FY143" i="2" s="1"/>
  <c r="FY182" i="2" a="1"/>
  <c r="FY182" i="2" s="1"/>
  <c r="FY34" i="2" a="1"/>
  <c r="FY34" i="2" s="1"/>
  <c r="FY24" i="2" a="1"/>
  <c r="FY24" i="2" s="1"/>
  <c r="FY58" i="2" a="1"/>
  <c r="FY58" i="2" s="1"/>
  <c r="FY104" i="2" a="1"/>
  <c r="FY104" i="2" s="1"/>
  <c r="FY149" i="2" a="1"/>
  <c r="FY149" i="2" s="1"/>
  <c r="FY62" i="2" a="1"/>
  <c r="FY62" i="2" s="1"/>
  <c r="FY196" i="2" a="1"/>
  <c r="FY196" i="2" s="1"/>
  <c r="FY124" i="2" a="1"/>
  <c r="FY124" i="2" s="1"/>
  <c r="FY169" i="2" a="1"/>
  <c r="FY169" i="2" s="1"/>
  <c r="FY172" i="2" a="1"/>
  <c r="FY172" i="2" s="1"/>
  <c r="FY190" i="2" a="1"/>
  <c r="FY190" i="2" s="1"/>
  <c r="FY72" i="2" a="1"/>
  <c r="FY72" i="2" s="1"/>
  <c r="FY164" i="2" a="1"/>
  <c r="FY164" i="2" s="1"/>
  <c r="FY178" i="2" a="1"/>
  <c r="FY178" i="2" s="1"/>
  <c r="FY55" i="2" a="1"/>
  <c r="FY55" i="2" s="1"/>
  <c r="FY126" i="2" a="1"/>
  <c r="FY126" i="2" s="1"/>
  <c r="FY188" i="2" a="1"/>
  <c r="FY188" i="2" s="1"/>
  <c r="FY28" i="2" a="1"/>
  <c r="FY28" i="2" s="1"/>
  <c r="FY78" i="2" a="1"/>
  <c r="FY78" i="2" s="1"/>
  <c r="FY174" i="2" a="1"/>
  <c r="FY174" i="2" s="1"/>
  <c r="FY99" i="2" a="1"/>
  <c r="FY99" i="2" s="1"/>
  <c r="FY140" i="2" a="1"/>
  <c r="FY140" i="2" s="1"/>
  <c r="FY116" i="2" a="1"/>
  <c r="FY116" i="2" s="1"/>
  <c r="FY92" i="2" a="1"/>
  <c r="FY92" i="2" s="1"/>
  <c r="FY111" i="2" a="1"/>
  <c r="FY111" i="2" s="1"/>
  <c r="FY152" i="2" a="1"/>
  <c r="FY152" i="2" s="1"/>
  <c r="FY186" i="2" a="1"/>
  <c r="FY186" i="2" s="1"/>
  <c r="FY173" i="2" a="1"/>
  <c r="FY173" i="2" s="1"/>
  <c r="FY159" i="2" a="1"/>
  <c r="FY159" i="2" s="1"/>
  <c r="FY22" i="2" a="1"/>
  <c r="FY22" i="2" s="1"/>
  <c r="FY191" i="2" a="1"/>
  <c r="FY191" i="2" s="1"/>
  <c r="FY110" i="2" a="1"/>
  <c r="FY110" i="2" s="1"/>
  <c r="FY153" i="2" a="1"/>
  <c r="FY153" i="2" s="1"/>
  <c r="FY66" i="2" a="1"/>
  <c r="FY66" i="2" s="1"/>
  <c r="FY102" i="2" a="1"/>
  <c r="FY102" i="2" s="1"/>
  <c r="FY69" i="2" a="1"/>
  <c r="FY69" i="2" s="1"/>
  <c r="FY18" i="2" a="1"/>
  <c r="FY18" i="2" s="1"/>
  <c r="FY133" i="2" a="1"/>
  <c r="FY133" i="2" s="1"/>
  <c r="FY54" i="2" a="1"/>
  <c r="FY54" i="2" s="1"/>
  <c r="FY47" i="2" a="1"/>
  <c r="FY47" i="2" s="1"/>
  <c r="FY35" i="2" a="1"/>
  <c r="FY35" i="2" s="1"/>
  <c r="FY165" i="2" a="1"/>
  <c r="FY165" i="2" s="1"/>
  <c r="FY120" i="2" a="1"/>
  <c r="FY120" i="2" s="1"/>
  <c r="FY146" i="2" a="1"/>
  <c r="FY146" i="2" s="1"/>
  <c r="FY71" i="2" a="1"/>
  <c r="FY71" i="2" s="1"/>
  <c r="FY32" i="2" a="1"/>
  <c r="FY32" i="2" s="1"/>
  <c r="FY109" i="2" a="1"/>
  <c r="FY109" i="2" s="1"/>
  <c r="FY90" i="2" a="1"/>
  <c r="FY90" i="2" s="1"/>
  <c r="FY57" i="2" a="1"/>
  <c r="FY57" i="2" s="1"/>
  <c r="FY79" i="2" a="1"/>
  <c r="FY79" i="2" s="1"/>
  <c r="EY202" i="2"/>
  <c r="EI113" i="2" a="1"/>
  <c r="EI113" i="2" s="1"/>
  <c r="EI150" i="2" a="1"/>
  <c r="EI150" i="2" s="1"/>
  <c r="EI87" i="2" a="1"/>
  <c r="EI87" i="2" s="1"/>
  <c r="EI29" i="2" a="1"/>
  <c r="EI29" i="2" s="1"/>
  <c r="EI128" i="2" a="1"/>
  <c r="EI128" i="2" s="1"/>
  <c r="EI139" i="2" a="1"/>
  <c r="EI139" i="2" s="1"/>
  <c r="EI16" i="2" a="1"/>
  <c r="EI16" i="2" s="1"/>
  <c r="EI36" i="2" a="1"/>
  <c r="EI36" i="2" s="1"/>
  <c r="EI162" i="2" a="1"/>
  <c r="EI162" i="2" s="1"/>
  <c r="EI20" i="2" a="1"/>
  <c r="EI20" i="2" s="1"/>
  <c r="EI38" i="2" a="1"/>
  <c r="EI38" i="2" s="1"/>
  <c r="EI106" i="2" a="1"/>
  <c r="EI106" i="2" s="1"/>
  <c r="EI37" i="2" a="1"/>
  <c r="EI37" i="2" s="1"/>
  <c r="EI35" i="2" a="1"/>
  <c r="EI35" i="2" s="1"/>
  <c r="EI34" i="2" a="1"/>
  <c r="EI34" i="2" s="1"/>
  <c r="EI153" i="2" a="1"/>
  <c r="EI153" i="2" s="1"/>
  <c r="EI165" i="2" a="1"/>
  <c r="EI165" i="2" s="1"/>
  <c r="EI195" i="2" a="1"/>
  <c r="EI195" i="2" s="1"/>
  <c r="EI142" i="2" a="1"/>
  <c r="EI142" i="2" s="1"/>
  <c r="EI166" i="2" a="1"/>
  <c r="EI166" i="2" s="1"/>
  <c r="EI71" i="2" a="1"/>
  <c r="EI71" i="2" s="1"/>
  <c r="EI178" i="2" a="1"/>
  <c r="EI178" i="2" s="1"/>
  <c r="EI198" i="2" a="1"/>
  <c r="EI198" i="2" s="1"/>
  <c r="EI109" i="2" a="1"/>
  <c r="EI109" i="2" s="1"/>
  <c r="EI67" i="2" a="1"/>
  <c r="EI67" i="2" s="1"/>
  <c r="EI170" i="2" a="1"/>
  <c r="EI170" i="2" s="1"/>
  <c r="EI57" i="2" a="1"/>
  <c r="EI57" i="2" s="1"/>
  <c r="EI145" i="2" a="1"/>
  <c r="EI145" i="2" s="1"/>
  <c r="FR203" i="2"/>
  <c r="FD194" i="2" a="1"/>
  <c r="FD194" i="2" s="1"/>
  <c r="FD43" i="2" a="1"/>
  <c r="FD43" i="2" s="1"/>
  <c r="FD19" i="2" a="1"/>
  <c r="FD19" i="2" s="1"/>
  <c r="FD82" i="2" a="1"/>
  <c r="FD82" i="2" s="1"/>
  <c r="FD160" i="2" a="1"/>
  <c r="FD160" i="2" s="1"/>
  <c r="FD189" i="2" a="1"/>
  <c r="FD189" i="2" s="1"/>
  <c r="FD64" i="2" a="1"/>
  <c r="FD64" i="2" s="1"/>
  <c r="FD137" i="2" a="1"/>
  <c r="FD137" i="2" s="1"/>
  <c r="FD14" i="2" a="1"/>
  <c r="FD14" i="2" s="1"/>
  <c r="FD59" i="2" a="1"/>
  <c r="FD59" i="2" s="1"/>
  <c r="FD48" i="2" a="1"/>
  <c r="FD48" i="2" s="1"/>
  <c r="FD44" i="2" a="1"/>
  <c r="FD44" i="2" s="1"/>
  <c r="FD144" i="2" a="1"/>
  <c r="FD144" i="2" s="1"/>
  <c r="FD159" i="2" a="1"/>
  <c r="FD159" i="2" s="1"/>
  <c r="FD167" i="2" a="1"/>
  <c r="FD167" i="2" s="1"/>
  <c r="FD188" i="2" a="1"/>
  <c r="FD188" i="2" s="1"/>
  <c r="FD21" i="2" a="1"/>
  <c r="FD21" i="2" s="1"/>
  <c r="FD107" i="2" a="1"/>
  <c r="FD107" i="2" s="1"/>
  <c r="FD187" i="2" a="1"/>
  <c r="FD187" i="2" s="1"/>
  <c r="FD131" i="2" a="1"/>
  <c r="FD131" i="2" s="1"/>
  <c r="FD60" i="2" a="1"/>
  <c r="FD60" i="2" s="1"/>
  <c r="DN184" i="2" a="1"/>
  <c r="DN184" i="2" s="1"/>
  <c r="DN177" i="2" a="1"/>
  <c r="DN177" i="2" s="1"/>
  <c r="DN129" i="2" a="1"/>
  <c r="DN129" i="2" s="1"/>
  <c r="DN50" i="2" a="1"/>
  <c r="DN50" i="2" s="1"/>
  <c r="DN113" i="2" a="1"/>
  <c r="DN113" i="2" s="1"/>
  <c r="DN155" i="2" a="1"/>
  <c r="DN155" i="2" s="1"/>
  <c r="DN152" i="2" a="1"/>
  <c r="DN152" i="2" s="1"/>
  <c r="DN124" i="2" a="1"/>
  <c r="DN124" i="2" s="1"/>
  <c r="DN29" i="2" a="1"/>
  <c r="DN29" i="2" s="1"/>
  <c r="DN56" i="2" a="1"/>
  <c r="DN56" i="2" s="1"/>
  <c r="DN43" i="2" a="1"/>
  <c r="DN43" i="2" s="1"/>
  <c r="DN137" i="2" a="1"/>
  <c r="DN13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EY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87" i="2" l="1"/>
  <c r="DT186" i="2"/>
  <c r="DT136" i="2"/>
  <c r="DT43" i="2"/>
  <c r="DT35" i="2"/>
  <c r="DT126" i="2"/>
  <c r="DT25" i="2"/>
  <c r="DT22" i="2"/>
  <c r="DT188" i="2"/>
  <c r="DT108" i="2"/>
  <c r="DT23" i="2"/>
  <c r="DT50" i="2"/>
  <c r="DT62" i="2"/>
  <c r="DT55" i="2"/>
  <c r="DT16" i="2"/>
  <c r="DT122" i="2"/>
  <c r="DT100" i="2"/>
  <c r="DT65" i="2"/>
  <c r="DT148" i="2"/>
  <c r="DT123" i="2"/>
  <c r="DT109" i="2"/>
  <c r="DT158" i="2"/>
  <c r="DT149" i="2"/>
  <c r="DT104" i="2"/>
  <c r="DT88" i="2"/>
  <c r="DT128" i="2"/>
  <c r="DT155" i="2"/>
  <c r="DT85" i="2"/>
  <c r="DT31" i="2"/>
  <c r="DT58" i="2"/>
  <c r="DT111" i="2"/>
  <c r="DT163" i="2"/>
  <c r="DT74" i="2"/>
  <c r="DT139" i="2"/>
  <c r="DT110" i="2"/>
  <c r="DT171" i="2"/>
  <c r="DT79" i="2"/>
  <c r="DT105" i="2"/>
  <c r="DT151" i="2"/>
  <c r="DT12" i="2"/>
  <c r="DT73" i="2"/>
  <c r="DT162" i="2"/>
  <c r="DT138" i="2"/>
  <c r="DT140" i="2"/>
  <c r="DT33" i="2"/>
  <c r="DT82" i="2"/>
  <c r="DT72" i="2"/>
  <c r="DT196" i="2"/>
  <c r="DT200" i="2"/>
  <c r="DT175" i="2"/>
  <c r="DT157" i="2"/>
  <c r="DT153" i="2"/>
  <c r="DT3" i="2"/>
  <c r="C11" i="4" s="1"/>
  <c r="E11" i="4" s="1"/>
  <c r="F11" i="4" s="1"/>
  <c r="G11" i="4" s="1"/>
  <c r="L11" i="4" s="1"/>
  <c r="DT47" i="2"/>
  <c r="DT195" i="2"/>
  <c r="DT60" i="2"/>
  <c r="DT106" i="2"/>
  <c r="DT61" i="2"/>
  <c r="DT24" i="2"/>
  <c r="DT179" i="2"/>
  <c r="DT124" i="2"/>
  <c r="DT135" i="2"/>
  <c r="DT180" i="2"/>
  <c r="DT9" i="2"/>
  <c r="DT181" i="2"/>
  <c r="DT189" i="2"/>
  <c r="DT112" i="2"/>
  <c r="DT59" i="2"/>
  <c r="DT19" i="2"/>
  <c r="DT70" i="2"/>
  <c r="DT40" i="2"/>
  <c r="DT134" i="2"/>
  <c r="DT203" i="2"/>
  <c r="DT167" i="2"/>
  <c r="DT57" i="2"/>
  <c r="DT87" i="2"/>
  <c r="DT83" i="2"/>
  <c r="DT94" i="2"/>
  <c r="DT146" i="2"/>
  <c r="DT41" i="2"/>
  <c r="DT92" i="2"/>
  <c r="DT131" i="2"/>
  <c r="DT93" i="2"/>
  <c r="DT129" i="2"/>
  <c r="DT99" i="2"/>
  <c r="DT125" i="2"/>
  <c r="DT98" i="2"/>
  <c r="DT28" i="2"/>
  <c r="DT54" i="2"/>
  <c r="DT46" i="2"/>
  <c r="DT53" i="2"/>
  <c r="DT45" i="2"/>
  <c r="DT161" i="2"/>
  <c r="DT21" i="2"/>
  <c r="DT118" i="2"/>
  <c r="DT39" i="2"/>
  <c r="DT75" i="2"/>
  <c r="DT178" i="2"/>
  <c r="DT11" i="2"/>
  <c r="DT101" i="2"/>
  <c r="DT6" i="2"/>
  <c r="DT34" i="2"/>
  <c r="DT121" i="2"/>
  <c r="DT193" i="2"/>
  <c r="DT184" i="2"/>
  <c r="DT154" i="2"/>
  <c r="DT137" i="2"/>
  <c r="DT37" i="2"/>
  <c r="DT147" i="2"/>
  <c r="DT56" i="2"/>
  <c r="DT27" i="2"/>
  <c r="DT66" i="2"/>
  <c r="DT97" i="2"/>
  <c r="DT102" i="2"/>
  <c r="DT160" i="2"/>
  <c r="DT49" i="2"/>
  <c r="DT117" i="2"/>
  <c r="DT127" i="2"/>
  <c r="DT159" i="2"/>
  <c r="DT141" i="2"/>
  <c r="DT133" i="2"/>
  <c r="DT170" i="2"/>
  <c r="DT51" i="2"/>
  <c r="DT166" i="2"/>
  <c r="DT113" i="2"/>
  <c r="DT130" i="2"/>
  <c r="DT168" i="2"/>
  <c r="DT81" i="2"/>
  <c r="DT5" i="2"/>
  <c r="DT119" i="2"/>
  <c r="DT67" i="2"/>
  <c r="DT14" i="2"/>
  <c r="DT64" i="2"/>
  <c r="DT176" i="2"/>
  <c r="DT164" i="2"/>
  <c r="DT8" i="2"/>
  <c r="DT172" i="2"/>
  <c r="DT38" i="2"/>
  <c r="DT78" i="2"/>
  <c r="DT201" i="2"/>
  <c r="DT44" i="2"/>
  <c r="DT107" i="2"/>
  <c r="DT144" i="2"/>
  <c r="DT142" i="2"/>
  <c r="DT96" i="2"/>
  <c r="DT76" i="2"/>
  <c r="DT68" i="2"/>
  <c r="DT190" i="2"/>
  <c r="DT13" i="2"/>
  <c r="DT177" i="2"/>
  <c r="DT89" i="2"/>
  <c r="DT77" i="2"/>
  <c r="DT143" i="2"/>
  <c r="DT120" i="2"/>
  <c r="DT42" i="2"/>
  <c r="DT4" i="2"/>
  <c r="DT15" i="2"/>
  <c r="DT29" i="2"/>
  <c r="DT174" i="2"/>
  <c r="DT63" i="2"/>
  <c r="DT26" i="2"/>
  <c r="DT169" i="2"/>
  <c r="DT52" i="2"/>
  <c r="DT36" i="2"/>
  <c r="DT86" i="2"/>
  <c r="DT194" i="2"/>
  <c r="DT115" i="2"/>
  <c r="DT10" i="2"/>
  <c r="DT182" i="2"/>
  <c r="DT183" i="2"/>
  <c r="DT114" i="2"/>
  <c r="DT156" i="2"/>
  <c r="DT84" i="2"/>
  <c r="DT95" i="2"/>
  <c r="DT71" i="2"/>
  <c r="DT173" i="2"/>
  <c r="DT80" i="2"/>
  <c r="DT145" i="2"/>
  <c r="DT20" i="2"/>
  <c r="DT191" i="2"/>
  <c r="DT48" i="2"/>
  <c r="DT103" i="2"/>
  <c r="DT91" i="2"/>
  <c r="DT69" i="2"/>
  <c r="DT202" i="2"/>
  <c r="DT17" i="2"/>
  <c r="DT150" i="2"/>
  <c r="DT116" i="2"/>
  <c r="DT152" i="2"/>
  <c r="DT192" i="2"/>
  <c r="DT90" i="2"/>
  <c r="DT32" i="2"/>
  <c r="DT132" i="2"/>
  <c r="DT199" i="2"/>
  <c r="DT198" i="2"/>
  <c r="DT197" i="2"/>
  <c r="DT30" i="2"/>
  <c r="DT7" i="2"/>
  <c r="DT185" i="2"/>
  <c r="DT165" i="2"/>
  <c r="DT18" i="2"/>
  <c r="FJ73" i="2"/>
  <c r="FJ86" i="2"/>
  <c r="FJ75" i="2"/>
  <c r="FJ198" i="2"/>
  <c r="FJ108" i="2"/>
  <c r="FJ162" i="2"/>
  <c r="FJ50" i="2"/>
  <c r="FJ195" i="2"/>
  <c r="FJ57" i="2"/>
  <c r="FJ47" i="2"/>
  <c r="FJ136" i="2"/>
  <c r="FJ124" i="2"/>
  <c r="FJ138" i="2"/>
  <c r="FJ125" i="2"/>
  <c r="FJ71" i="2"/>
  <c r="FJ174" i="2"/>
  <c r="FJ106" i="2"/>
  <c r="FJ145" i="2"/>
  <c r="FJ146" i="2"/>
  <c r="FJ35" i="2"/>
  <c r="FJ151" i="2"/>
  <c r="FJ160" i="2"/>
  <c r="FJ60" i="2"/>
  <c r="FJ166" i="2"/>
  <c r="FJ48" i="2"/>
  <c r="FJ121" i="2"/>
  <c r="FJ196" i="2"/>
  <c r="FJ90" i="2"/>
  <c r="FJ176" i="2"/>
  <c r="FJ88" i="2"/>
  <c r="FJ61" i="2"/>
  <c r="FJ51" i="2"/>
  <c r="FJ150" i="2"/>
  <c r="FJ112" i="2"/>
  <c r="FJ135" i="2"/>
  <c r="FJ55" i="2"/>
  <c r="FJ116" i="2"/>
  <c r="FJ179" i="2"/>
  <c r="FJ103" i="2"/>
  <c r="FJ186" i="2"/>
  <c r="FJ172" i="2"/>
  <c r="FJ140" i="2"/>
  <c r="FJ10" i="2"/>
  <c r="FJ153" i="2"/>
  <c r="FJ201" i="2"/>
  <c r="FJ97" i="2"/>
  <c r="FJ36" i="2"/>
  <c r="FJ80" i="2"/>
  <c r="FJ56" i="2"/>
  <c r="FJ81" i="2"/>
  <c r="FJ99" i="2"/>
  <c r="FJ54" i="2"/>
  <c r="FJ43" i="2"/>
  <c r="FJ58" i="2"/>
  <c r="FJ129" i="2"/>
  <c r="FJ94" i="2"/>
  <c r="FJ38" i="2"/>
  <c r="FJ34" i="2"/>
  <c r="FJ149" i="2"/>
  <c r="FJ39" i="2"/>
  <c r="FJ193" i="2"/>
  <c r="FJ14" i="2"/>
  <c r="FJ13" i="2"/>
  <c r="FJ173" i="2"/>
  <c r="FJ77" i="2"/>
  <c r="FJ68" i="2"/>
  <c r="FJ156" i="2"/>
  <c r="FJ24" i="2"/>
  <c r="FJ33" i="2"/>
  <c r="FJ188" i="2"/>
  <c r="FJ131" i="2"/>
  <c r="FJ111" i="2"/>
  <c r="FJ184" i="2"/>
  <c r="FJ152" i="2"/>
  <c r="FJ19" i="2"/>
  <c r="FJ114" i="2"/>
  <c r="FJ143" i="2"/>
  <c r="FJ74" i="2"/>
  <c r="FJ64" i="2"/>
  <c r="FJ85" i="2"/>
  <c r="FJ15" i="2"/>
  <c r="FJ167" i="2"/>
  <c r="FJ169" i="2"/>
  <c r="FJ100" i="2"/>
  <c r="FJ133" i="2"/>
  <c r="FJ46" i="2"/>
  <c r="FJ182" i="2"/>
  <c r="FJ78" i="2"/>
  <c r="FJ181" i="2"/>
  <c r="FJ98" i="2"/>
  <c r="FJ109" i="2"/>
  <c r="FJ20" i="2"/>
  <c r="FJ158" i="2"/>
  <c r="FJ87" i="2"/>
  <c r="FJ96" i="2"/>
  <c r="FJ115" i="2"/>
  <c r="FJ11" i="2"/>
  <c r="FJ63" i="2"/>
  <c r="FJ137" i="2"/>
  <c r="FJ154" i="2"/>
  <c r="FJ177" i="2"/>
  <c r="FJ199" i="2"/>
  <c r="FJ102" i="2"/>
  <c r="FJ23" i="2"/>
  <c r="FJ155" i="2"/>
  <c r="FJ122" i="2"/>
  <c r="FJ26" i="2"/>
  <c r="FJ40" i="2"/>
  <c r="FJ65" i="2"/>
  <c r="FJ185" i="2"/>
  <c r="FJ91" i="2"/>
  <c r="FJ69" i="2"/>
  <c r="FJ118" i="2"/>
  <c r="FJ49" i="2"/>
  <c r="FJ144" i="2"/>
  <c r="FJ37" i="2"/>
  <c r="FJ45" i="2"/>
  <c r="FJ171" i="2"/>
  <c r="FJ194" i="2"/>
  <c r="FJ95" i="2"/>
  <c r="FJ134" i="2"/>
  <c r="FJ132" i="2"/>
  <c r="FJ105" i="2"/>
  <c r="FJ89" i="2"/>
  <c r="FJ178" i="2"/>
  <c r="FJ31" i="2"/>
  <c r="FJ191" i="2"/>
  <c r="FJ16" i="2"/>
  <c r="FJ25" i="2"/>
  <c r="FJ107" i="2"/>
  <c r="FJ130" i="2"/>
  <c r="FJ17" i="2"/>
  <c r="FJ5" i="2"/>
  <c r="FJ72" i="2"/>
  <c r="FJ59" i="2"/>
  <c r="FJ70" i="2"/>
  <c r="FJ62" i="2"/>
  <c r="FJ187" i="2"/>
  <c r="FJ101" i="2"/>
  <c r="FJ44" i="2"/>
  <c r="FJ139" i="2"/>
  <c r="FJ6" i="2"/>
  <c r="FJ9" i="2"/>
  <c r="FJ164" i="2"/>
  <c r="FJ180" i="2"/>
  <c r="FJ110" i="2"/>
  <c r="FJ159" i="2"/>
  <c r="FJ120" i="2"/>
  <c r="FJ27" i="2"/>
  <c r="FJ104" i="2"/>
  <c r="FJ113" i="2"/>
  <c r="FJ142" i="2"/>
  <c r="FJ141" i="2"/>
  <c r="FJ12" i="2"/>
  <c r="FJ67" i="2"/>
  <c r="FJ117" i="2"/>
  <c r="FJ42" i="2"/>
  <c r="FJ119" i="2"/>
  <c r="FJ52" i="2"/>
  <c r="FJ82" i="2"/>
  <c r="FJ18" i="2"/>
  <c r="FJ165" i="2"/>
  <c r="FJ189" i="2"/>
  <c r="FJ53" i="2"/>
  <c r="FJ30" i="2"/>
  <c r="FJ92" i="2"/>
  <c r="FJ170" i="2"/>
  <c r="FJ3" i="2"/>
  <c r="C13" i="4" s="1"/>
  <c r="E13" i="4" s="1"/>
  <c r="F13" i="4" s="1"/>
  <c r="G13" i="4" s="1"/>
  <c r="L13" i="4" s="1"/>
  <c r="FJ175" i="2"/>
  <c r="FJ79" i="2"/>
  <c r="FJ183" i="2"/>
  <c r="FJ66" i="2"/>
  <c r="FJ126" i="2"/>
  <c r="FJ7" i="2"/>
  <c r="FJ190" i="2"/>
  <c r="FJ29" i="2"/>
  <c r="FJ4" i="2"/>
  <c r="FJ163" i="2"/>
  <c r="FJ32" i="2"/>
  <c r="FJ84" i="2"/>
  <c r="FJ197" i="2"/>
  <c r="FJ192" i="2"/>
  <c r="FJ168" i="2"/>
  <c r="FJ41" i="2"/>
  <c r="FJ123" i="2"/>
  <c r="FJ22" i="2"/>
  <c r="FJ161" i="2"/>
  <c r="FJ202" i="2"/>
  <c r="FJ147" i="2"/>
  <c r="FJ127" i="2"/>
  <c r="FJ28" i="2"/>
  <c r="FJ203" i="2"/>
  <c r="FJ76" i="2"/>
  <c r="FJ93" i="2"/>
  <c r="FJ157" i="2"/>
  <c r="FJ200" i="2"/>
  <c r="FJ21" i="2"/>
  <c r="FJ148" i="2"/>
  <c r="FJ128" i="2"/>
  <c r="FJ83" i="2"/>
  <c r="FJ8" i="2"/>
  <c r="CY24" i="2"/>
  <c r="CY167" i="2"/>
  <c r="CY49" i="2"/>
  <c r="CY145" i="2"/>
  <c r="CY63" i="2"/>
  <c r="CY55" i="2"/>
  <c r="CY122" i="2"/>
  <c r="CY34" i="2"/>
  <c r="CY191" i="2"/>
  <c r="CY190" i="2"/>
  <c r="CY51" i="2"/>
  <c r="CY199" i="2"/>
  <c r="CY23" i="2"/>
  <c r="CY15" i="2"/>
  <c r="CY134" i="2"/>
  <c r="CY82" i="2"/>
  <c r="CY149" i="2"/>
  <c r="CY66" i="2"/>
  <c r="CY98" i="2"/>
  <c r="CY45" i="2"/>
  <c r="CY135" i="2"/>
  <c r="CY92" i="2"/>
  <c r="CY139" i="2"/>
  <c r="CY41" i="2"/>
  <c r="CY130" i="2"/>
  <c r="CY52" i="2"/>
  <c r="CY85" i="2"/>
  <c r="CY81" i="2"/>
  <c r="CY13" i="2"/>
  <c r="CY114" i="2"/>
  <c r="CY97" i="2"/>
  <c r="CY62" i="2"/>
  <c r="CY29" i="2"/>
  <c r="CY17" i="2"/>
  <c r="CY165" i="2"/>
  <c r="CY18" i="2"/>
  <c r="CY177" i="2"/>
  <c r="CY9" i="2"/>
  <c r="CY75" i="2"/>
  <c r="CY158" i="2"/>
  <c r="CY7" i="2"/>
  <c r="CY30" i="2"/>
  <c r="CY176" i="2"/>
  <c r="CY14" i="2"/>
  <c r="CY86" i="2"/>
  <c r="CY54" i="2"/>
  <c r="CY169" i="2"/>
  <c r="CY155" i="2"/>
  <c r="CY95" i="2"/>
  <c r="CY143" i="2"/>
  <c r="CY203" i="2"/>
  <c r="CY202" i="2"/>
  <c r="CY172" i="2"/>
  <c r="CY26" i="2"/>
  <c r="CY118" i="2"/>
  <c r="CY125" i="2"/>
  <c r="CY137" i="2"/>
  <c r="CY31" i="2"/>
  <c r="CY65" i="2"/>
  <c r="CY120" i="2"/>
  <c r="CY119" i="2"/>
  <c r="CY88" i="2"/>
  <c r="CY113" i="2"/>
  <c r="CY39" i="2"/>
  <c r="CY53" i="2"/>
  <c r="CY61" i="2"/>
  <c r="CY40" i="2"/>
  <c r="CY22" i="2"/>
  <c r="CY184" i="2"/>
  <c r="CY196" i="2"/>
  <c r="CY96" i="2"/>
  <c r="CY6" i="2"/>
  <c r="CY5" i="2"/>
  <c r="CY87" i="2"/>
  <c r="CY141" i="2"/>
  <c r="CY89" i="2"/>
  <c r="CY25" i="2"/>
  <c r="CY36" i="2"/>
  <c r="CY43" i="2"/>
  <c r="CY144" i="2"/>
  <c r="CY173" i="2"/>
  <c r="CY44" i="2"/>
  <c r="CY79" i="2"/>
  <c r="CY72" i="2"/>
  <c r="CY84" i="2"/>
  <c r="CY103" i="2"/>
  <c r="CY160" i="2"/>
  <c r="CY8" i="2"/>
  <c r="CY179" i="2"/>
  <c r="CY181" i="2"/>
  <c r="CY197" i="2"/>
  <c r="CY110" i="2"/>
  <c r="CY170" i="2"/>
  <c r="CY189" i="2"/>
  <c r="CY148" i="2"/>
  <c r="CY131" i="2"/>
  <c r="CY166" i="2"/>
  <c r="CY106" i="2"/>
  <c r="CY105" i="2"/>
  <c r="CY16" i="2"/>
  <c r="CY28" i="2"/>
  <c r="CY161" i="2"/>
  <c r="CY164" i="2"/>
  <c r="CY21" i="2"/>
  <c r="CY70" i="2"/>
  <c r="CY83" i="2"/>
  <c r="CY48" i="2"/>
  <c r="CY32" i="2"/>
  <c r="CY188" i="2"/>
  <c r="CY90" i="2"/>
  <c r="CY67" i="2"/>
  <c r="CY42" i="2"/>
  <c r="CY185" i="2"/>
  <c r="CY80" i="2"/>
  <c r="CY107" i="2"/>
  <c r="CY4" i="2"/>
  <c r="CY74" i="2"/>
  <c r="CY152" i="2"/>
  <c r="CY93" i="2"/>
  <c r="CY162" i="2"/>
  <c r="CY33" i="2"/>
  <c r="CY146" i="2"/>
  <c r="CY3" i="2"/>
  <c r="C10" i="4" s="1"/>
  <c r="E10" i="4" s="1"/>
  <c r="F10" i="4" s="1"/>
  <c r="G10" i="4" s="1"/>
  <c r="L10" i="4" s="1"/>
  <c r="CY163" i="2"/>
  <c r="CY94" i="2"/>
  <c r="CY112" i="2"/>
  <c r="CY101" i="2"/>
  <c r="CY12" i="2"/>
  <c r="CY151" i="2"/>
  <c r="CY58" i="2"/>
  <c r="CY195" i="2"/>
  <c r="CY126" i="2"/>
  <c r="CY99" i="2"/>
  <c r="CY128" i="2"/>
  <c r="CY91" i="2"/>
  <c r="CY69" i="2"/>
  <c r="CY27" i="2"/>
  <c r="CY68" i="2"/>
  <c r="CY168" i="2"/>
  <c r="CY136" i="2"/>
  <c r="CY200" i="2"/>
  <c r="CY186" i="2"/>
  <c r="CY133" i="2"/>
  <c r="CY198" i="2"/>
  <c r="CY50" i="2"/>
  <c r="CY194" i="2"/>
  <c r="CY201" i="2"/>
  <c r="CY46" i="2"/>
  <c r="CY153" i="2"/>
  <c r="CY35" i="2"/>
  <c r="CY77" i="2"/>
  <c r="CY47" i="2"/>
  <c r="CY71" i="2"/>
  <c r="CY123" i="2"/>
  <c r="CY37" i="2"/>
  <c r="CY121" i="2"/>
  <c r="CY124" i="2"/>
  <c r="CY76" i="2"/>
  <c r="CY178" i="2"/>
  <c r="CY142" i="2"/>
  <c r="CY73" i="2"/>
  <c r="CY111" i="2"/>
  <c r="CY104" i="2"/>
  <c r="CY109" i="2"/>
  <c r="CY60" i="2"/>
  <c r="CY100" i="2"/>
  <c r="CY154" i="2"/>
  <c r="CY116" i="2"/>
  <c r="CY132" i="2"/>
  <c r="CY192" i="2"/>
  <c r="CY115" i="2"/>
  <c r="CY127" i="2"/>
  <c r="CY102" i="2"/>
  <c r="CY11" i="2"/>
  <c r="CY159" i="2"/>
  <c r="CY78" i="2"/>
  <c r="CY57" i="2"/>
  <c r="CY175" i="2"/>
  <c r="CY19" i="2"/>
  <c r="CY117" i="2"/>
  <c r="CY129" i="2"/>
  <c r="CY59" i="2"/>
  <c r="CY38" i="2"/>
  <c r="CY10" i="2"/>
  <c r="CY156" i="2"/>
  <c r="CY108" i="2"/>
  <c r="CY182" i="2"/>
  <c r="CY20" i="2"/>
  <c r="CY150" i="2"/>
  <c r="CY56" i="2"/>
  <c r="CY187" i="2"/>
  <c r="CY64" i="2"/>
  <c r="CY183" i="2"/>
  <c r="CY157" i="2"/>
  <c r="CY138" i="2"/>
  <c r="CY171" i="2"/>
  <c r="CY193" i="2"/>
  <c r="CY180" i="2"/>
  <c r="CY140" i="2"/>
  <c r="CY174" i="2"/>
  <c r="CY147" i="2"/>
  <c r="CD60" i="2"/>
  <c r="CD70" i="2"/>
  <c r="CD130" i="2"/>
  <c r="CD176" i="2"/>
  <c r="CD102" i="2"/>
  <c r="CD168" i="2"/>
  <c r="CD190" i="2"/>
  <c r="CD98" i="2"/>
  <c r="CD95" i="2"/>
  <c r="CD122" i="2"/>
  <c r="CD32" i="2"/>
  <c r="CD146" i="2"/>
  <c r="CD74" i="2"/>
  <c r="CD111" i="2"/>
  <c r="CD174" i="2"/>
  <c r="CD105" i="2"/>
  <c r="CD172" i="2"/>
  <c r="CD183" i="2"/>
  <c r="CD6" i="2"/>
  <c r="CD189" i="2"/>
  <c r="CD69" i="2"/>
  <c r="CD45" i="2"/>
  <c r="CD62" i="2"/>
  <c r="CD197" i="2"/>
  <c r="CD29" i="2"/>
  <c r="CD77" i="2"/>
  <c r="CD202" i="2"/>
  <c r="CD72" i="2"/>
  <c r="CD171" i="2"/>
  <c r="CD90" i="2"/>
  <c r="CD35" i="2"/>
  <c r="CD50" i="2"/>
  <c r="CD106" i="2"/>
  <c r="CD129" i="2"/>
  <c r="CD141" i="2"/>
  <c r="CD18" i="2"/>
  <c r="CD125" i="2"/>
  <c r="CD103" i="2"/>
  <c r="CD89" i="2"/>
  <c r="CD3" i="2"/>
  <c r="C9" i="4" s="1"/>
  <c r="E9" i="4" s="1"/>
  <c r="F9" i="4" s="1"/>
  <c r="G9" i="4" s="1"/>
  <c r="L9" i="4" s="1"/>
  <c r="CD179" i="2"/>
  <c r="CD91" i="2"/>
  <c r="CD148" i="2"/>
  <c r="CD120" i="2"/>
  <c r="CD19" i="2"/>
  <c r="CD51" i="2"/>
  <c r="CD127" i="2"/>
  <c r="CD75" i="2"/>
  <c r="CD8" i="2"/>
  <c r="CD44" i="2"/>
  <c r="CD55" i="2"/>
  <c r="CD85" i="2"/>
  <c r="CD180" i="2"/>
  <c r="CD97" i="2"/>
  <c r="CD203" i="2"/>
  <c r="CD158" i="2"/>
  <c r="CD41" i="2"/>
  <c r="CD28" i="2"/>
  <c r="CD57" i="2"/>
  <c r="CD166" i="2"/>
  <c r="CD26" i="2"/>
  <c r="CD36" i="2"/>
  <c r="CD73" i="2"/>
  <c r="CD192" i="2"/>
  <c r="CD22" i="2"/>
  <c r="CD126" i="2"/>
  <c r="CD151" i="2"/>
  <c r="CD160" i="2"/>
  <c r="CD119" i="2"/>
  <c r="CD143" i="2"/>
  <c r="CD124" i="2"/>
  <c r="CD78" i="2"/>
  <c r="CD132" i="2"/>
  <c r="CD150" i="2"/>
  <c r="CD135" i="2"/>
  <c r="CD30" i="2"/>
  <c r="CD200" i="2"/>
  <c r="CD118" i="2"/>
  <c r="CD138" i="2"/>
  <c r="CD54" i="2"/>
  <c r="CD24" i="2"/>
  <c r="CD42" i="2"/>
  <c r="CD152" i="2"/>
  <c r="CD48" i="2"/>
  <c r="CD64" i="2"/>
  <c r="CD145" i="2"/>
  <c r="CD31" i="2"/>
  <c r="CD186" i="2"/>
  <c r="CD121" i="2"/>
  <c r="CD161" i="2"/>
  <c r="CD34" i="2"/>
  <c r="CD43" i="2"/>
  <c r="CD83" i="2"/>
  <c r="CD115" i="2"/>
  <c r="CD194" i="2"/>
  <c r="CD170" i="2"/>
  <c r="CD80" i="2"/>
  <c r="CD4" i="2"/>
  <c r="CD112" i="2"/>
  <c r="CD67" i="2"/>
  <c r="CD100" i="2"/>
  <c r="CD137" i="2"/>
  <c r="CD116" i="2"/>
  <c r="CD110" i="2"/>
  <c r="CD93" i="2"/>
  <c r="CD196" i="2"/>
  <c r="CD164" i="2"/>
  <c r="CD156" i="2"/>
  <c r="CD68" i="2"/>
  <c r="CD9" i="2"/>
  <c r="CD198" i="2"/>
  <c r="CD104" i="2"/>
  <c r="CD76" i="2"/>
  <c r="CD113" i="2"/>
  <c r="CD147" i="2"/>
  <c r="CD82" i="2"/>
  <c r="CD47" i="2"/>
  <c r="CD139" i="2"/>
  <c r="CD27" i="2"/>
  <c r="CD117" i="2"/>
  <c r="CD37" i="2"/>
  <c r="CD7" i="2"/>
  <c r="CD61" i="2"/>
  <c r="CD46" i="2"/>
  <c r="CD87" i="2"/>
  <c r="CD56" i="2"/>
  <c r="CD199" i="2"/>
  <c r="CD92" i="2"/>
  <c r="CD52" i="2"/>
  <c r="CD65" i="2"/>
  <c r="CD10" i="2"/>
  <c r="CD38" i="2"/>
  <c r="CD13" i="2"/>
  <c r="CD181" i="2"/>
  <c r="CD188" i="2"/>
  <c r="CD40" i="2"/>
  <c r="CD123" i="2"/>
  <c r="CD16" i="2"/>
  <c r="CD14" i="2"/>
  <c r="CD114" i="2"/>
  <c r="CD131" i="2"/>
  <c r="CD163" i="2"/>
  <c r="CD88" i="2"/>
  <c r="CD177" i="2"/>
  <c r="CD107" i="2"/>
  <c r="CD17" i="2"/>
  <c r="CD154" i="2"/>
  <c r="CD128" i="2"/>
  <c r="CD101" i="2"/>
  <c r="CD12" i="2"/>
  <c r="CD134" i="2"/>
  <c r="CD175" i="2"/>
  <c r="CD94" i="2"/>
  <c r="CD195" i="2"/>
  <c r="CD58" i="2"/>
  <c r="CD84" i="2"/>
  <c r="CD5" i="2"/>
  <c r="CD11" i="2"/>
  <c r="CD15" i="2"/>
  <c r="CD149" i="2"/>
  <c r="CD178" i="2"/>
  <c r="CD169" i="2"/>
  <c r="CD81" i="2"/>
  <c r="CD63" i="2"/>
  <c r="CD53" i="2"/>
  <c r="CD140" i="2"/>
  <c r="CD71" i="2"/>
  <c r="CD23" i="2"/>
  <c r="CD109" i="2"/>
  <c r="CD193" i="2"/>
  <c r="CD153" i="2"/>
  <c r="CD201" i="2"/>
  <c r="CD142" i="2"/>
  <c r="CD39" i="2"/>
  <c r="CD99" i="2"/>
  <c r="CD165" i="2"/>
  <c r="CD187" i="2"/>
  <c r="CD136" i="2"/>
  <c r="CD33" i="2"/>
  <c r="CD79" i="2"/>
  <c r="CD66" i="2"/>
  <c r="CD155" i="2"/>
  <c r="CD96" i="2"/>
  <c r="CD159" i="2"/>
  <c r="CD108" i="2"/>
  <c r="CD184" i="2"/>
  <c r="CD162" i="2"/>
  <c r="CD21" i="2"/>
  <c r="CD49" i="2"/>
  <c r="CD173" i="2"/>
  <c r="CD182" i="2"/>
  <c r="CD20" i="2"/>
  <c r="CD86" i="2"/>
  <c r="CD191" i="2"/>
  <c r="CD25" i="2"/>
  <c r="CD59" i="2"/>
  <c r="CD133" i="2"/>
  <c r="CD185" i="2"/>
  <c r="CD157" i="2"/>
  <c r="CD167" i="2"/>
  <c r="CD144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52" i="2"/>
  <c r="BI192" i="2"/>
  <c r="BI38" i="2"/>
  <c r="BI28" i="2"/>
  <c r="BI133" i="2"/>
  <c r="BI170" i="2"/>
  <c r="BI134" i="2"/>
  <c r="BI51" i="2"/>
  <c r="BI153" i="2"/>
  <c r="BI76" i="2"/>
  <c r="BI35" i="2"/>
  <c r="BI127" i="2"/>
  <c r="BI162" i="2"/>
  <c r="BI121" i="2"/>
  <c r="BI11" i="2"/>
  <c r="BI77" i="2"/>
  <c r="BI166" i="2"/>
  <c r="BI143" i="2"/>
  <c r="BI164" i="2"/>
  <c r="BI52" i="2"/>
  <c r="BI13" i="2"/>
  <c r="BI113" i="2"/>
  <c r="BI191" i="2"/>
  <c r="BI176" i="2"/>
  <c r="BI53" i="2"/>
  <c r="BI6" i="2"/>
  <c r="BI74" i="2"/>
  <c r="BI57" i="2"/>
  <c r="BI105" i="2"/>
  <c r="BI79" i="2"/>
  <c r="BI169" i="2"/>
  <c r="BI64" i="2"/>
  <c r="BI167" i="2"/>
  <c r="BI10" i="2"/>
  <c r="BI7" i="2"/>
  <c r="BI173" i="2"/>
  <c r="BI98" i="2"/>
  <c r="BI195" i="2"/>
  <c r="BI181" i="2"/>
  <c r="BI95" i="2"/>
  <c r="BI37" i="2"/>
  <c r="BI203" i="2"/>
  <c r="BI31" i="2"/>
  <c r="BI186" i="2"/>
  <c r="BI23" i="2"/>
  <c r="BI81" i="2"/>
  <c r="BI194" i="2"/>
  <c r="BI145" i="2"/>
  <c r="BI26" i="2"/>
  <c r="BI101" i="2"/>
  <c r="BI122" i="2"/>
  <c r="BI58" i="2"/>
  <c r="BI200" i="2"/>
  <c r="BI142" i="2"/>
  <c r="BI36" i="2"/>
  <c r="BI107" i="2"/>
  <c r="BI72" i="2"/>
  <c r="BI85" i="2"/>
  <c r="BI43" i="2"/>
  <c r="BI180" i="2"/>
  <c r="BI91" i="2"/>
  <c r="BI155" i="2"/>
  <c r="BI116" i="2"/>
  <c r="BI174" i="2"/>
  <c r="BI125" i="2"/>
  <c r="BI89" i="2"/>
  <c r="BI27" i="2"/>
  <c r="BI110" i="2"/>
  <c r="BI157" i="2"/>
  <c r="BI151" i="2"/>
  <c r="BI63" i="2"/>
  <c r="BI70" i="2"/>
  <c r="BI54" i="2"/>
  <c r="BI86" i="2"/>
  <c r="BI45" i="2"/>
  <c r="BI130" i="2"/>
  <c r="BI109" i="2"/>
  <c r="BI179" i="2"/>
  <c r="BI159" i="2"/>
  <c r="BI172" i="2"/>
  <c r="BI106" i="2"/>
  <c r="BI15" i="2"/>
  <c r="BI139" i="2"/>
  <c r="BI39" i="2"/>
  <c r="BI61" i="2"/>
  <c r="BI24" i="2"/>
  <c r="BI178" i="2"/>
  <c r="BI41" i="2"/>
  <c r="BI25" i="2"/>
  <c r="BI97" i="2"/>
  <c r="BI184" i="2"/>
  <c r="BI34" i="2"/>
  <c r="BI156" i="2"/>
  <c r="BI119" i="2"/>
  <c r="BI88" i="2"/>
  <c r="BI55" i="2"/>
  <c r="BI171" i="2"/>
  <c r="BI111" i="2"/>
  <c r="BI177" i="2"/>
  <c r="BI148" i="2"/>
  <c r="BI115" i="2"/>
  <c r="BI30" i="2"/>
  <c r="BI123" i="2"/>
  <c r="BI16" i="2"/>
  <c r="BI198" i="2"/>
  <c r="BI80" i="2"/>
  <c r="BI118" i="2"/>
  <c r="BI56" i="2"/>
  <c r="BI8" i="2"/>
  <c r="BI69" i="2"/>
  <c r="BI138" i="2"/>
  <c r="BI120" i="2"/>
  <c r="BI114" i="2"/>
  <c r="BI12" i="2"/>
  <c r="BI112" i="2"/>
  <c r="BI202" i="2"/>
  <c r="BI78" i="2"/>
  <c r="BI104" i="2"/>
  <c r="BI154" i="2"/>
  <c r="BI190" i="2"/>
  <c r="BI21" i="2"/>
  <c r="BI83" i="2"/>
  <c r="BI17" i="2"/>
  <c r="BI141" i="2"/>
  <c r="BI189" i="2"/>
  <c r="BI137" i="2"/>
  <c r="BI5" i="2"/>
  <c r="BI197" i="2"/>
  <c r="BI193" i="2"/>
  <c r="BI175" i="2"/>
  <c r="BI187" i="2"/>
  <c r="BI82" i="2"/>
  <c r="BI158" i="2"/>
  <c r="BI99" i="2"/>
  <c r="BI44" i="2"/>
  <c r="BI182" i="2"/>
  <c r="BI102" i="2"/>
  <c r="BI62" i="2"/>
  <c r="BI33" i="2"/>
  <c r="BI65" i="2"/>
  <c r="BI46" i="2"/>
  <c r="BI48" i="2"/>
  <c r="BI136" i="2"/>
  <c r="BI100" i="2"/>
  <c r="BI126" i="2"/>
  <c r="BI32" i="2"/>
  <c r="BI124" i="2"/>
  <c r="BI71" i="2"/>
  <c r="BI87" i="2"/>
  <c r="BI132" i="2"/>
  <c r="BI60" i="2"/>
  <c r="BI140" i="2"/>
  <c r="BI129" i="2"/>
  <c r="BI68" i="2"/>
  <c r="BI183" i="2"/>
  <c r="BI135" i="2"/>
  <c r="BI20" i="2"/>
  <c r="BI201" i="2"/>
  <c r="BI188" i="2"/>
  <c r="BI18" i="2"/>
  <c r="BI59" i="2"/>
  <c r="BI199" i="2"/>
  <c r="BI196" i="2"/>
  <c r="BI22" i="2"/>
  <c r="BI14" i="2"/>
  <c r="BI42" i="2"/>
  <c r="BI73" i="2"/>
  <c r="BI75" i="2"/>
  <c r="BI165" i="2"/>
  <c r="BI150" i="2"/>
  <c r="BI144" i="2"/>
  <c r="BI147" i="2"/>
  <c r="BI29" i="2"/>
  <c r="BI160" i="2"/>
  <c r="BI3" i="2"/>
  <c r="C8" i="4" s="1"/>
  <c r="E8" i="4" s="1"/>
  <c r="F8" i="4" s="1"/>
  <c r="G8" i="4" s="1"/>
  <c r="L8" i="4" s="1"/>
  <c r="BI93" i="2"/>
  <c r="BI92" i="2"/>
  <c r="BI90" i="2"/>
  <c r="BI84" i="2"/>
  <c r="BI94" i="2"/>
  <c r="BI49" i="2"/>
  <c r="BI117" i="2"/>
  <c r="BI149" i="2"/>
  <c r="BI9" i="2"/>
  <c r="BI103" i="2"/>
  <c r="BI185" i="2"/>
  <c r="BI108" i="2"/>
  <c r="BI40" i="2"/>
  <c r="BI168" i="2"/>
  <c r="BI66" i="2"/>
  <c r="BI131" i="2"/>
  <c r="BI146" i="2"/>
  <c r="BI128" i="2"/>
  <c r="BI19" i="2"/>
  <c r="BI4" i="2"/>
  <c r="BI50" i="2"/>
  <c r="BI96" i="2"/>
  <c r="BI67" i="2"/>
  <c r="BI161" i="2"/>
  <c r="BI163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<sst xmlns="http://schemas.openxmlformats.org/spreadsheetml/2006/main" count="1177" uniqueCount="324">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</sst>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2247680"/>
        <c:axId val="1362244960"/>
      </c:scatterChart>
      <c:valAx>
        <c:axId val="13622476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2244960"/>
        <c:crosses val="autoZero"/>
        <c:crossBetween val="midCat"/>
      </c:valAx>
      <c:valAx>
        <c:axId val="136224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22476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7577664"/>
        <c:axId val="1201487728"/>
      </c:scatterChart>
      <c:valAx>
        <c:axId val="1387577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01487728"/>
        <c:crosses val="autoZero"/>
        <c:crossBetween val="midCat"/>
      </c:valAx>
      <c:valAx>
        <c:axId val="120148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77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67.141068601994363</c:v>
                </c:pt>
                <c:pt idx="17">
                  <c:v>84.965895845508868</c:v>
                </c:pt>
                <c:pt idx="18">
                  <c:v>102.69609677832152</c:v>
                </c:pt>
                <c:pt idx="19">
                  <c:v>120.35039026570223</c:v>
                </c:pt>
                <c:pt idx="20">
                  <c:v>137.94151075020798</c:v>
                </c:pt>
                <c:pt idx="21">
                  <c:v>155.47866232925674</c:v>
                </c:pt>
                <c:pt idx="22">
                  <c:v>172.96879566591463</c:v>
                </c:pt>
                <c:pt idx="23">
                  <c:v>118.91172145652443</c:v>
                </c:pt>
                <c:pt idx="24">
                  <c:v>133.60360008678595</c:v>
                </c:pt>
                <c:pt idx="25">
                  <c:v>151.40834557678431</c:v>
                </c:pt>
                <c:pt idx="26">
                  <c:v>169.16318954630938</c:v>
                </c:pt>
                <c:pt idx="27">
                  <c:v>186.87411053311584</c:v>
                </c:pt>
                <c:pt idx="28">
                  <c:v>158.76051047616974</c:v>
                </c:pt>
                <c:pt idx="29">
                  <c:v>175.59896515661092</c:v>
                </c:pt>
                <c:pt idx="30">
                  <c:v>192.39950654022343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242.60830522574884</c:v>
                </c:pt>
                <c:pt idx="34">
                  <c:v>203.58097513744312</c:v>
                </c:pt>
                <c:pt idx="35">
                  <c:v>220.02792534458783</c:v>
                </c:pt>
                <c:pt idx="36">
                  <c:v>236.44664825214025</c:v>
                </c:pt>
                <c:pt idx="37">
                  <c:v>252.83938003643593</c:v>
                </c:pt>
                <c:pt idx="38">
                  <c:v>269.20804307840717</c:v>
                </c:pt>
                <c:pt idx="39">
                  <c:v>285.5543068085463</c:v>
                </c:pt>
                <c:pt idx="40">
                  <c:v>301.87963387321696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288.86291050410284</c:v>
                </c:pt>
                <c:pt idx="45">
                  <c:v>304.0589372536673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2245504"/>
        <c:axId val="1362246048"/>
      </c:scatterChart>
      <c:valAx>
        <c:axId val="1362245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2246048"/>
        <c:crosses val="autoZero"/>
        <c:crossBetween val="midCat"/>
      </c:valAx>
      <c:valAx>
        <c:axId val="136224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2245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1.8625843557207256</c:v>
                </c:pt>
                <c:pt idx="2">
                  <c:v>2.2368679024412863</c:v>
                </c:pt>
                <c:pt idx="3">
                  <c:v>2.6866492179798711</c:v>
                </c:pt>
                <c:pt idx="4">
                  <c:v>3.2272117563296319</c:v>
                </c:pt>
                <c:pt idx="5">
                  <c:v>3.8769432689866288</c:v>
                </c:pt>
                <c:pt idx="6">
                  <c:v>4.6579683002322065</c:v>
                </c:pt>
                <c:pt idx="7">
                  <c:v>5.5969099234659838</c:v>
                </c:pt>
                <c:pt idx="8">
                  <c:v>6.7258071969574091</c:v>
                </c:pt>
                <c:pt idx="9">
                  <c:v>8.0832202552750019</c:v>
                </c:pt>
                <c:pt idx="10">
                  <c:v>9.7155615097839831</c:v>
                </c:pt>
                <c:pt idx="11">
                  <c:v>11.678699338797957</c:v>
                </c:pt>
                <c:pt idx="12">
                  <c:v>14.039890183740511</c:v>
                </c:pt>
                <c:pt idx="13">
                  <c:v>16.880106468086609</c:v>
                </c:pt>
                <c:pt idx="14">
                  <c:v>20.29684162645091</c:v>
                </c:pt>
                <c:pt idx="15">
                  <c:v>24.407490261362529</c:v>
                </c:pt>
                <c:pt idx="16">
                  <c:v>32.907635773197036</c:v>
                </c:pt>
                <c:pt idx="17">
                  <c:v>41.346755741368533</c:v>
                </c:pt>
                <c:pt idx="18">
                  <c:v>49.739192528990579</c:v>
                </c:pt>
                <c:pt idx="19">
                  <c:v>58.09398456443639</c:v>
                </c:pt>
                <c:pt idx="20">
                  <c:v>66.417333418994247</c:v>
                </c:pt>
                <c:pt idx="21">
                  <c:v>77.441967614465526</c:v>
                </c:pt>
                <c:pt idx="22">
                  <c:v>88.426651906407798</c:v>
                </c:pt>
                <c:pt idx="23">
                  <c:v>99.377061600787158</c:v>
                </c:pt>
                <c:pt idx="24">
                  <c:v>110.29751340843019</c:v>
                </c:pt>
                <c:pt idx="25">
                  <c:v>121.19139637760985</c:v>
                </c:pt>
                <c:pt idx="26">
                  <c:v>133.22010811070734</c:v>
                </c:pt>
                <c:pt idx="27">
                  <c:v>145.22262077530925</c:v>
                </c:pt>
                <c:pt idx="28">
                  <c:v>157.2014069988642</c:v>
                </c:pt>
                <c:pt idx="29">
                  <c:v>169.15853110924755</c:v>
                </c:pt>
                <c:pt idx="30">
                  <c:v>181.09574130339482</c:v>
                </c:pt>
                <c:pt idx="31">
                  <c:v>193.61160868417244</c:v>
                </c:pt>
                <c:pt idx="32">
                  <c:v>206.10866481795074</c:v>
                </c:pt>
                <c:pt idx="33">
                  <c:v>218.58821163438859</c:v>
                </c:pt>
                <c:pt idx="34">
                  <c:v>231.05139012994758</c:v>
                </c:pt>
                <c:pt idx="35">
                  <c:v>243.49920805733234</c:v>
                </c:pt>
                <c:pt idx="36">
                  <c:v>255.72097081473225</c:v>
                </c:pt>
                <c:pt idx="37">
                  <c:v>267.92952023808192</c:v>
                </c:pt>
                <c:pt idx="38">
                  <c:v>280.12554349916218</c:v>
                </c:pt>
                <c:pt idx="39">
                  <c:v>292.30966301714238</c:v>
                </c:pt>
                <c:pt idx="40">
                  <c:v>304.48244506277183</c:v>
                </c:pt>
                <c:pt idx="41">
                  <c:v>230.28033468735839</c:v>
                </c:pt>
                <c:pt idx="42">
                  <c:v>240.82429571231623</c:v>
                </c:pt>
                <c:pt idx="43">
                  <c:v>251.35775155630714</c:v>
                </c:pt>
                <c:pt idx="44">
                  <c:v>261.88120481450557</c:v>
                </c:pt>
                <c:pt idx="45">
                  <c:v>272.39511435983792</c:v>
                </c:pt>
                <c:pt idx="46">
                  <c:v>282.94330685717</c:v>
                </c:pt>
                <c:pt idx="47">
                  <c:v>293.48269205008432</c:v>
                </c:pt>
                <c:pt idx="48">
                  <c:v>304.01363099033426</c:v>
                </c:pt>
                <c:pt idx="49">
                  <c:v>314.53645765908169</c:v>
                </c:pt>
                <c:pt idx="50">
                  <c:v>325.0514818538644</c:v>
                </c:pt>
                <c:pt idx="51">
                  <c:v>335.52164638380555</c:v>
                </c:pt>
                <c:pt idx="52">
                  <c:v>345.98461565572052</c:v>
                </c:pt>
                <c:pt idx="53">
                  <c:v>356.44063803525324</c:v>
                </c:pt>
                <c:pt idx="54">
                  <c:v>366.88994612096343</c:v>
                </c:pt>
                <c:pt idx="55">
                  <c:v>377.33275817548969</c:v>
                </c:pt>
                <c:pt idx="56">
                  <c:v>303.62162704485723</c:v>
                </c:pt>
                <c:pt idx="57">
                  <c:v>313.02074512103746</c:v>
                </c:pt>
                <c:pt idx="58">
                  <c:v>322.41360481297227</c:v>
                </c:pt>
                <c:pt idx="59">
                  <c:v>331.80041427586929</c:v>
                </c:pt>
                <c:pt idx="60">
                  <c:v>341.18136891823957</c:v>
                </c:pt>
                <c:pt idx="61">
                  <c:v>350.25424738959208</c:v>
                </c:pt>
                <c:pt idx="62">
                  <c:v>359.32197197804288</c:v>
                </c:pt>
                <c:pt idx="63">
                  <c:v>368.38469116414734</c:v>
                </c:pt>
                <c:pt idx="64">
                  <c:v>377.44254552239113</c:v>
                </c:pt>
                <c:pt idx="65">
                  <c:v>386.49566832591569</c:v>
                </c:pt>
                <c:pt idx="66">
                  <c:v>395.87908445864872</c:v>
                </c:pt>
                <c:pt idx="67">
                  <c:v>405.25768222321955</c:v>
                </c:pt>
                <c:pt idx="68">
                  <c:v>414.63158889889593</c:v>
                </c:pt>
                <c:pt idx="69">
                  <c:v>424.00092553802301</c:v>
                </c:pt>
                <c:pt idx="70">
                  <c:v>433.36580740450927</c:v>
                </c:pt>
                <c:pt idx="71">
                  <c:v>361.47871576743745</c:v>
                </c:pt>
                <c:pt idx="72">
                  <c:v>369.77142937831314</c:v>
                </c:pt>
                <c:pt idx="73">
                  <c:v>378.06008639815968</c:v>
                </c:pt>
                <c:pt idx="74">
                  <c:v>386.34478836589864</c:v>
                </c:pt>
                <c:pt idx="75">
                  <c:v>394.62563210758782</c:v>
                </c:pt>
                <c:pt idx="76">
                  <c:v>402.90075234516326</c:v>
                </c:pt>
                <c:pt idx="77">
                  <c:v>411.17219682331756</c:v>
                </c:pt>
                <c:pt idx="78">
                  <c:v>419.4400499559701</c:v>
                </c:pt>
                <c:pt idx="79">
                  <c:v>427.70439255587036</c:v>
                </c:pt>
                <c:pt idx="80">
                  <c:v>435.96530205636054</c:v>
                </c:pt>
                <c:pt idx="81">
                  <c:v>371.46988201085668</c:v>
                </c:pt>
                <c:pt idx="82">
                  <c:v>379.50877077071749</c:v>
                </c:pt>
                <c:pt idx="83">
                  <c:v>387.54395482565002</c:v>
                </c:pt>
                <c:pt idx="84">
                  <c:v>395.57552187186116</c:v>
                </c:pt>
                <c:pt idx="85">
                  <c:v>403.60355575163453</c:v>
                </c:pt>
                <c:pt idx="86">
                  <c:v>411.51072833078229</c:v>
                </c:pt>
                <c:pt idx="87">
                  <c:v>419.41462185111681</c:v>
                </c:pt>
                <c:pt idx="88">
                  <c:v>427.31530685792421</c:v>
                </c:pt>
                <c:pt idx="89">
                  <c:v>435.21285107356476</c:v>
                </c:pt>
                <c:pt idx="90">
                  <c:v>443.1073195607309</c:v>
                </c:pt>
                <c:pt idx="91">
                  <c:v>451.20383495126947</c:v>
                </c:pt>
                <c:pt idx="92">
                  <c:v>459.29724346525336</c:v>
                </c:pt>
                <c:pt idx="93">
                  <c:v>467.38760759476827</c:v>
                </c:pt>
                <c:pt idx="94">
                  <c:v>475.4749874910687</c:v>
                </c:pt>
                <c:pt idx="95">
                  <c:v>483.55944109145031</c:v>
                </c:pt>
                <c:pt idx="96">
                  <c:v>229.35062889324948</c:v>
                </c:pt>
                <c:pt idx="97">
                  <c:v>235.28223388039854</c:v>
                </c:pt>
                <c:pt idx="98">
                  <c:v>241.21042753302376</c:v>
                </c:pt>
                <c:pt idx="99">
                  <c:v>247.13530565539068</c:v>
                </c:pt>
                <c:pt idx="100">
                  <c:v>253.05695907583291</c:v>
                </c:pt>
                <c:pt idx="101">
                  <c:v>258.66113667178968</c:v>
                </c:pt>
                <c:pt idx="102">
                  <c:v>264.26257008695558</c:v>
                </c:pt>
                <c:pt idx="103">
                  <c:v>269.86132578718241</c:v>
                </c:pt>
                <c:pt idx="104">
                  <c:v>275.45746725107102</c:v>
                </c:pt>
                <c:pt idx="105">
                  <c:v>281.05105516357071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2246592"/>
        <c:axId val="1387578208"/>
      </c:scatterChart>
      <c:valAx>
        <c:axId val="13622465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78208"/>
        <c:crosses val="autoZero"/>
        <c:crossBetween val="midCat"/>
      </c:valAx>
      <c:valAx>
        <c:axId val="138757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622465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7581472"/>
        <c:axId val="1387576576"/>
      </c:scatterChart>
      <c:valAx>
        <c:axId val="13875814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76576"/>
        <c:crosses val="autoZero"/>
        <c:crossBetween val="midCat"/>
      </c:valAx>
      <c:valAx>
        <c:axId val="1387576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814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164.57801198230447</c:v>
                </c:pt>
                <c:pt idx="32">
                  <c:v>175.31799361293915</c:v>
                </c:pt>
                <c:pt idx="33">
                  <c:v>186.04252831212725</c:v>
                </c:pt>
                <c:pt idx="34">
                  <c:v>196.75263281402923</c:v>
                </c:pt>
                <c:pt idx="35">
                  <c:v>207.44920399039486</c:v>
                </c:pt>
                <c:pt idx="36">
                  <c:v>218.13303856852312</c:v>
                </c:pt>
                <c:pt idx="37">
                  <c:v>228.80484877789547</c:v>
                </c:pt>
                <c:pt idx="38">
                  <c:v>239.46527492078837</c:v>
                </c:pt>
                <c:pt idx="39">
                  <c:v>250.11489558446848</c:v>
                </c:pt>
                <c:pt idx="40">
                  <c:v>260.75423602111408</c:v>
                </c:pt>
                <c:pt idx="41">
                  <c:v>273.0472896688355</c:v>
                </c:pt>
                <c:pt idx="42">
                  <c:v>285.32790448844588</c:v>
                </c:pt>
                <c:pt idx="43">
                  <c:v>297.59669148533732</c:v>
                </c:pt>
                <c:pt idx="44">
                  <c:v>309.85420715072837</c:v>
                </c:pt>
                <c:pt idx="45">
                  <c:v>322.10096033563519</c:v>
                </c:pt>
                <c:pt idx="46">
                  <c:v>334.337418024199</c:v>
                </c:pt>
                <c:pt idx="47">
                  <c:v>346.56401021725725</c:v>
                </c:pt>
                <c:pt idx="48">
                  <c:v>358.78113409048046</c:v>
                </c:pt>
                <c:pt idx="49">
                  <c:v>370.98915755637017</c:v>
                </c:pt>
                <c:pt idx="50">
                  <c:v>383.18842233279247</c:v>
                </c:pt>
                <c:pt idx="51">
                  <c:v>395.37924660026175</c:v>
                </c:pt>
                <c:pt idx="52">
                  <c:v>236.25024475085775</c:v>
                </c:pt>
                <c:pt idx="53">
                  <c:v>247.59615286649509</c:v>
                </c:pt>
                <c:pt idx="54">
                  <c:v>258.93026223231527</c:v>
                </c:pt>
                <c:pt idx="55">
                  <c:v>270.25316238981276</c:v>
                </c:pt>
                <c:pt idx="56">
                  <c:v>281.56538941412128</c:v>
                </c:pt>
                <c:pt idx="57">
                  <c:v>292.67919777140111</c:v>
                </c:pt>
                <c:pt idx="58">
                  <c:v>303.78358590566432</c:v>
                </c:pt>
                <c:pt idx="59">
                  <c:v>314.87894685838472</c:v>
                </c:pt>
                <c:pt idx="60">
                  <c:v>325.96564369687235</c:v>
                </c:pt>
                <c:pt idx="61">
                  <c:v>337.04401276379787</c:v>
                </c:pt>
                <c:pt idx="62">
                  <c:v>252.21456919520065</c:v>
                </c:pt>
                <c:pt idx="63">
                  <c:v>262.44542146430354</c:v>
                </c:pt>
                <c:pt idx="64">
                  <c:v>272.66727459691896</c:v>
                </c:pt>
                <c:pt idx="65">
                  <c:v>282.88051374655532</c:v>
                </c:pt>
                <c:pt idx="66">
                  <c:v>293.08549396442709</c:v>
                </c:pt>
                <c:pt idx="67">
                  <c:v>303.28254354108338</c:v>
                </c:pt>
                <c:pt idx="68">
                  <c:v>313.7582524161748</c:v>
                </c:pt>
                <c:pt idx="69">
                  <c:v>324.22620744324928</c:v>
                </c:pt>
                <c:pt idx="70">
                  <c:v>334.68669438075665</c:v>
                </c:pt>
                <c:pt idx="71">
                  <c:v>345.13997965752452</c:v>
                </c:pt>
                <c:pt idx="72">
                  <c:v>355.58631223872879</c:v>
                </c:pt>
                <c:pt idx="73">
                  <c:v>366.02592526105173</c:v>
                </c:pt>
                <c:pt idx="74">
                  <c:v>281.81632883541465</c:v>
                </c:pt>
                <c:pt idx="75">
                  <c:v>291.28277988050218</c:v>
                </c:pt>
                <c:pt idx="76">
                  <c:v>300.74236004002955</c:v>
                </c:pt>
                <c:pt idx="77">
                  <c:v>310.19531605992978</c:v>
                </c:pt>
                <c:pt idx="78">
                  <c:v>319.6418784088774</c:v>
                </c:pt>
                <c:pt idx="79">
                  <c:v>329.08226281184676</c:v>
                </c:pt>
                <c:pt idx="80">
                  <c:v>338.69481657281045</c:v>
                </c:pt>
                <c:pt idx="81">
                  <c:v>348.30136779641316</c:v>
                </c:pt>
                <c:pt idx="82">
                  <c:v>357.90210547556245</c:v>
                </c:pt>
                <c:pt idx="83">
                  <c:v>367.4972076306401</c:v>
                </c:pt>
                <c:pt idx="84">
                  <c:v>377.08684222260217</c:v>
                </c:pt>
                <c:pt idx="85">
                  <c:v>386.67116796831169</c:v>
                </c:pt>
                <c:pt idx="86">
                  <c:v>310.20302068238681</c:v>
                </c:pt>
                <c:pt idx="87">
                  <c:v>318.8834575745966</c:v>
                </c:pt>
                <c:pt idx="88">
                  <c:v>327.55866418727186</c:v>
                </c:pt>
                <c:pt idx="89">
                  <c:v>336.22879868133299</c:v>
                </c:pt>
                <c:pt idx="90">
                  <c:v>344.89401038910336</c:v>
                </c:pt>
                <c:pt idx="91">
                  <c:v>353.55444052140359</c:v>
                </c:pt>
                <c:pt idx="92">
                  <c:v>362.31388021108495</c:v>
                </c:pt>
                <c:pt idx="93">
                  <c:v>371.06869139569397</c:v>
                </c:pt>
                <c:pt idx="94">
                  <c:v>379.81899874468553</c:v>
                </c:pt>
                <c:pt idx="95">
                  <c:v>388.56492071108028</c:v>
                </c:pt>
                <c:pt idx="96">
                  <c:v>397.30656997742784</c:v>
                </c:pt>
                <c:pt idx="97">
                  <c:v>406.04405386046113</c:v>
                </c:pt>
                <c:pt idx="98">
                  <c:v>334.39312563623599</c:v>
                </c:pt>
                <c:pt idx="99">
                  <c:v>342.24703403704694</c:v>
                </c:pt>
                <c:pt idx="100">
                  <c:v>350.09698079823966</c:v>
                </c:pt>
                <c:pt idx="101">
                  <c:v>357.94306734951579</c:v>
                </c:pt>
                <c:pt idx="102">
                  <c:v>365.78539030752978</c:v>
                </c:pt>
                <c:pt idx="103">
                  <c:v>373.62404180484191</c:v>
                </c:pt>
                <c:pt idx="104">
                  <c:v>381.51151922303683</c:v>
                </c:pt>
                <c:pt idx="105">
                  <c:v>389.39545073608269</c:v>
                </c:pt>
                <c:pt idx="106">
                  <c:v>397.27591831089302</c:v>
                </c:pt>
                <c:pt idx="107">
                  <c:v>405.15300039508821</c:v>
                </c:pt>
                <c:pt idx="108">
                  <c:v>413.02677213508372</c:v>
                </c:pt>
                <c:pt idx="109">
                  <c:v>420.89730557667332</c:v>
                </c:pt>
                <c:pt idx="110">
                  <c:v>347.56231546624463</c:v>
                </c:pt>
                <c:pt idx="111">
                  <c:v>354.64786759228599</c:v>
                </c:pt>
                <c:pt idx="112">
                  <c:v>361.73031893174402</c:v>
                </c:pt>
                <c:pt idx="113">
                  <c:v>368.80973881426394</c:v>
                </c:pt>
                <c:pt idx="114">
                  <c:v>375.88619368839096</c:v>
                </c:pt>
                <c:pt idx="115">
                  <c:v>382.95974729448511</c:v>
                </c:pt>
                <c:pt idx="116">
                  <c:v>390.02023951163716</c:v>
                </c:pt>
                <c:pt idx="117">
                  <c:v>397.07795839700174</c:v>
                </c:pt>
                <c:pt idx="118">
                  <c:v>404.13296023549515</c:v>
                </c:pt>
                <c:pt idx="119">
                  <c:v>411.18529918508108</c:v>
                </c:pt>
                <c:pt idx="120">
                  <c:v>418.235027393054</c:v>
                </c:pt>
                <c:pt idx="121">
                  <c:v>425.28219510406774</c:v>
                </c:pt>
                <c:pt idx="122">
                  <c:v>223.15332793340841</c:v>
                </c:pt>
                <c:pt idx="123">
                  <c:v>228.35256653094197</c:v>
                </c:pt>
                <c:pt idx="124">
                  <c:v>233.54909656198762</c:v>
                </c:pt>
                <c:pt idx="125">
                  <c:v>238.74298690714286</c:v>
                </c:pt>
                <c:pt idx="126">
                  <c:v>243.93430319999132</c:v>
                </c:pt>
                <c:pt idx="127">
                  <c:v>248.62911644730306</c:v>
                </c:pt>
                <c:pt idx="128">
                  <c:v>253.3219181823894</c:v>
                </c:pt>
                <c:pt idx="129">
                  <c:v>258.01275099580977</c:v>
                </c:pt>
                <c:pt idx="130">
                  <c:v>262.70165580030124</c:v>
                </c:pt>
                <c:pt idx="131">
                  <c:v>267.38867192633211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7579840"/>
        <c:axId val="1387582016"/>
      </c:scatterChart>
      <c:valAx>
        <c:axId val="13875798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82016"/>
        <c:crosses val="autoZero"/>
        <c:crossBetween val="midCat"/>
      </c:valAx>
      <c:valAx>
        <c:axId val="138758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798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7582560"/>
        <c:axId val="1387580384"/>
      </c:scatterChart>
      <c:valAx>
        <c:axId val="1387582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80384"/>
        <c:crosses val="autoZero"/>
        <c:crossBetween val="midCat"/>
      </c:valAx>
      <c:valAx>
        <c:axId val="1387580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82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95.973754347721652</c:v>
                </c:pt>
                <c:pt idx="17">
                  <c:v>118.20964174983392</c:v>
                </c:pt>
                <c:pt idx="18">
                  <c:v>140.34313889366055</c:v>
                </c:pt>
                <c:pt idx="19">
                  <c:v>162.39271715740026</c:v>
                </c:pt>
                <c:pt idx="20">
                  <c:v>184.37139305479846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174.52697249791541</c:v>
                </c:pt>
                <c:pt idx="24">
                  <c:v>198.3597638396279</c:v>
                </c:pt>
                <c:pt idx="25">
                  <c:v>222.12608711761609</c:v>
                </c:pt>
                <c:pt idx="26">
                  <c:v>244.70632771903044</c:v>
                </c:pt>
                <c:pt idx="27">
                  <c:v>267.23921926263682</c:v>
                </c:pt>
                <c:pt idx="28">
                  <c:v>289.72931420493524</c:v>
                </c:pt>
                <c:pt idx="29">
                  <c:v>312.18040027213061</c:v>
                </c:pt>
                <c:pt idx="30">
                  <c:v>334.59567585759868</c:v>
                </c:pt>
                <c:pt idx="31">
                  <c:v>249.59230205465971</c:v>
                </c:pt>
                <c:pt idx="32">
                  <c:v>269.49008678800766</c:v>
                </c:pt>
                <c:pt idx="33">
                  <c:v>289.35480857103511</c:v>
                </c:pt>
                <c:pt idx="34">
                  <c:v>309.18905580466077</c:v>
                </c:pt>
                <c:pt idx="35">
                  <c:v>328.99505767197434</c:v>
                </c:pt>
                <c:pt idx="36">
                  <c:v>346.9098201406153</c:v>
                </c:pt>
                <c:pt idx="37">
                  <c:v>364.80427894845371</c:v>
                </c:pt>
                <c:pt idx="38">
                  <c:v>382.67956984614779</c:v>
                </c:pt>
                <c:pt idx="39">
                  <c:v>400.53671385047045</c:v>
                </c:pt>
                <c:pt idx="40">
                  <c:v>418.37663353903218</c:v>
                </c:pt>
                <c:pt idx="41">
                  <c:v>329.36849727470769</c:v>
                </c:pt>
                <c:pt idx="42">
                  <c:v>344.67160985755459</c:v>
                </c:pt>
                <c:pt idx="43">
                  <c:v>359.95980096859535</c:v>
                </c:pt>
                <c:pt idx="44">
                  <c:v>375.23379351840293</c:v>
                </c:pt>
                <c:pt idx="45">
                  <c:v>390.49424676672447</c:v>
                </c:pt>
                <c:pt idx="46">
                  <c:v>403.5112063253228</c:v>
                </c:pt>
                <c:pt idx="47">
                  <c:v>416.51908689232113</c:v>
                </c:pt>
                <c:pt idx="48">
                  <c:v>429.51821195249181</c:v>
                </c:pt>
                <c:pt idx="49">
                  <c:v>442.50888381337387</c:v>
                </c:pt>
                <c:pt idx="50">
                  <c:v>455.4913855857551</c:v>
                </c:pt>
                <c:pt idx="51">
                  <c:v>394.9582481771028</c:v>
                </c:pt>
                <c:pt idx="52">
                  <c:v>406.85694369927199</c:v>
                </c:pt>
                <c:pt idx="53">
                  <c:v>418.7481215104533</c:v>
                </c:pt>
                <c:pt idx="54">
                  <c:v>430.63202519963039</c:v>
                </c:pt>
                <c:pt idx="55">
                  <c:v>442.50888381337398</c:v>
                </c:pt>
                <c:pt idx="56">
                  <c:v>451.78291724664041</c:v>
                </c:pt>
                <c:pt idx="57">
                  <c:v>461.05288028198453</c:v>
                </c:pt>
                <c:pt idx="58">
                  <c:v>470.3188663227279</c:v>
                </c:pt>
                <c:pt idx="59">
                  <c:v>479.58096479059606</c:v>
                </c:pt>
                <c:pt idx="60">
                  <c:v>488.83926137072285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466.98356378402354</c:v>
                </c:pt>
                <c:pt idx="64">
                  <c:v>475.13563719240022</c:v>
                </c:pt>
                <c:pt idx="65">
                  <c:v>483.28473497109485</c:v>
                </c:pt>
                <c:pt idx="66">
                  <c:v>490.32024154627743</c:v>
                </c:pt>
                <c:pt idx="67">
                  <c:v>497.35360709544074</c:v>
                </c:pt>
                <c:pt idx="68">
                  <c:v>504.38486618031317</c:v>
                </c:pt>
                <c:pt idx="69">
                  <c:v>511.41405232000324</c:v>
                </c:pt>
                <c:pt idx="70">
                  <c:v>518.44119803666365</c:v>
                </c:pt>
                <c:pt idx="71">
                  <c:v>485.87701503548442</c:v>
                </c:pt>
                <c:pt idx="72">
                  <c:v>492.17133336598084</c:v>
                </c:pt>
                <c:pt idx="73">
                  <c:v>498.4639450680906</c:v>
                </c:pt>
                <c:pt idx="74">
                  <c:v>504.7548747369737</c:v>
                </c:pt>
                <c:pt idx="75">
                  <c:v>511.04414630438481</c:v>
                </c:pt>
                <c:pt idx="76">
                  <c:v>516.59214520035391</c:v>
                </c:pt>
                <c:pt idx="77">
                  <c:v>522.13888693652359</c:v>
                </c:pt>
                <c:pt idx="78">
                  <c:v>527.68438675921141</c:v>
                </c:pt>
                <c:pt idx="79">
                  <c:v>533.2286595679717</c:v>
                </c:pt>
                <c:pt idx="80">
                  <c:v>538.77171992708611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7583104"/>
        <c:axId val="1387578752"/>
      </c:scatterChart>
      <c:valAx>
        <c:axId val="1387583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78752"/>
        <c:crosses val="autoZero"/>
        <c:crossBetween val="midCat"/>
      </c:valAx>
      <c:valAx>
        <c:axId val="138757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83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7577120"/>
        <c:axId val="1387583648"/>
      </c:scatterChart>
      <c:valAx>
        <c:axId val="13875771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83648"/>
        <c:crosses val="autoZero"/>
        <c:crossBetween val="midCat"/>
      </c:valAx>
      <c:valAx>
        <c:axId val="138758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771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7580928"/>
        <c:axId val="1387579296"/>
      </c:scatterChart>
      <c:valAx>
        <c:axId val="13875809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79296"/>
        <c:crosses val="autoZero"/>
        <c:crossBetween val="midCat"/>
      </c:valAx>
      <c:valAx>
        <c:axId val="138757929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87580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25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25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25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25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25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25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25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25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25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25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25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25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25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25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25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25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25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25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07" zoomScale="80" zoomScaleNormal="80" workbookViewId="0">
      <selection activeCell="B141" sqref="B14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0" t="s">
        <v>190</v>
      </c>
      <c r="D1" s="290"/>
      <c r="E1" s="29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5" t="s">
        <v>192</v>
      </c>
      <c r="C3" s="296"/>
      <c r="D3" s="296"/>
      <c r="E3" s="296"/>
      <c r="F3" s="297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1" t="s">
        <v>231</v>
      </c>
      <c r="B5" s="301"/>
      <c r="C5" s="26">
        <v>20.3</v>
      </c>
      <c r="D5" s="302" t="s">
        <v>229</v>
      </c>
      <c r="E5" s="303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299" t="s">
        <v>226</v>
      </c>
      <c r="B7" s="299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0.26350000000000001</v>
      </c>
      <c r="D9" s="36">
        <f t="shared" ref="D9:D18" si="0">C9*$C$5</f>
        <v>5.3490500000000001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0.23649999999999999</v>
      </c>
      <c r="D10" s="36">
        <f t="shared" si="0"/>
        <v>4.8009500000000003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38</v>
      </c>
      <c r="C11" s="35">
        <v>0.1419</v>
      </c>
      <c r="D11" s="36">
        <f t="shared" si="0"/>
        <v>2.8805700000000001</v>
      </c>
      <c r="E11" s="37">
        <v>105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14</v>
      </c>
      <c r="C12" s="35">
        <v>0.10539999999999999</v>
      </c>
      <c r="D12" s="36">
        <f t="shared" si="0"/>
        <v>2.1396199999999999</v>
      </c>
      <c r="E12" s="37">
        <v>150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164</v>
      </c>
      <c r="C13" s="35">
        <v>9.4600000000000004E-2</v>
      </c>
      <c r="D13" s="36">
        <f t="shared" si="0"/>
        <v>1.9203800000000002</v>
      </c>
      <c r="E13" s="37">
        <v>131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52</v>
      </c>
      <c r="C14" s="35">
        <v>7.9100000000000004E-2</v>
      </c>
      <c r="D14" s="36">
        <f t="shared" si="0"/>
        <v>1.6057300000000001</v>
      </c>
      <c r="E14" s="37">
        <v>150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21</v>
      </c>
      <c r="C15" s="35">
        <v>5.2699999999999997E-2</v>
      </c>
      <c r="D15" s="36">
        <f t="shared" si="0"/>
        <v>1.0698099999999999</v>
      </c>
      <c r="E15" s="37">
        <v>80</v>
      </c>
      <c r="F15" s="38" t="str">
        <f t="array" ref="F15">IF(E15="","",IF(INDEX(A:A,MAX(IF(ISNUMBER($A$192:$A$211),ROW($A$192:$A$211),"")))&lt;&gt;E15,"Corrigez : révolution incorrecte","OK"))</f>
        <v>OK</v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</v>
      </c>
      <c r="C16" s="35">
        <v>2.63E-2</v>
      </c>
      <c r="D16" s="36">
        <f t="shared" si="0"/>
        <v>0.53388999999999998</v>
      </c>
      <c r="E16" s="37">
        <v>150</v>
      </c>
      <c r="F16" s="38" t="str">
        <f t="array" ref="F16">IF(E16="","",IF(INDEX(A:A,MAX(IF(ISNUMBER($A$218:$A$237),ROW($A$218:$A$237),"")))&lt;&gt;E16,"Corrigez : révolution incorrecte","OK"))</f>
        <v>OK</v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1</v>
      </c>
      <c r="D19" s="41">
        <f>SUM(D9:D18)</f>
        <v>20.300000000000004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8" t="s">
        <v>232</v>
      </c>
      <c r="B22" s="298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0" t="s">
        <v>227</v>
      </c>
      <c r="B30" s="300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1">
        <v>42</v>
      </c>
      <c r="C36" s="61"/>
      <c r="D36" s="61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1">
        <f>62+8</f>
        <v>70</v>
      </c>
      <c r="C37" s="61"/>
      <c r="D37" s="61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1">
        <f>76+8+21</f>
        <v>105</v>
      </c>
      <c r="C38" s="61">
        <v>1</v>
      </c>
      <c r="D38" s="61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1">
        <f>95+21</f>
        <v>116</v>
      </c>
      <c r="C39" s="61"/>
      <c r="D39" s="61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1">
        <f>116+21+21</f>
        <v>158</v>
      </c>
      <c r="C40" s="61">
        <v>2</v>
      </c>
      <c r="D40" s="61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1">
        <f>137+21</f>
        <v>158</v>
      </c>
      <c r="C41" s="61"/>
      <c r="D41" s="61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1">
        <f>157+21+21</f>
        <v>199</v>
      </c>
      <c r="C42" s="61">
        <v>3</v>
      </c>
      <c r="D42" s="61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55</v>
      </c>
      <c r="B43" s="61">
        <f>176+21</f>
        <v>197</v>
      </c>
      <c r="C43" s="61"/>
      <c r="D43" s="61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60</v>
      </c>
      <c r="B44" s="53">
        <v>235</v>
      </c>
      <c r="C44" s="53">
        <v>4</v>
      </c>
      <c r="D44" s="53"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>
        <v>65</v>
      </c>
      <c r="B45" s="53">
        <v>229</v>
      </c>
      <c r="C45" s="53"/>
      <c r="D45" s="5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>
        <v>70</v>
      </c>
      <c r="B46" s="53">
        <v>263</v>
      </c>
      <c r="C46" s="53">
        <v>5</v>
      </c>
      <c r="D46" s="53"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>
        <v>75</v>
      </c>
      <c r="B47" s="53">
        <v>252</v>
      </c>
      <c r="C47" s="53"/>
      <c r="D47" s="5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>
        <v>80</v>
      </c>
      <c r="B48" s="53">
        <v>282</v>
      </c>
      <c r="C48" s="53">
        <v>6</v>
      </c>
      <c r="D48" s="53"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>
        <v>90</v>
      </c>
      <c r="B49" s="53">
        <v>296</v>
      </c>
      <c r="C49" s="53">
        <v>7</v>
      </c>
      <c r="D49" s="53"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>
        <v>100</v>
      </c>
      <c r="B50" s="53">
        <v>303</v>
      </c>
      <c r="C50" s="53">
        <v>8</v>
      </c>
      <c r="D50" s="53"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>
        <v>110</v>
      </c>
      <c r="B51" s="53">
        <v>305</v>
      </c>
      <c r="C51" s="53">
        <v>9</v>
      </c>
      <c r="D51" s="53"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>
        <v>120</v>
      </c>
      <c r="B52" s="53">
        <v>303</v>
      </c>
      <c r="C52" s="53">
        <v>10</v>
      </c>
      <c r="D52" s="53"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>
        <v>130</v>
      </c>
      <c r="B53" s="53">
        <v>300</v>
      </c>
      <c r="C53" s="53">
        <v>11</v>
      </c>
      <c r="D53" s="53"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>
        <v>140</v>
      </c>
      <c r="B54" s="53">
        <v>296</v>
      </c>
      <c r="C54" s="53">
        <v>12</v>
      </c>
      <c r="D54" s="53"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>
        <v>150</v>
      </c>
      <c r="B55" s="53">
        <v>293</v>
      </c>
      <c r="C55" s="53">
        <v>13</v>
      </c>
      <c r="D55" s="53"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15</v>
      </c>
      <c r="B62" s="61">
        <f>46.42/1.3</f>
        <v>35.707692307692305</v>
      </c>
      <c r="C62" s="53"/>
      <c r="D62" s="61"/>
      <c r="E62" s="64"/>
      <c r="F62" s="64"/>
      <c r="G62" s="64"/>
      <c r="H62" s="64"/>
      <c r="I62" s="56">
        <f>IFERROR(B62/A62,"")</f>
        <v>2.3805128205128203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22</v>
      </c>
      <c r="B63" s="61">
        <f>168.98/1.3</f>
        <v>129.98461538461538</v>
      </c>
      <c r="C63" s="53">
        <v>1</v>
      </c>
      <c r="D63" s="61">
        <f>68.57/1.3</f>
        <v>52.746153846153838</v>
      </c>
      <c r="E63" s="64"/>
      <c r="F63" s="64"/>
      <c r="G63" s="64">
        <v>0.5</v>
      </c>
      <c r="H63" s="64">
        <v>0.5</v>
      </c>
      <c r="I63" s="52">
        <f>IF(A63&lt;&gt;0,(B63-(B62-D62))/(A63-A62),"")</f>
        <v>13.468131868131868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24</v>
      </c>
      <c r="B64" s="61">
        <f>129.64/1.3</f>
        <v>99.723076923076903</v>
      </c>
      <c r="C64" s="53"/>
      <c r="D64" s="61"/>
      <c r="E64" s="64"/>
      <c r="F64" s="64"/>
      <c r="G64" s="64"/>
      <c r="H64" s="64"/>
      <c r="I64" s="52">
        <f>IF(A64&lt;&gt;0,(B64-(B63-D63))/(A64-A63),"")</f>
        <v>11.242307692307683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8">
        <v>27</v>
      </c>
      <c r="B65" s="58">
        <v>140.71538461538461</v>
      </c>
      <c r="C65" s="58">
        <v>2</v>
      </c>
      <c r="D65" s="58">
        <v>34.646153846153844</v>
      </c>
      <c r="E65" s="64"/>
      <c r="F65" s="64">
        <v>0.2</v>
      </c>
      <c r="G65" s="64">
        <v>0.4</v>
      </c>
      <c r="H65" s="64">
        <v>0.4</v>
      </c>
      <c r="I65" s="52">
        <f>IF(A65&lt;&gt;0,(B65-(B64-D64))/(A65-A64),"")</f>
        <v>13.664102564102569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8">
        <v>30</v>
      </c>
      <c r="B66" s="58">
        <v>144.98461538461538</v>
      </c>
      <c r="C66" s="58"/>
      <c r="D66" s="58"/>
      <c r="E66" s="64"/>
      <c r="F66" s="64"/>
      <c r="G66" s="64"/>
      <c r="H66" s="64"/>
      <c r="I66" s="52">
        <f t="shared" ref="I66:I81" si="2">IF(A66&lt;&gt;0,(B66-(B65-D65))/(A66-A65),"")</f>
        <v>12.971794871794875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8">
        <v>33</v>
      </c>
      <c r="B67" s="58">
        <v>183.89999999999998</v>
      </c>
      <c r="C67" s="58">
        <v>3</v>
      </c>
      <c r="D67" s="58">
        <v>43.007692307692302</v>
      </c>
      <c r="E67" s="64"/>
      <c r="F67" s="64"/>
      <c r="G67" s="64"/>
      <c r="H67" s="64"/>
      <c r="I67" s="52">
        <f t="shared" si="2"/>
        <v>12.971794871794865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8">
        <v>41</v>
      </c>
      <c r="B68" s="58">
        <v>242.81538461538463</v>
      </c>
      <c r="C68" s="58">
        <v>4</v>
      </c>
      <c r="D68" s="58">
        <v>58.484615384615381</v>
      </c>
      <c r="E68" s="64"/>
      <c r="F68" s="64"/>
      <c r="G68" s="64"/>
      <c r="H68" s="64"/>
      <c r="I68" s="52">
        <f t="shared" si="2"/>
        <v>12.74038461538462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8">
        <v>50</v>
      </c>
      <c r="B69" s="58">
        <v>291.0846153846154</v>
      </c>
      <c r="C69" s="58">
        <v>5</v>
      </c>
      <c r="D69" s="58">
        <v>55.292307692307688</v>
      </c>
      <c r="E69" s="64"/>
      <c r="F69" s="64"/>
      <c r="G69" s="64"/>
      <c r="H69" s="64"/>
      <c r="I69" s="52">
        <f t="shared" si="2"/>
        <v>11.861538461538462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8">
        <v>60</v>
      </c>
      <c r="B70" s="58">
        <v>342.42307692307691</v>
      </c>
      <c r="C70" s="58">
        <v>6</v>
      </c>
      <c r="D70" s="58">
        <v>54.261538461538464</v>
      </c>
      <c r="E70" s="64"/>
      <c r="F70" s="64"/>
      <c r="G70" s="64"/>
      <c r="H70" s="64"/>
      <c r="I70" s="52">
        <f t="shared" si="2"/>
        <v>10.66307692307692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8">
        <v>70</v>
      </c>
      <c r="B71" s="58">
        <v>379.99230769230769</v>
      </c>
      <c r="C71" s="58">
        <v>7</v>
      </c>
      <c r="D71" s="58">
        <v>52.669230769230765</v>
      </c>
      <c r="E71" s="64"/>
      <c r="F71" s="64"/>
      <c r="G71" s="64"/>
      <c r="H71" s="64"/>
      <c r="I71" s="52">
        <f t="shared" si="2"/>
        <v>9.1830769230769249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8">
        <v>80</v>
      </c>
      <c r="B72" s="58">
        <v>402.90769230769229</v>
      </c>
      <c r="C72" s="58">
        <v>8</v>
      </c>
      <c r="D72" s="58">
        <v>402.90769230769229</v>
      </c>
      <c r="E72" s="64"/>
      <c r="F72" s="64"/>
      <c r="G72" s="64"/>
      <c r="H72" s="64"/>
      <c r="I72" s="52">
        <f t="shared" si="2"/>
        <v>7.5584615384615343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noir d'Autriche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15</v>
      </c>
      <c r="B88" s="61">
        <f>22.55/1.3</f>
        <v>17.346153846153847</v>
      </c>
      <c r="C88" s="61"/>
      <c r="D88" s="61"/>
      <c r="E88" s="54"/>
      <c r="F88" s="54"/>
      <c r="G88" s="54"/>
      <c r="H88" s="64"/>
      <c r="I88" s="56">
        <f>IFERROR(B88/A88,"")</f>
        <v>1.1564102564102565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20</v>
      </c>
      <c r="B89" s="61">
        <f>63.22/1.3</f>
        <v>48.630769230769225</v>
      </c>
      <c r="C89" s="61"/>
      <c r="D89" s="61"/>
      <c r="E89" s="64"/>
      <c r="F89" s="64"/>
      <c r="G89" s="64"/>
      <c r="H89" s="64"/>
      <c r="I89" s="56">
        <f t="shared" ref="I89:I107" si="3">IF(A89&lt;&gt;0,(B89-(B88-D88))/(A89-A88),"")</f>
        <v>6.2569230769230755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25</v>
      </c>
      <c r="B90" s="61">
        <f>117.29/1.3</f>
        <v>90.223076923076931</v>
      </c>
      <c r="C90" s="61"/>
      <c r="D90" s="61"/>
      <c r="E90" s="64"/>
      <c r="F90" s="64"/>
      <c r="G90" s="64"/>
      <c r="H90" s="64"/>
      <c r="I90" s="56">
        <f t="shared" si="3"/>
        <v>8.3184615384615412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f>177.13/1.3</f>
        <v>136.25384615384615</v>
      </c>
      <c r="C91" s="61"/>
      <c r="D91" s="61"/>
      <c r="E91" s="64"/>
      <c r="F91" s="64"/>
      <c r="G91" s="64"/>
      <c r="H91" s="64"/>
      <c r="I91" s="56">
        <f t="shared" si="3"/>
        <v>9.2061538461538444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35</v>
      </c>
      <c r="B92" s="61">
        <f>239.97/1.3</f>
        <v>184.59230769230768</v>
      </c>
      <c r="C92" s="61"/>
      <c r="D92" s="61"/>
      <c r="E92" s="64"/>
      <c r="F92" s="64"/>
      <c r="G92" s="64"/>
      <c r="H92" s="64"/>
      <c r="I92" s="56">
        <f t="shared" si="3"/>
        <v>9.667692307692306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40</v>
      </c>
      <c r="B93" s="61">
        <f>301.74/1.3</f>
        <v>232.1076923076923</v>
      </c>
      <c r="C93" s="61">
        <v>1</v>
      </c>
      <c r="D93" s="61">
        <f>85.76/1.3</f>
        <v>65.969230769230776</v>
      </c>
      <c r="E93" s="64"/>
      <c r="F93" s="64"/>
      <c r="G93" s="64"/>
      <c r="H93" s="64"/>
      <c r="I93" s="56">
        <f t="shared" si="3"/>
        <v>9.5030769230769234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45</v>
      </c>
      <c r="B94" s="61">
        <f>269.2/1.3</f>
        <v>207.07692307692307</v>
      </c>
      <c r="C94" s="61"/>
      <c r="D94" s="61"/>
      <c r="E94" s="64"/>
      <c r="F94" s="64"/>
      <c r="G94" s="64"/>
      <c r="H94" s="64"/>
      <c r="I94" s="56">
        <f t="shared" si="3"/>
        <v>8.1876923076923109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8">
        <v>50</v>
      </c>
      <c r="B95" s="58">
        <v>248.18461538461537</v>
      </c>
      <c r="C95" s="58"/>
      <c r="D95" s="58"/>
      <c r="E95" s="64"/>
      <c r="F95" s="64"/>
      <c r="G95" s="64"/>
      <c r="H95" s="64"/>
      <c r="I95" s="56">
        <f t="shared" si="3"/>
        <v>8.2215384615384615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8">
        <v>55</v>
      </c>
      <c r="B96" s="58">
        <v>289.14615384615382</v>
      </c>
      <c r="C96" s="58">
        <v>2</v>
      </c>
      <c r="D96" s="58">
        <v>65.053846153846152</v>
      </c>
      <c r="E96" s="64"/>
      <c r="F96" s="64"/>
      <c r="G96" s="64"/>
      <c r="H96" s="64"/>
      <c r="I96" s="56">
        <f t="shared" si="3"/>
        <v>8.1923076923076898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8">
        <v>60</v>
      </c>
      <c r="B97" s="58">
        <v>260.80769230769232</v>
      </c>
      <c r="C97" s="58"/>
      <c r="D97" s="58"/>
      <c r="E97" s="64"/>
      <c r="F97" s="64"/>
      <c r="G97" s="64"/>
      <c r="H97" s="64"/>
      <c r="I97" s="56">
        <f t="shared" si="3"/>
        <v>7.343076923076933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8">
        <v>65</v>
      </c>
      <c r="B98" s="58">
        <v>296.33846153846156</v>
      </c>
      <c r="C98" s="58"/>
      <c r="D98" s="58"/>
      <c r="E98" s="64"/>
      <c r="F98" s="64"/>
      <c r="G98" s="64"/>
      <c r="H98" s="64"/>
      <c r="I98" s="56">
        <f t="shared" si="3"/>
        <v>7.1061538461538474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8">
        <v>70</v>
      </c>
      <c r="B99" s="58">
        <v>333.18461538461537</v>
      </c>
      <c r="C99" s="58">
        <v>3</v>
      </c>
      <c r="D99" s="58">
        <v>62.976923076923079</v>
      </c>
      <c r="E99" s="64"/>
      <c r="F99" s="64"/>
      <c r="G99" s="64"/>
      <c r="H99" s="64"/>
      <c r="I99" s="56">
        <f t="shared" si="3"/>
        <v>7.3692307692307626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8">
        <v>75</v>
      </c>
      <c r="B100" s="58">
        <v>302.72307692307692</v>
      </c>
      <c r="C100" s="58"/>
      <c r="D100" s="58"/>
      <c r="E100" s="65"/>
      <c r="F100" s="65"/>
      <c r="G100" s="65"/>
      <c r="H100" s="65"/>
      <c r="I100" s="56">
        <f t="shared" si="3"/>
        <v>6.5030769230769234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92">
        <v>80</v>
      </c>
      <c r="B101" s="61">
        <f>435.8/1.3</f>
        <v>335.23076923076923</v>
      </c>
      <c r="C101" s="92">
        <v>4</v>
      </c>
      <c r="D101" s="61">
        <f>74.09/1.3</f>
        <v>56.992307692307691</v>
      </c>
      <c r="E101" s="57"/>
      <c r="F101" s="57"/>
      <c r="G101" s="57"/>
      <c r="H101" s="57"/>
      <c r="I101" s="56">
        <f t="shared" si="3"/>
        <v>6.5015384615384617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85</v>
      </c>
      <c r="B102" s="53">
        <v>309.77692307692303</v>
      </c>
      <c r="C102" s="53"/>
      <c r="D102" s="53"/>
      <c r="E102" s="57"/>
      <c r="F102" s="57"/>
      <c r="G102" s="57"/>
      <c r="H102" s="57"/>
      <c r="I102" s="56">
        <f t="shared" si="3"/>
        <v>6.3076923076922977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90</v>
      </c>
      <c r="B103" s="53">
        <v>340.85384615384618</v>
      </c>
      <c r="C103" s="53"/>
      <c r="D103" s="53"/>
      <c r="E103" s="57"/>
      <c r="F103" s="57"/>
      <c r="G103" s="57"/>
      <c r="H103" s="57"/>
      <c r="I103" s="56">
        <f t="shared" si="3"/>
        <v>6.2153846153846306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95</v>
      </c>
      <c r="B104" s="53">
        <v>372.73846153846154</v>
      </c>
      <c r="C104" s="53">
        <v>5</v>
      </c>
      <c r="D104" s="53">
        <v>203.73846153846154</v>
      </c>
      <c r="E104" s="57"/>
      <c r="F104" s="57"/>
      <c r="G104" s="57"/>
      <c r="H104" s="57"/>
      <c r="I104" s="56">
        <f t="shared" si="3"/>
        <v>6.376923076923072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100</v>
      </c>
      <c r="B105" s="53">
        <v>192.0230769230769</v>
      </c>
      <c r="C105" s="53"/>
      <c r="D105" s="53"/>
      <c r="E105" s="57"/>
      <c r="F105" s="57"/>
      <c r="G105" s="57"/>
      <c r="H105" s="57"/>
      <c r="I105" s="56">
        <f t="shared" si="3"/>
        <v>4.6046153846153803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105</v>
      </c>
      <c r="B106" s="53">
        <v>213.82307692307694</v>
      </c>
      <c r="C106" s="53">
        <v>6</v>
      </c>
      <c r="D106" s="53">
        <v>213.82307692307694</v>
      </c>
      <c r="E106" s="57"/>
      <c r="F106" s="57"/>
      <c r="G106" s="57"/>
      <c r="H106" s="57"/>
      <c r="I106" s="56">
        <f t="shared" si="3"/>
        <v>4.3600000000000083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sessile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v>42</v>
      </c>
      <c r="C114" s="61"/>
      <c r="D114" s="61"/>
      <c r="E114" s="54"/>
      <c r="F114" s="54"/>
      <c r="G114" s="54"/>
      <c r="H114" s="54"/>
      <c r="I114" s="56">
        <f>IFERROR(B114/A114,"")</f>
        <v>2.1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f>62+8</f>
        <v>70</v>
      </c>
      <c r="C115" s="61"/>
      <c r="D115" s="61"/>
      <c r="E115" s="54"/>
      <c r="F115" s="54"/>
      <c r="G115" s="54"/>
      <c r="H115" s="54"/>
      <c r="I115" s="56">
        <f t="shared" ref="I115:I133" si="4">IF(A115&lt;&gt;0,(B115-(B114-D114))/(A115-A114),"")</f>
        <v>5.6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f>76+8+21</f>
        <v>105</v>
      </c>
      <c r="C116" s="61">
        <v>1</v>
      </c>
      <c r="D116" s="61">
        <f>8+21</f>
        <v>29</v>
      </c>
      <c r="E116" s="54"/>
      <c r="F116" s="54"/>
      <c r="G116" s="54"/>
      <c r="H116" s="54">
        <v>1</v>
      </c>
      <c r="I116" s="56">
        <f t="shared" si="4"/>
        <v>7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f>95+21</f>
        <v>116</v>
      </c>
      <c r="C117" s="61"/>
      <c r="D117" s="61"/>
      <c r="E117" s="54"/>
      <c r="F117" s="54"/>
      <c r="G117" s="54"/>
      <c r="H117" s="54"/>
      <c r="I117" s="56">
        <f t="shared" si="4"/>
        <v>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f>116+21+21</f>
        <v>158</v>
      </c>
      <c r="C118" s="61">
        <v>2</v>
      </c>
      <c r="D118" s="61">
        <f>21+21</f>
        <v>42</v>
      </c>
      <c r="E118" s="54"/>
      <c r="F118" s="54"/>
      <c r="G118" s="54"/>
      <c r="H118" s="54"/>
      <c r="I118" s="56">
        <f t="shared" si="4"/>
        <v>8.4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f>137+21</f>
        <v>158</v>
      </c>
      <c r="C119" s="61"/>
      <c r="D119" s="61"/>
      <c r="E119" s="54"/>
      <c r="F119" s="54"/>
      <c r="G119" s="54"/>
      <c r="H119" s="54"/>
      <c r="I119" s="56">
        <f t="shared" si="4"/>
        <v>8.4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50</v>
      </c>
      <c r="B120" s="61">
        <f>157+21+21</f>
        <v>199</v>
      </c>
      <c r="C120" s="61">
        <v>3</v>
      </c>
      <c r="D120" s="61">
        <f>21+21</f>
        <v>42</v>
      </c>
      <c r="E120" s="54"/>
      <c r="F120" s="54"/>
      <c r="G120" s="54"/>
      <c r="H120" s="54"/>
      <c r="I120" s="56">
        <f t="shared" si="4"/>
        <v>8.1999999999999993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55</v>
      </c>
      <c r="B121" s="61">
        <f>176+21</f>
        <v>197</v>
      </c>
      <c r="C121" s="61"/>
      <c r="D121" s="61"/>
      <c r="E121" s="54"/>
      <c r="F121" s="54"/>
      <c r="G121" s="54"/>
      <c r="H121" s="54"/>
      <c r="I121" s="56">
        <f t="shared" si="4"/>
        <v>8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3">
        <v>60</v>
      </c>
      <c r="B122" s="53">
        <v>235</v>
      </c>
      <c r="C122" s="53">
        <v>4</v>
      </c>
      <c r="D122" s="53">
        <v>42</v>
      </c>
      <c r="E122" s="54"/>
      <c r="F122" s="54"/>
      <c r="G122" s="54"/>
      <c r="H122" s="54"/>
      <c r="I122" s="56">
        <f t="shared" si="4"/>
        <v>7.6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53">
        <v>65</v>
      </c>
      <c r="B123" s="53">
        <v>229</v>
      </c>
      <c r="C123" s="53"/>
      <c r="D123" s="53"/>
      <c r="E123" s="54"/>
      <c r="F123" s="54"/>
      <c r="G123" s="54"/>
      <c r="H123" s="54"/>
      <c r="I123" s="56">
        <f t="shared" si="4"/>
        <v>7.2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53">
        <v>70</v>
      </c>
      <c r="B124" s="53">
        <v>263</v>
      </c>
      <c r="C124" s="53">
        <v>5</v>
      </c>
      <c r="D124" s="53">
        <v>42</v>
      </c>
      <c r="E124" s="54"/>
      <c r="F124" s="54"/>
      <c r="G124" s="54"/>
      <c r="H124" s="54"/>
      <c r="I124" s="56">
        <f t="shared" si="4"/>
        <v>6.8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53">
        <v>75</v>
      </c>
      <c r="B125" s="53">
        <v>252</v>
      </c>
      <c r="C125" s="53"/>
      <c r="D125" s="53"/>
      <c r="E125" s="54"/>
      <c r="F125" s="54"/>
      <c r="G125" s="54"/>
      <c r="H125" s="54"/>
      <c r="I125" s="56">
        <f t="shared" si="4"/>
        <v>6.2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53">
        <v>80</v>
      </c>
      <c r="B126" s="53">
        <v>282</v>
      </c>
      <c r="C126" s="53">
        <v>6</v>
      </c>
      <c r="D126" s="53">
        <v>42</v>
      </c>
      <c r="E126" s="54"/>
      <c r="F126" s="54"/>
      <c r="G126" s="54"/>
      <c r="H126" s="54"/>
      <c r="I126" s="56">
        <f t="shared" si="4"/>
        <v>6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53">
        <v>90</v>
      </c>
      <c r="B127" s="53">
        <v>296</v>
      </c>
      <c r="C127" s="53">
        <v>7</v>
      </c>
      <c r="D127" s="53">
        <v>42</v>
      </c>
      <c r="E127" s="54"/>
      <c r="F127" s="54"/>
      <c r="G127" s="54"/>
      <c r="H127" s="54"/>
      <c r="I127" s="56">
        <f t="shared" si="4"/>
        <v>5.6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100</v>
      </c>
      <c r="B128" s="53">
        <v>303</v>
      </c>
      <c r="C128" s="53">
        <v>8</v>
      </c>
      <c r="D128" s="53">
        <v>42</v>
      </c>
      <c r="E128" s="54"/>
      <c r="F128" s="54"/>
      <c r="G128" s="54"/>
      <c r="H128" s="54"/>
      <c r="I128" s="56">
        <f t="shared" si="4"/>
        <v>4.9000000000000004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110</v>
      </c>
      <c r="B129" s="53">
        <v>305</v>
      </c>
      <c r="C129" s="53">
        <v>9</v>
      </c>
      <c r="D129" s="53">
        <v>39</v>
      </c>
      <c r="E129" s="54"/>
      <c r="F129" s="54"/>
      <c r="G129" s="54"/>
      <c r="H129" s="54"/>
      <c r="I129" s="56">
        <f t="shared" si="4"/>
        <v>4.4000000000000004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120</v>
      </c>
      <c r="B130" s="53">
        <v>303</v>
      </c>
      <c r="C130" s="53">
        <v>10</v>
      </c>
      <c r="D130" s="53">
        <v>35</v>
      </c>
      <c r="E130" s="54"/>
      <c r="F130" s="54"/>
      <c r="G130" s="54"/>
      <c r="H130" s="54"/>
      <c r="I130" s="56">
        <f t="shared" si="4"/>
        <v>3.7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130</v>
      </c>
      <c r="B131" s="53">
        <v>300</v>
      </c>
      <c r="C131" s="53">
        <v>11</v>
      </c>
      <c r="D131" s="53">
        <v>31</v>
      </c>
      <c r="E131" s="54"/>
      <c r="F131" s="54"/>
      <c r="G131" s="54"/>
      <c r="H131" s="54"/>
      <c r="I131" s="56">
        <f t="shared" si="4"/>
        <v>3.2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140</v>
      </c>
      <c r="B132" s="53">
        <v>296</v>
      </c>
      <c r="C132" s="53">
        <v>12</v>
      </c>
      <c r="D132" s="53">
        <v>27</v>
      </c>
      <c r="E132" s="54"/>
      <c r="F132" s="54"/>
      <c r="G132" s="54"/>
      <c r="H132" s="54"/>
      <c r="I132" s="56">
        <f t="shared" si="4"/>
        <v>2.7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150</v>
      </c>
      <c r="B133" s="53">
        <v>293</v>
      </c>
      <c r="C133" s="53">
        <v>13</v>
      </c>
      <c r="D133" s="53">
        <v>293</v>
      </c>
      <c r="E133" s="54"/>
      <c r="F133" s="54"/>
      <c r="G133" s="54"/>
      <c r="H133" s="54"/>
      <c r="I133" s="56">
        <f t="shared" si="4"/>
        <v>2.4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Cèdre de l'Atlas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30</v>
      </c>
      <c r="B140" s="61">
        <f>191.43/1.3</f>
        <v>147.25384615384615</v>
      </c>
      <c r="C140" s="53"/>
      <c r="D140" s="61"/>
      <c r="E140" s="54"/>
      <c r="F140" s="54"/>
      <c r="G140" s="54"/>
      <c r="H140" s="54"/>
      <c r="I140" s="59">
        <f>IFERROR(B140/A140,"")</f>
        <v>4.9084615384615384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40</v>
      </c>
      <c r="B141" s="61">
        <f>328.92/1.3</f>
        <v>253.01538461538462</v>
      </c>
      <c r="C141" s="53"/>
      <c r="D141" s="61"/>
      <c r="E141" s="54"/>
      <c r="F141" s="54"/>
      <c r="G141" s="54"/>
      <c r="H141" s="54"/>
      <c r="I141" s="59">
        <f t="shared" ref="I141:I159" si="5">IF(A141&lt;&gt;0,(B141-(B140-D140))/(A141-A140),"")</f>
        <v>10.576153846153847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51</v>
      </c>
      <c r="B142" s="61">
        <f>503.84/1.3</f>
        <v>387.56923076923073</v>
      </c>
      <c r="C142" s="53">
        <v>1</v>
      </c>
      <c r="D142" s="61">
        <f>221.21/1.3</f>
        <v>170.16153846153847</v>
      </c>
      <c r="E142" s="54"/>
      <c r="F142" s="54"/>
      <c r="G142" s="54"/>
      <c r="H142" s="54"/>
      <c r="I142" s="59">
        <f t="shared" si="5"/>
        <v>12.232167832167828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56</v>
      </c>
      <c r="B143" s="61">
        <f>355.85/1.3</f>
        <v>273.73076923076923</v>
      </c>
      <c r="C143" s="53"/>
      <c r="D143" s="61"/>
      <c r="E143" s="54"/>
      <c r="F143" s="54"/>
      <c r="G143" s="54"/>
      <c r="H143" s="54"/>
      <c r="I143" s="59">
        <f t="shared" si="5"/>
        <v>11.264615384615393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61</v>
      </c>
      <c r="B144" s="61">
        <f>427.85/1.3</f>
        <v>329.11538461538464</v>
      </c>
      <c r="C144" s="53">
        <v>2</v>
      </c>
      <c r="D144" s="61">
        <f>123.19/1.3</f>
        <v>94.76153846153845</v>
      </c>
      <c r="E144" s="54"/>
      <c r="F144" s="54"/>
      <c r="G144" s="54"/>
      <c r="H144" s="54"/>
      <c r="I144" s="59">
        <f t="shared" si="5"/>
        <v>11.076923076923084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67</v>
      </c>
      <c r="B145" s="61">
        <f>384/1.3</f>
        <v>295.38461538461536</v>
      </c>
      <c r="C145" s="53"/>
      <c r="D145" s="61"/>
      <c r="E145" s="54"/>
      <c r="F145" s="54"/>
      <c r="G145" s="54"/>
      <c r="H145" s="54"/>
      <c r="I145" s="59">
        <f t="shared" si="5"/>
        <v>10.171794871794864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73</v>
      </c>
      <c r="B146" s="61">
        <f>465.57/1.3</f>
        <v>358.1307692307692</v>
      </c>
      <c r="C146" s="53">
        <v>3</v>
      </c>
      <c r="D146" s="61">
        <f>121.66/1.3</f>
        <v>93.584615384615375</v>
      </c>
      <c r="E146" s="91"/>
      <c r="F146" s="91"/>
      <c r="G146" s="91"/>
      <c r="H146" s="91"/>
      <c r="I146" s="59">
        <f t="shared" si="5"/>
        <v>10.457692307692307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8">
        <v>79</v>
      </c>
      <c r="B147" s="58">
        <v>321.15384615384613</v>
      </c>
      <c r="C147" s="58"/>
      <c r="D147" s="58"/>
      <c r="E147" s="91"/>
      <c r="F147" s="91"/>
      <c r="G147" s="91"/>
      <c r="H147" s="91"/>
      <c r="I147" s="59">
        <f>IF(A147&lt;&gt;0,(B147-(B146-D146))/(A147-A146),"")</f>
        <v>9.4346153846153786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8">
        <v>85</v>
      </c>
      <c r="B148" s="58">
        <v>378.83076923076925</v>
      </c>
      <c r="C148" s="58">
        <v>4</v>
      </c>
      <c r="D148" s="58">
        <v>85.207692307692298</v>
      </c>
      <c r="E148" s="91"/>
      <c r="F148" s="91"/>
      <c r="G148" s="91"/>
      <c r="H148" s="91"/>
      <c r="I148" s="59">
        <f t="shared" si="5"/>
        <v>9.6128205128205195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8">
        <v>91</v>
      </c>
      <c r="B149" s="58">
        <v>345.63846153846151</v>
      </c>
      <c r="C149" s="58"/>
      <c r="D149" s="58"/>
      <c r="E149" s="91"/>
      <c r="F149" s="91"/>
      <c r="G149" s="91"/>
      <c r="H149" s="91"/>
      <c r="I149" s="59">
        <f t="shared" si="5"/>
        <v>8.6692307692307597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8">
        <v>97</v>
      </c>
      <c r="B150" s="58">
        <v>398.27692307692308</v>
      </c>
      <c r="C150" s="58">
        <v>5</v>
      </c>
      <c r="D150" s="58">
        <v>79.669230769230765</v>
      </c>
      <c r="E150" s="91"/>
      <c r="F150" s="91"/>
      <c r="G150" s="91"/>
      <c r="H150" s="91"/>
      <c r="I150" s="59">
        <f t="shared" si="5"/>
        <v>8.7730769230769283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8">
        <v>103</v>
      </c>
      <c r="B151" s="58">
        <v>365.74615384615385</v>
      </c>
      <c r="C151" s="58"/>
      <c r="D151" s="58"/>
      <c r="E151" s="91"/>
      <c r="F151" s="91"/>
      <c r="G151" s="91"/>
      <c r="H151" s="91"/>
      <c r="I151" s="59">
        <f t="shared" si="5"/>
        <v>7.8564102564102525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8">
        <v>109</v>
      </c>
      <c r="B152" s="58">
        <v>413.2</v>
      </c>
      <c r="C152" s="58">
        <v>6</v>
      </c>
      <c r="D152" s="58">
        <v>80.653846153846146</v>
      </c>
      <c r="E152" s="66"/>
      <c r="F152" s="66"/>
      <c r="G152" s="66"/>
      <c r="H152" s="66"/>
      <c r="I152" s="59">
        <f t="shared" si="5"/>
        <v>7.9089743589743575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92">
        <v>115</v>
      </c>
      <c r="B153" s="61">
        <f>487.64/1.3</f>
        <v>375.10769230769228</v>
      </c>
      <c r="C153" s="92"/>
      <c r="D153" s="61"/>
      <c r="E153" s="66"/>
      <c r="F153" s="66"/>
      <c r="G153" s="66"/>
      <c r="H153" s="66"/>
      <c r="I153" s="59">
        <f t="shared" si="5"/>
        <v>7.0935897435897362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3">
        <v>121</v>
      </c>
      <c r="B154" s="53">
        <v>417.60769230769228</v>
      </c>
      <c r="C154" s="53">
        <v>7</v>
      </c>
      <c r="D154" s="53">
        <v>207.07692307692307</v>
      </c>
      <c r="E154" s="57"/>
      <c r="F154" s="57"/>
      <c r="G154" s="57"/>
      <c r="H154" s="57"/>
      <c r="I154" s="59">
        <f t="shared" si="5"/>
        <v>7.083333333333333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3">
        <v>126</v>
      </c>
      <c r="B155" s="53">
        <v>236.29999999999998</v>
      </c>
      <c r="C155" s="53"/>
      <c r="D155" s="53"/>
      <c r="E155" s="57"/>
      <c r="F155" s="57"/>
      <c r="G155" s="57"/>
      <c r="H155" s="57"/>
      <c r="I155" s="59">
        <f t="shared" si="5"/>
        <v>5.1538461538461551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131</v>
      </c>
      <c r="B156" s="53">
        <v>259.61538461538458</v>
      </c>
      <c r="C156" s="53">
        <v>8</v>
      </c>
      <c r="D156" s="53">
        <v>259.61538461538458</v>
      </c>
      <c r="E156" s="57"/>
      <c r="F156" s="57"/>
      <c r="G156" s="57"/>
      <c r="H156" s="57"/>
      <c r="I156" s="59">
        <f t="shared" si="5"/>
        <v>4.66307692307692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/>
      <c r="B157" s="53"/>
      <c r="C157" s="53"/>
      <c r="D157" s="53"/>
      <c r="E157" s="54"/>
      <c r="F157" s="54"/>
      <c r="G157" s="54"/>
      <c r="H157" s="54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/>
      <c r="B158" s="53"/>
      <c r="C158" s="53"/>
      <c r="D158" s="53"/>
      <c r="E158" s="54"/>
      <c r="F158" s="54"/>
      <c r="G158" s="54"/>
      <c r="H158" s="54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/>
      <c r="B159" s="53"/>
      <c r="C159" s="53"/>
      <c r="D159" s="53"/>
      <c r="E159" s="54"/>
      <c r="F159" s="54"/>
      <c r="G159" s="54"/>
      <c r="H159" s="54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Cormier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1">
        <v>42</v>
      </c>
      <c r="C166" s="61"/>
      <c r="D166" s="61"/>
      <c r="E166" s="54"/>
      <c r="F166" s="54"/>
      <c r="G166" s="54"/>
      <c r="H166" s="54"/>
      <c r="I166" s="52">
        <f>IFERROR(B166/A166,"")</f>
        <v>2.1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25</v>
      </c>
      <c r="B167" s="61">
        <f>62+8</f>
        <v>70</v>
      </c>
      <c r="C167" s="61"/>
      <c r="D167" s="61"/>
      <c r="E167" s="54"/>
      <c r="F167" s="54"/>
      <c r="G167" s="54"/>
      <c r="H167" s="54"/>
      <c r="I167" s="52">
        <f t="shared" ref="I167:I185" si="6">IF(A167&lt;&gt;0,(B167-(B166-D166))/(A167-A166),"")</f>
        <v>5.6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30</v>
      </c>
      <c r="B168" s="61">
        <f>76+8+21</f>
        <v>105</v>
      </c>
      <c r="C168" s="61">
        <v>1</v>
      </c>
      <c r="D168" s="61">
        <f>8+21</f>
        <v>29</v>
      </c>
      <c r="E168" s="54"/>
      <c r="F168" s="54"/>
      <c r="G168" s="54"/>
      <c r="H168" s="54">
        <v>1</v>
      </c>
      <c r="I168" s="52">
        <f t="shared" si="6"/>
        <v>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35</v>
      </c>
      <c r="B169" s="61">
        <f>95+21</f>
        <v>116</v>
      </c>
      <c r="C169" s="61"/>
      <c r="D169" s="61"/>
      <c r="E169" s="54"/>
      <c r="F169" s="54"/>
      <c r="G169" s="54"/>
      <c r="H169" s="54"/>
      <c r="I169" s="52">
        <f t="shared" si="6"/>
        <v>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40</v>
      </c>
      <c r="B170" s="61">
        <f>116+21+21</f>
        <v>158</v>
      </c>
      <c r="C170" s="61">
        <v>2</v>
      </c>
      <c r="D170" s="61">
        <f>21+21</f>
        <v>42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45</v>
      </c>
      <c r="B171" s="61">
        <f>137+21</f>
        <v>158</v>
      </c>
      <c r="C171" s="61"/>
      <c r="D171" s="61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50</v>
      </c>
      <c r="B172" s="61">
        <f>157+21+21</f>
        <v>199</v>
      </c>
      <c r="C172" s="61">
        <v>3</v>
      </c>
      <c r="D172" s="61">
        <f>21+21</f>
        <v>42</v>
      </c>
      <c r="E172" s="54"/>
      <c r="F172" s="54"/>
      <c r="G172" s="54"/>
      <c r="H172" s="54"/>
      <c r="I172" s="52">
        <f t="shared" si="6"/>
        <v>8.1999999999999993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55</v>
      </c>
      <c r="B173" s="61">
        <f>176+21</f>
        <v>197</v>
      </c>
      <c r="C173" s="61"/>
      <c r="D173" s="61"/>
      <c r="E173" s="54"/>
      <c r="F173" s="54"/>
      <c r="G173" s="54"/>
      <c r="H173" s="54"/>
      <c r="I173" s="52">
        <f t="shared" si="6"/>
        <v>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60</v>
      </c>
      <c r="B174" s="53">
        <v>235</v>
      </c>
      <c r="C174" s="53">
        <v>4</v>
      </c>
      <c r="D174" s="53">
        <v>42</v>
      </c>
      <c r="E174" s="54"/>
      <c r="F174" s="54"/>
      <c r="G174" s="54"/>
      <c r="H174" s="54"/>
      <c r="I174" s="52">
        <f t="shared" si="6"/>
        <v>7.6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65</v>
      </c>
      <c r="B175" s="53">
        <v>229</v>
      </c>
      <c r="C175" s="53"/>
      <c r="D175" s="53"/>
      <c r="E175" s="54"/>
      <c r="F175" s="54"/>
      <c r="G175" s="54"/>
      <c r="H175" s="54"/>
      <c r="I175" s="52">
        <f t="shared" si="6"/>
        <v>7.2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70</v>
      </c>
      <c r="B176" s="53">
        <v>263</v>
      </c>
      <c r="C176" s="53">
        <v>5</v>
      </c>
      <c r="D176" s="53">
        <v>42</v>
      </c>
      <c r="E176" s="54"/>
      <c r="F176" s="54"/>
      <c r="G176" s="54"/>
      <c r="H176" s="54"/>
      <c r="I176" s="52">
        <f t="shared" si="6"/>
        <v>6.8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75</v>
      </c>
      <c r="B177" s="53">
        <v>252</v>
      </c>
      <c r="C177" s="53"/>
      <c r="D177" s="53"/>
      <c r="E177" s="54"/>
      <c r="F177" s="54"/>
      <c r="G177" s="54"/>
      <c r="H177" s="54"/>
      <c r="I177" s="52">
        <f t="shared" si="6"/>
        <v>6.2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80</v>
      </c>
      <c r="B178" s="53">
        <v>282</v>
      </c>
      <c r="C178" s="53">
        <v>6</v>
      </c>
      <c r="D178" s="53">
        <v>42</v>
      </c>
      <c r="E178" s="54"/>
      <c r="F178" s="54"/>
      <c r="G178" s="54"/>
      <c r="H178" s="54"/>
      <c r="I178" s="52">
        <f t="shared" si="6"/>
        <v>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296</v>
      </c>
      <c r="C179" s="53">
        <v>7</v>
      </c>
      <c r="D179" s="53">
        <v>42</v>
      </c>
      <c r="E179" s="54"/>
      <c r="F179" s="54"/>
      <c r="G179" s="54"/>
      <c r="H179" s="54"/>
      <c r="I179" s="52">
        <f t="shared" si="6"/>
        <v>5.6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100</v>
      </c>
      <c r="B180" s="53">
        <v>303</v>
      </c>
      <c r="C180" s="53">
        <v>8</v>
      </c>
      <c r="D180" s="53">
        <v>42</v>
      </c>
      <c r="E180" s="54"/>
      <c r="F180" s="54"/>
      <c r="G180" s="54"/>
      <c r="H180" s="54"/>
      <c r="I180" s="52">
        <f t="shared" si="6"/>
        <v>4.9000000000000004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110</v>
      </c>
      <c r="B181" s="53">
        <v>305</v>
      </c>
      <c r="C181" s="53">
        <v>9</v>
      </c>
      <c r="D181" s="53">
        <v>39</v>
      </c>
      <c r="E181" s="54"/>
      <c r="F181" s="54"/>
      <c r="G181" s="54"/>
      <c r="H181" s="54"/>
      <c r="I181" s="52">
        <f t="shared" si="6"/>
        <v>4.4000000000000004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120</v>
      </c>
      <c r="B182" s="53">
        <v>303</v>
      </c>
      <c r="C182" s="53">
        <v>10</v>
      </c>
      <c r="D182" s="53">
        <v>35</v>
      </c>
      <c r="E182" s="54"/>
      <c r="F182" s="54"/>
      <c r="G182" s="54"/>
      <c r="H182" s="54"/>
      <c r="I182" s="52">
        <f t="shared" si="6"/>
        <v>3.7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130</v>
      </c>
      <c r="B183" s="53">
        <v>300</v>
      </c>
      <c r="C183" s="53">
        <v>11</v>
      </c>
      <c r="D183" s="53">
        <v>31</v>
      </c>
      <c r="E183" s="54"/>
      <c r="F183" s="54"/>
      <c r="G183" s="54"/>
      <c r="H183" s="54"/>
      <c r="I183" s="52">
        <f t="shared" si="6"/>
        <v>3.2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140</v>
      </c>
      <c r="B184" s="53">
        <v>296</v>
      </c>
      <c r="C184" s="53">
        <v>12</v>
      </c>
      <c r="D184" s="53">
        <v>27</v>
      </c>
      <c r="E184" s="54"/>
      <c r="F184" s="54"/>
      <c r="G184" s="54"/>
      <c r="H184" s="54"/>
      <c r="I184" s="52">
        <f t="shared" si="6"/>
        <v>2.7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150</v>
      </c>
      <c r="B185" s="53">
        <v>293</v>
      </c>
      <c r="C185" s="53">
        <v>13</v>
      </c>
      <c r="D185" s="53">
        <v>293</v>
      </c>
      <c r="E185" s="54"/>
      <c r="F185" s="54"/>
      <c r="G185" s="54"/>
      <c r="H185" s="54"/>
      <c r="I185" s="52">
        <f t="shared" si="6"/>
        <v>2.4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Erable champêtre</v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1">
        <v>37</v>
      </c>
      <c r="C192" s="61"/>
      <c r="D192" s="61"/>
      <c r="E192" s="54"/>
      <c r="F192" s="54"/>
      <c r="G192" s="54"/>
      <c r="H192" s="64"/>
      <c r="I192" s="52">
        <f>IFERROR(B192/A192,"")</f>
        <v>2.4666666666666668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1">
        <f>80+15</f>
        <v>95</v>
      </c>
      <c r="C193" s="61">
        <v>1</v>
      </c>
      <c r="D193" s="61">
        <f>15+28</f>
        <v>43</v>
      </c>
      <c r="E193" s="64"/>
      <c r="F193" s="64"/>
      <c r="G193" s="64"/>
      <c r="H193" s="64">
        <v>1</v>
      </c>
      <c r="I193" s="52">
        <f t="shared" ref="I193:I211" si="7">IF(A193&lt;&gt;0,(B193-(B192-D192))/(A193-A192),"")</f>
        <v>11.6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1">
        <v>115</v>
      </c>
      <c r="C194" s="61"/>
      <c r="D194" s="61"/>
      <c r="E194" s="64"/>
      <c r="F194" s="64"/>
      <c r="G194" s="64"/>
      <c r="H194" s="64"/>
      <c r="I194" s="52">
        <f t="shared" si="7"/>
        <v>12.6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1">
        <f>147+28</f>
        <v>175</v>
      </c>
      <c r="C195" s="61">
        <v>2</v>
      </c>
      <c r="D195" s="61">
        <f>28+28</f>
        <v>56</v>
      </c>
      <c r="E195" s="64"/>
      <c r="F195" s="64"/>
      <c r="G195" s="64"/>
      <c r="H195" s="64">
        <v>1</v>
      </c>
      <c r="I195" s="52">
        <f t="shared" si="7"/>
        <v>12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1">
        <v>172</v>
      </c>
      <c r="C196" s="61"/>
      <c r="D196" s="61"/>
      <c r="E196" s="64"/>
      <c r="F196" s="64"/>
      <c r="G196" s="64"/>
      <c r="H196" s="64"/>
      <c r="I196" s="52">
        <f t="shared" si="7"/>
        <v>10.6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1">
        <f>192+28</f>
        <v>220</v>
      </c>
      <c r="C197" s="61">
        <v>3</v>
      </c>
      <c r="D197" s="61">
        <f>28+28</f>
        <v>56</v>
      </c>
      <c r="E197" s="64"/>
      <c r="F197" s="64"/>
      <c r="G197" s="64"/>
      <c r="H197" s="64"/>
      <c r="I197" s="52">
        <f t="shared" si="7"/>
        <v>9.6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1">
        <v>205</v>
      </c>
      <c r="C198" s="61"/>
      <c r="D198" s="61"/>
      <c r="E198" s="64"/>
      <c r="F198" s="64"/>
      <c r="G198" s="64"/>
      <c r="H198" s="64"/>
      <c r="I198" s="52">
        <f t="shared" si="7"/>
        <v>8.1999999999999993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8">
        <v>50</v>
      </c>
      <c r="B199" s="58">
        <f>218+22</f>
        <v>240</v>
      </c>
      <c r="C199" s="58">
        <v>4</v>
      </c>
      <c r="D199" s="58">
        <f>22+17</f>
        <v>39</v>
      </c>
      <c r="E199" s="64"/>
      <c r="F199" s="64"/>
      <c r="G199" s="64"/>
      <c r="H199" s="64"/>
      <c r="I199" s="52">
        <f t="shared" si="7"/>
        <v>7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8">
        <v>55</v>
      </c>
      <c r="B200" s="58">
        <v>233</v>
      </c>
      <c r="C200" s="58"/>
      <c r="D200" s="58"/>
      <c r="E200" s="64"/>
      <c r="F200" s="64"/>
      <c r="G200" s="64"/>
      <c r="H200" s="64"/>
      <c r="I200" s="52">
        <f t="shared" si="7"/>
        <v>6.4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8">
        <v>60</v>
      </c>
      <c r="B201" s="58">
        <f>245+13</f>
        <v>258</v>
      </c>
      <c r="C201" s="58">
        <v>5</v>
      </c>
      <c r="D201" s="58">
        <f>13+12</f>
        <v>25</v>
      </c>
      <c r="E201" s="64"/>
      <c r="F201" s="64"/>
      <c r="G201" s="64"/>
      <c r="H201" s="64"/>
      <c r="I201" s="52">
        <f t="shared" si="7"/>
        <v>5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8">
        <v>65</v>
      </c>
      <c r="B202" s="58">
        <v>255</v>
      </c>
      <c r="C202" s="58"/>
      <c r="D202" s="58"/>
      <c r="E202" s="64"/>
      <c r="F202" s="64"/>
      <c r="G202" s="64"/>
      <c r="H202" s="64"/>
      <c r="I202" s="52">
        <f t="shared" si="7"/>
        <v>4.4000000000000004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8">
        <v>70</v>
      </c>
      <c r="B203" s="58">
        <f>263+11</f>
        <v>274</v>
      </c>
      <c r="C203" s="58">
        <v>6</v>
      </c>
      <c r="D203" s="58">
        <f>11+10</f>
        <v>21</v>
      </c>
      <c r="E203" s="64"/>
      <c r="F203" s="64"/>
      <c r="G203" s="64"/>
      <c r="H203" s="64"/>
      <c r="I203" s="52">
        <f t="shared" si="7"/>
        <v>3.8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8">
        <v>75</v>
      </c>
      <c r="B204" s="58">
        <v>270</v>
      </c>
      <c r="C204" s="58"/>
      <c r="D204" s="58"/>
      <c r="E204" s="65"/>
      <c r="F204" s="65"/>
      <c r="G204" s="65"/>
      <c r="H204" s="65"/>
      <c r="I204" s="52">
        <f t="shared" si="7"/>
        <v>3.4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92">
        <v>80</v>
      </c>
      <c r="B205" s="61">
        <f>276+9</f>
        <v>285</v>
      </c>
      <c r="C205" s="92">
        <v>7</v>
      </c>
      <c r="D205" s="61">
        <f>B205</f>
        <v>285</v>
      </c>
      <c r="E205" s="57"/>
      <c r="F205" s="57"/>
      <c r="G205" s="57"/>
      <c r="H205" s="57"/>
      <c r="I205" s="52">
        <f t="shared" si="7"/>
        <v>3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7"/>
      <c r="F206" s="57"/>
      <c r="G206" s="57"/>
      <c r="H206" s="57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7"/>
      <c r="F207" s="57"/>
      <c r="G207" s="57"/>
      <c r="H207" s="57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7"/>
      <c r="F208" s="57"/>
      <c r="G208" s="57"/>
      <c r="H208" s="57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7"/>
      <c r="F209" s="57"/>
      <c r="G209" s="57"/>
      <c r="H209" s="57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7"/>
      <c r="F210" s="57"/>
      <c r="G210" s="57"/>
      <c r="H210" s="57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7"/>
      <c r="F211" s="57"/>
      <c r="G211" s="57"/>
      <c r="H211" s="57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Alisier torminal</v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20</v>
      </c>
      <c r="B218" s="61">
        <v>42</v>
      </c>
      <c r="C218" s="61"/>
      <c r="D218" s="61"/>
      <c r="E218" s="54"/>
      <c r="F218" s="54"/>
      <c r="G218" s="54"/>
      <c r="H218" s="54"/>
      <c r="I218" s="56">
        <f>IFERROR(B218/A218,"")</f>
        <v>2.1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25</v>
      </c>
      <c r="B219" s="61">
        <f>62+8</f>
        <v>70</v>
      </c>
      <c r="C219" s="61"/>
      <c r="D219" s="61"/>
      <c r="E219" s="54"/>
      <c r="F219" s="54"/>
      <c r="G219" s="54"/>
      <c r="H219" s="54"/>
      <c r="I219" s="56">
        <f t="shared" ref="I219:I237" si="8">IF(A219&lt;&gt;0,(B219-(B218-D218))/(A219-A218),"")</f>
        <v>5.6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30</v>
      </c>
      <c r="B220" s="61">
        <f>76+8+21</f>
        <v>105</v>
      </c>
      <c r="C220" s="61">
        <v>1</v>
      </c>
      <c r="D220" s="61">
        <f>8+21</f>
        <v>29</v>
      </c>
      <c r="E220" s="54"/>
      <c r="F220" s="54"/>
      <c r="G220" s="54"/>
      <c r="H220" s="54">
        <v>1</v>
      </c>
      <c r="I220" s="56">
        <f t="shared" si="8"/>
        <v>7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35</v>
      </c>
      <c r="B221" s="61">
        <f>95+21</f>
        <v>116</v>
      </c>
      <c r="C221" s="61"/>
      <c r="D221" s="61"/>
      <c r="E221" s="54"/>
      <c r="F221" s="54"/>
      <c r="G221" s="54"/>
      <c r="H221" s="54"/>
      <c r="I221" s="56">
        <f t="shared" si="8"/>
        <v>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40</v>
      </c>
      <c r="B222" s="61">
        <f>116+21+21</f>
        <v>158</v>
      </c>
      <c r="C222" s="61">
        <v>2</v>
      </c>
      <c r="D222" s="61">
        <f>21+21</f>
        <v>42</v>
      </c>
      <c r="E222" s="54"/>
      <c r="F222" s="54"/>
      <c r="G222" s="54"/>
      <c r="H222" s="54"/>
      <c r="I222" s="56">
        <f t="shared" si="8"/>
        <v>8.4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45</v>
      </c>
      <c r="B223" s="61">
        <f>137+21</f>
        <v>158</v>
      </c>
      <c r="C223" s="61"/>
      <c r="D223" s="61"/>
      <c r="E223" s="54"/>
      <c r="F223" s="54"/>
      <c r="G223" s="54"/>
      <c r="H223" s="54"/>
      <c r="I223" s="56">
        <f t="shared" si="8"/>
        <v>8.4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50</v>
      </c>
      <c r="B224" s="61">
        <f>157+21+21</f>
        <v>199</v>
      </c>
      <c r="C224" s="61">
        <v>3</v>
      </c>
      <c r="D224" s="61">
        <f>21+21</f>
        <v>42</v>
      </c>
      <c r="E224" s="54"/>
      <c r="F224" s="54"/>
      <c r="G224" s="54"/>
      <c r="H224" s="54"/>
      <c r="I224" s="56">
        <f t="shared" si="8"/>
        <v>8.1999999999999993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55</v>
      </c>
      <c r="B225" s="61">
        <f>176+21</f>
        <v>197</v>
      </c>
      <c r="C225" s="61"/>
      <c r="D225" s="61"/>
      <c r="E225" s="54"/>
      <c r="F225" s="54"/>
      <c r="G225" s="54"/>
      <c r="H225" s="54"/>
      <c r="I225" s="56">
        <f t="shared" si="8"/>
        <v>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60</v>
      </c>
      <c r="B226" s="53">
        <v>235</v>
      </c>
      <c r="C226" s="53">
        <v>4</v>
      </c>
      <c r="D226" s="53">
        <v>42</v>
      </c>
      <c r="E226" s="54"/>
      <c r="F226" s="54"/>
      <c r="G226" s="54"/>
      <c r="H226" s="54"/>
      <c r="I226" s="56">
        <f t="shared" si="8"/>
        <v>7.6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>
        <v>65</v>
      </c>
      <c r="B227" s="53">
        <v>229</v>
      </c>
      <c r="C227" s="53"/>
      <c r="D227" s="53"/>
      <c r="E227" s="54"/>
      <c r="F227" s="54"/>
      <c r="G227" s="54"/>
      <c r="H227" s="54"/>
      <c r="I227" s="56">
        <f t="shared" si="8"/>
        <v>7.2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>
        <v>70</v>
      </c>
      <c r="B228" s="53">
        <v>263</v>
      </c>
      <c r="C228" s="53">
        <v>5</v>
      </c>
      <c r="D228" s="53">
        <v>42</v>
      </c>
      <c r="E228" s="54"/>
      <c r="F228" s="54"/>
      <c r="G228" s="54"/>
      <c r="H228" s="54"/>
      <c r="I228" s="56">
        <f t="shared" si="8"/>
        <v>6.8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3">
        <v>75</v>
      </c>
      <c r="B229" s="53">
        <v>252</v>
      </c>
      <c r="C229" s="53"/>
      <c r="D229" s="53"/>
      <c r="E229" s="54"/>
      <c r="F229" s="54"/>
      <c r="G229" s="54"/>
      <c r="H229" s="54"/>
      <c r="I229" s="56">
        <f t="shared" si="8"/>
        <v>6.2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3">
        <v>80</v>
      </c>
      <c r="B230" s="53">
        <v>282</v>
      </c>
      <c r="C230" s="53">
        <v>6</v>
      </c>
      <c r="D230" s="53">
        <v>42</v>
      </c>
      <c r="E230" s="54"/>
      <c r="F230" s="54"/>
      <c r="G230" s="54"/>
      <c r="H230" s="54"/>
      <c r="I230" s="56">
        <f t="shared" si="8"/>
        <v>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53">
        <v>90</v>
      </c>
      <c r="B231" s="53">
        <v>296</v>
      </c>
      <c r="C231" s="53">
        <v>7</v>
      </c>
      <c r="D231" s="53">
        <v>42</v>
      </c>
      <c r="E231" s="54"/>
      <c r="F231" s="54"/>
      <c r="G231" s="54"/>
      <c r="H231" s="54"/>
      <c r="I231" s="56">
        <f t="shared" si="8"/>
        <v>5.6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100</v>
      </c>
      <c r="B232" s="53">
        <v>303</v>
      </c>
      <c r="C232" s="53">
        <v>8</v>
      </c>
      <c r="D232" s="53">
        <v>42</v>
      </c>
      <c r="E232" s="54"/>
      <c r="F232" s="54"/>
      <c r="G232" s="54"/>
      <c r="H232" s="54"/>
      <c r="I232" s="56">
        <f t="shared" si="8"/>
        <v>4.9000000000000004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110</v>
      </c>
      <c r="B233" s="53">
        <v>305</v>
      </c>
      <c r="C233" s="53">
        <v>9</v>
      </c>
      <c r="D233" s="53">
        <v>39</v>
      </c>
      <c r="E233" s="54"/>
      <c r="F233" s="54"/>
      <c r="G233" s="54"/>
      <c r="H233" s="54"/>
      <c r="I233" s="56">
        <f t="shared" si="8"/>
        <v>4.4000000000000004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120</v>
      </c>
      <c r="B234" s="53">
        <v>303</v>
      </c>
      <c r="C234" s="53">
        <v>10</v>
      </c>
      <c r="D234" s="53">
        <v>35</v>
      </c>
      <c r="E234" s="54"/>
      <c r="F234" s="54"/>
      <c r="G234" s="54"/>
      <c r="H234" s="54"/>
      <c r="I234" s="56">
        <f t="shared" si="8"/>
        <v>3.7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130</v>
      </c>
      <c r="B235" s="53">
        <v>300</v>
      </c>
      <c r="C235" s="53">
        <v>11</v>
      </c>
      <c r="D235" s="53">
        <v>31</v>
      </c>
      <c r="E235" s="54"/>
      <c r="F235" s="54"/>
      <c r="G235" s="54"/>
      <c r="H235" s="54"/>
      <c r="I235" s="56">
        <f t="shared" si="8"/>
        <v>3.2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140</v>
      </c>
      <c r="B236" s="53">
        <v>296</v>
      </c>
      <c r="C236" s="53">
        <v>12</v>
      </c>
      <c r="D236" s="53">
        <v>27</v>
      </c>
      <c r="E236" s="54"/>
      <c r="F236" s="54"/>
      <c r="G236" s="54"/>
      <c r="H236" s="54"/>
      <c r="I236" s="56">
        <f t="shared" si="8"/>
        <v>2.7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150</v>
      </c>
      <c r="B237" s="53">
        <v>293</v>
      </c>
      <c r="C237" s="53">
        <v>13</v>
      </c>
      <c r="D237" s="53">
        <v>293</v>
      </c>
      <c r="E237" s="54"/>
      <c r="F237" s="54"/>
      <c r="G237" s="54"/>
      <c r="H237" s="54"/>
      <c r="I237" s="56">
        <f t="shared" si="8"/>
        <v>2.4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B18" sqref="B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Chêne pubescent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Pin laricio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Pin noir d'Autriche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Chêne sessile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Cèdre de l'Atlas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Cormier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>Erable champêtre</v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>Alisier torminal</v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475.47920969424894</v>
      </c>
      <c r="T3" s="60">
        <f>IF('Données projet'!E9&gt;30,$R$33-$H$33,LOOKUP('Données projet'!$E$9,$A$3:$A$203,R3:R203)-LOOKUP('Données projet'!$E$9,$A$3:$A$203,$H$3:$H$203))</f>
        <v>271.73544012419364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289.24721145176682</v>
      </c>
      <c r="AO3" s="60">
        <f>IF('Données projet'!E10&gt;30,$AM$33-$H$33,LOOKUP('Données projet'!$E$10,$A$3:$A$203,AM3:AM203)-LOOKUP('Données projet'!$E$10,$A$3:$A$203,$H$3:$H$203))</f>
        <v>229.06617320689003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287.91374663515506</v>
      </c>
      <c r="BJ3" s="60">
        <f>IF('Données projet'!E11&gt;30,$BH$33-$H$33,LOOKUP('Données projet'!$E$11,$A$3:$A$203,BH3:BH203)-LOOKUP('Données projet'!$E$11,$A$3:$A$203,$H$3:$H$203))</f>
        <v>217.76240797006147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428.8489304403459</v>
      </c>
      <c r="CE3" s="60">
        <f>IF('Données projet'!E12&gt;30,$CC$33-$H$33,LOOKUP('Données projet'!$E$12,$A$3:$A$203,CC3:CC203)-LOOKUP('Données projet'!$E$12,$A$3:$A$203,$H$3:$H$203))</f>
        <v>247.01165577562966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284.88646502866419</v>
      </c>
      <c r="CZ3" s="60">
        <f>IF('Données projet'!E13&gt;30,$CX$33-$H$33,LOOKUP('Données projet'!$E$13,$A$3:$A$203,CX3:CX203)-LOOKUP('Données projet'!$E$13,$A$3:$A$203,$H$3:$H$203))</f>
        <v>190.4880882944471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502.07782026233912</v>
      </c>
      <c r="DU3" s="60">
        <f>IF('Données projet'!E14&gt;30,$DS$33-$H$33,LOOKUP('Données projet'!$E$14,$A$3:$A$203,DS3:DS203)-LOOKUP('Données projet'!$E$14,$A$3:$A$203,$H$3:$H$203))</f>
        <v>285.83623046025156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339.58437495284466</v>
      </c>
      <c r="EP3" s="60">
        <f>IF('Données projet'!E15&gt;30,$EN$33-$H$33,LOOKUP('Données projet'!$E$15,$A$3:$A$203,EN3:EN203)-LOOKUP('Données projet'!$E$15,$A$3:$A$203,$H$3:$H$203))</f>
        <v>371.26234252426531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256.66666666666669</v>
      </c>
      <c r="FJ3" s="60">
        <f ca="1">AVERAGE(OFFSET($FI$3,0,0,'Données projet'!$E$16+1,1))-AVERAGE(OFFSET($H$3,0,0,'Données projet'!$E$16+1,1))</f>
        <v>455.50822833641354</v>
      </c>
      <c r="FK3" s="60">
        <f>IF('Données projet'!E16&gt;30,$FI$33-$H$33,LOOKUP('Données projet'!$E$16,$A$3:$A$203,FI3:FI203)-LOOKUP('Données projet'!$E$16,$A$3:$A$203,$H$3:$H$203))</f>
        <v>261.14722581688039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0">
        <f t="shared" si="0"/>
        <v>260.97628431819578</v>
      </c>
      <c r="S4" s="60">
        <f ca="1">AVERAGE(OFFSET($R$3,0,0,'Données projet'!$E$9+1,1))-AVERAGE(OFFSET($H$3,0,0,'Données projet'!$E$9+1,1))</f>
        <v>475.47920969424894</v>
      </c>
      <c r="T4" s="60">
        <f>$T$3</f>
        <v>271.73544012419364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2.3805128205128203</v>
      </c>
      <c r="AI4" s="14">
        <f>IF('Données projet'!$A$62&gt;35,AI3+AH4-AQ3,IF(A4&lt;'Données projet'!$A$62,$AF$205^A4,IF(A4='Données projet'!$A$62,'Données projet'!$B$62,AI3+AH4-AQ3)))</f>
        <v>1.2691631451226497</v>
      </c>
      <c r="AJ4" s="14">
        <f>AI4*VLOOKUP('Données projet'!$B$10,Paramètres!$A$1:$I$89,3,0)*VLOOKUP('Données projet'!$B$10,Paramètres!$A$1:$I$89,5,0)</f>
        <v>0.75895956078334459</v>
      </c>
      <c r="AK4" s="14">
        <f>EXP(-1.0587+0.8836*LN(AJ4)+0.284)</f>
        <v>0.36117131619841292</v>
      </c>
      <c r="AL4" s="22">
        <f t="shared" ref="AL4:AL67" si="4">(AJ4+AK4)*0.475*44/12</f>
        <v>1.9508946107432275</v>
      </c>
      <c r="AM4" s="60">
        <f t="shared" ref="AM4:AM67" si="5">AL4+(AD4+AE4)*44/12</f>
        <v>259.83978349963206</v>
      </c>
      <c r="AN4" s="60">
        <f ca="1">AVERAGE(OFFSET($AM$3,0,0,'Données projet'!$E$10+1,1))-AVERAGE(OFFSET($H$3,0,0,'Données projet'!$E$10+1,1))</f>
        <v>289.24721145176682</v>
      </c>
      <c r="AO4" s="60">
        <f>$AO$3</f>
        <v>229.06617320689003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1.1564102564102565</v>
      </c>
      <c r="BD4" s="13">
        <f>IF('Données projet'!$A$88&gt;35,BD3+BC4-BL3,IF(A4&lt;'Données projet'!$A$88,$BA$205^A4,IF(A4='Données projet'!$A$88,'Données projet'!$B$88,BD3+BC4-BL3)))</f>
        <v>1.2095213708815553</v>
      </c>
      <c r="BE4" s="14">
        <f>BD4*VLOOKUP('Données projet'!$B$11,Paramètres!$A$1:$I$89,3,0)*VLOOKUP('Données projet'!$B$11,Paramètres!$A$1:$I$89,5,0)</f>
        <v>0.72329377978717013</v>
      </c>
      <c r="BF4" s="14">
        <f>EXP(-1.0587+0.8836*LN(BE4)+0.284)</f>
        <v>0.34613264455008863</v>
      </c>
      <c r="BG4" s="22">
        <f t="shared" ref="BG4:BG67" si="7">(BE4+BF4)*0.475*44/12</f>
        <v>1.8625843557207256</v>
      </c>
      <c r="BH4" s="60">
        <f t="shared" ref="BH4:BH67" si="8">BG4+(AY4+AZ4)*44/12</f>
        <v>259.7514732446096</v>
      </c>
      <c r="BI4" s="60">
        <f ca="1">AVERAGE(OFFSET($BH$3,0,0,'Données projet'!$E$11+1,1))-AVERAGE(OFFSET($H$3,0,0,'Données projet'!$E$11+1,1))</f>
        <v>287.91374663515506</v>
      </c>
      <c r="BJ4" s="60">
        <f>$BJ$3</f>
        <v>217.76240797006147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2.1</v>
      </c>
      <c r="BY4" s="13">
        <f>IF('Données projet'!$A$114&gt;35,BY3+BX4-CG3,IF(A4&lt;'Données projet'!$A$114,$BV$205^A4,IF(A4='Données projet'!$A$114,'Données projet'!$B$114,BY3+BX4-CG3)))</f>
        <v>1.2054868146447177</v>
      </c>
      <c r="BZ4" s="14">
        <f>BY4*VLOOKUP('Données projet'!$B$12,Paramètres!$A$1:$I$89,3,0)*VLOOKUP('Données projet'!$B$12,Paramètres!$A$1:$I$89,5,0)</f>
        <v>1.0907244698905405</v>
      </c>
      <c r="CA4" s="14">
        <f>EXP(-1.0587+0.8836*LN(BZ4)+0.284)</f>
        <v>0.49759623852608204</v>
      </c>
      <c r="CB4" s="22">
        <f t="shared" ref="CB4:CB67" si="10">(BZ4+CA4)*0.475*44/12</f>
        <v>2.7663252338256172</v>
      </c>
      <c r="CC4" s="60">
        <f t="shared" ref="CC4:CC67" si="11">CB4+(BT4+BU4)*44/12</f>
        <v>260.65521412271448</v>
      </c>
      <c r="CD4" s="60">
        <f ca="1">AVERAGE(OFFSET($CC$3,0,0,'Données projet'!$E$12+1,1))-AVERAGE(OFFSET($H$3,0,0,'Données projet'!$E$12+1,1))</f>
        <v>428.8489304403459</v>
      </c>
      <c r="CE4" s="60">
        <f>$CE$3</f>
        <v>247.01165577562966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4.9084615384615384</v>
      </c>
      <c r="CT4" s="13">
        <f>IF('Données projet'!$A$140&gt;35,CT3+CS4-DB3,IF(A4&lt;'Données projet'!$A$140,$CQ$205^A4,IF(A4='Données projet'!$A$140,'Données projet'!$B$140,CT3+CS4-DB3)))</f>
        <v>1.1810516433311786</v>
      </c>
      <c r="CU4" s="18">
        <f>CT4*VLOOKUP('Données projet'!$B$13,Paramètres!$A$1:$I$89,3,0)*VLOOKUP('Données projet'!$B$13,Paramètres!$A$1:$I$89,5,0)</f>
        <v>0.55273216907899159</v>
      </c>
      <c r="CV4" s="14">
        <f>EXP(-1.0587+0.8836*LN(CU4)+0.284)</f>
        <v>0.27292171413945432</v>
      </c>
      <c r="CW4" s="22">
        <f t="shared" ref="CW4:CW67" si="13">(CU4+CV4)*0.475*44/12</f>
        <v>1.4380138466054599</v>
      </c>
      <c r="CX4" s="60">
        <f t="shared" ref="CX4:CX67" si="14">CW4+(CO4+CP4)*44/12</f>
        <v>259.32690273549434</v>
      </c>
      <c r="CY4" s="60">
        <f ca="1">AVERAGE(OFFSET($CX$3,0,0,'Données projet'!$E$13+1,1))-AVERAGE(OFFSET($H$3,0,0,'Données projet'!$E$13+1,1))</f>
        <v>284.88646502866419</v>
      </c>
      <c r="CZ4" s="60">
        <f>$CZ$3</f>
        <v>190.4880882944471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2.1</v>
      </c>
      <c r="DO4" s="13">
        <f>IF('Données projet'!$A$166&gt;35,DO3+DN4-DW3,IF(A4&lt;'Données projet'!$A$166,$DL$205^A4,IF(A4='Données projet'!$A$166,'Données projet'!$B$166,DO3+DN4-DW3)))</f>
        <v>1.2054868146447177</v>
      </c>
      <c r="DP4" s="18">
        <f>DO4*VLOOKUP('Données projet'!$B$14,Paramètres!$A$1:$I$89,3,0)*VLOOKUP('Données projet'!$B$14,Paramètres!$A$1:$I$89,5,0)</f>
        <v>1.2975860072835741</v>
      </c>
      <c r="DQ4" s="14">
        <f>EXP(-1.0587+0.8836*LN(DP4)+0.284)</f>
        <v>0.58012177912374829</v>
      </c>
      <c r="DR4" s="22">
        <f t="shared" ref="DR4:DR67" si="16">(DP4+DQ4)*0.475*44/12</f>
        <v>3.2703410613260862</v>
      </c>
      <c r="DS4" s="60">
        <f t="shared" ref="DS4:DS67" si="17">DR4+(DJ4+DK4)*44/12</f>
        <v>261.15922995021492</v>
      </c>
      <c r="DT4" s="60">
        <f ca="1">AVERAGE(OFFSET($DS$3,0,0,'Données projet'!$E$14+1,1))-AVERAGE(OFFSET($H$3,0,0,'Données projet'!$E$14+1,1))</f>
        <v>502.07782026233912</v>
      </c>
      <c r="DU4" s="60">
        <f>$DU$3</f>
        <v>285.83623046025156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2.4666666666666668</v>
      </c>
      <c r="EJ4" s="13">
        <f>IF('Données projet'!$A$192&gt;35,EJ3+EI4-ER3,IF(A4&lt;'Données projet'!$A$192,$EG$205^A4,IF(A4='Données projet'!$A$192,'Données projet'!$B$192,EJ3+EI4-ER3)))</f>
        <v>1.2721747796233518</v>
      </c>
      <c r="EK4" s="18">
        <f>EJ4*VLOOKUP('Données projet'!$B$15,Paramètres!$A$1:$I$89,3,0)*VLOOKUP('Données projet'!$B$15,Paramètres!$A$1:$I$89,5,0)</f>
        <v>1.1113718874789602</v>
      </c>
      <c r="EL4" s="14">
        <f>EXP(-1.0587+0.8836*LN(EK4)+0.284)</f>
        <v>0.5059102014681881</v>
      </c>
      <c r="EM4" s="22">
        <f t="shared" ref="EM4:EM67" si="19">(EK4+EL4)*0.475*44/12</f>
        <v>2.8167663049162832</v>
      </c>
      <c r="EN4" s="60">
        <f t="shared" ref="EN4:EN67" si="20">EM4+(EE4+EF4)*44/12</f>
        <v>260.70565519380511</v>
      </c>
      <c r="EO4" s="60">
        <f ca="1">AVERAGE(OFFSET($EN$3,0,0,'Données projet'!$E$15+1,1))-AVERAGE(OFFSET($H$3,0,0,'Données projet'!$E$15+1,1))</f>
        <v>339.58437495284466</v>
      </c>
      <c r="EP4" s="60">
        <f>$EP$3</f>
        <v>371.26234252426531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2.1</v>
      </c>
      <c r="FE4" s="13">
        <f>IF('Données projet'!$A$218&gt;35,FE3+FD4-FM3,IF(A4&lt;'Données projet'!$A$218,$FB$205^A4,IF(A4='Données projet'!$A$218,'Données projet'!$B$218,FE3+FD4-FM3)))</f>
        <v>1.2054868146447177</v>
      </c>
      <c r="FF4" s="18">
        <f>FE4*VLOOKUP('Données projet'!$B$16,Paramètres!$A$1:$I$89,3,0)*VLOOKUP('Données projet'!$B$16,Paramètres!$A$1:$I$89,5,0)</f>
        <v>1.165946847124371</v>
      </c>
      <c r="FG4" s="14">
        <f>EXP(-1.0587+0.8836*LN(FF4)+0.284)</f>
        <v>0.52780002987456354</v>
      </c>
      <c r="FH4" s="22">
        <f t="shared" ref="FH4:FH67" si="22">(FF4+FG4)*0.475*44/12</f>
        <v>2.9499424774398109</v>
      </c>
      <c r="FI4" s="60">
        <f t="shared" ref="FI4:FI67" si="23">FH4+(EZ4+FA4)*44/12</f>
        <v>260.83883136632869</v>
      </c>
      <c r="FJ4" s="60">
        <f ca="1">AVERAGE(OFFSET($FI$3,0,0,'Données projet'!$E$16+1,1))-AVERAGE(OFFSET($H$3,0,0,'Données projet'!$E$16+1,1))</f>
        <v>455.50822833641354</v>
      </c>
      <c r="FK4" s="60">
        <f>$FK$3</f>
        <v>261.14722581688039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0">
        <f t="shared" si="0"/>
        <v>262.80806344386446</v>
      </c>
      <c r="S5" s="60">
        <f ca="1">AVERAGE(OFFSET($R$3,0,0,'Données projet'!$E$9+1,1))-AVERAGE(OFFSET($H$3,0,0,'Données projet'!$E$9+1,1))</f>
        <v>475.47920969424894</v>
      </c>
      <c r="T5" s="60">
        <f t="shared" ref="T5:T68" si="34">$T$3</f>
        <v>271.73544012419364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2.3805128205128203</v>
      </c>
      <c r="AI5" s="14">
        <f>IF('Données projet'!$A$62&gt;35,AI4+AH5-AQ4,IF(A5&lt;'Données projet'!$A$62,$AF$205^A5,IF(A5='Données projet'!$A$62,'Données projet'!$B$62,AI4+AH5-AQ4)))</f>
        <v>1.610775088937616</v>
      </c>
      <c r="AJ5" s="14">
        <f>AI5*VLOOKUP('Données projet'!$B$10,Paramètres!$A$1:$I$89,3,0)*VLOOKUP('Données projet'!$B$10,Paramètres!$A$1:$I$89,5,0)</f>
        <v>0.96324350318469443</v>
      </c>
      <c r="AK5" s="14">
        <f t="shared" ref="AK5:AK68" si="35">EXP(-1.0587+0.8836*LN(AJ5)+0.284)</f>
        <v>0.44584230224208238</v>
      </c>
      <c r="AL5" s="22">
        <f t="shared" si="4"/>
        <v>2.4541577777849692</v>
      </c>
      <c r="AM5" s="60">
        <f t="shared" si="5"/>
        <v>261.56526888889613</v>
      </c>
      <c r="AN5" s="60">
        <f ca="1">AVERAGE(OFFSET($AM$3,0,0,'Données projet'!$E$10+1,1))-AVERAGE(OFFSET($H$3,0,0,'Données projet'!$E$10+1,1))</f>
        <v>289.24721145176682</v>
      </c>
      <c r="AO5" s="60">
        <f t="shared" ref="AO5:AO68" si="36">$AO$3</f>
        <v>229.06617320689003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1.1564102564102565</v>
      </c>
      <c r="BD5" s="13">
        <f>IF('Données projet'!$A$88&gt;35,BD4+BC5-BL4,IF(A5&lt;'Données projet'!$A$88,$BA$205^A5,IF(A5='Données projet'!$A$88,'Données projet'!$B$88,BD4+BC5-BL4)))</f>
        <v>1.4629419466191969</v>
      </c>
      <c r="BE5" s="14">
        <f>BD5*VLOOKUP('Données projet'!$B$11,Paramètres!$A$1:$I$89,3,0)*VLOOKUP('Données projet'!$B$11,Paramètres!$A$1:$I$89,5,0)</f>
        <v>0.87483928407827982</v>
      </c>
      <c r="BF5" s="14">
        <f t="shared" ref="BF5:BF68" si="37">EXP(-1.0587+0.8836*LN(BE5)+0.284)</f>
        <v>0.40948678430906171</v>
      </c>
      <c r="BG5" s="22">
        <f t="shared" si="7"/>
        <v>2.2368679024412863</v>
      </c>
      <c r="BH5" s="60">
        <f t="shared" si="8"/>
        <v>261.34797901355245</v>
      </c>
      <c r="BI5" s="60">
        <f ca="1">AVERAGE(OFFSET($BH$3,0,0,'Données projet'!$E$11+1,1))-AVERAGE(OFFSET($H$3,0,0,'Données projet'!$E$11+1,1))</f>
        <v>287.91374663515506</v>
      </c>
      <c r="BJ5" s="60">
        <f t="shared" ref="BJ5:BJ68" si="38">$BJ$3</f>
        <v>217.76240797006147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2.1</v>
      </c>
      <c r="BY5" s="13">
        <f>IF('Données projet'!$A$114&gt;35,BY4+BX5-CG4,IF(A5&lt;'Données projet'!$A$114,$BV$205^A5,IF(A5='Données projet'!$A$114,'Données projet'!$B$114,BY4+BX5-CG4)))</f>
        <v>1.4531984602822681</v>
      </c>
      <c r="BZ5" s="14">
        <f>BY5*VLOOKUP('Données projet'!$B$12,Paramètres!$A$1:$I$89,3,0)*VLOOKUP('Données projet'!$B$12,Paramètres!$A$1:$I$89,5,0)</f>
        <v>1.3148539668633961</v>
      </c>
      <c r="CA5" s="14">
        <f t="shared" ref="CA5:CA68" si="39">EXP(-1.0587+0.8836*LN(BZ5)+0.284)</f>
        <v>0.58693801963664449</v>
      </c>
      <c r="CB5" s="22">
        <f t="shared" si="10"/>
        <v>3.3122877098209038</v>
      </c>
      <c r="CC5" s="60">
        <f t="shared" si="11"/>
        <v>262.42339882093205</v>
      </c>
      <c r="CD5" s="60">
        <f ca="1">AVERAGE(OFFSET($CC$3,0,0,'Données projet'!$E$12+1,1))-AVERAGE(OFFSET($H$3,0,0,'Données projet'!$E$12+1,1))</f>
        <v>428.8489304403459</v>
      </c>
      <c r="CE5" s="60">
        <f t="shared" ref="CE5:CE68" si="40">$CE$3</f>
        <v>247.01165577562966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4.9084615384615384</v>
      </c>
      <c r="CT5" s="13">
        <f>IF('Données projet'!$A$140&gt;35,CT4+CS5-DB4,IF(A5&lt;'Données projet'!$A$140,$CQ$205^A5,IF(A5='Données projet'!$A$140,'Données projet'!$B$140,CT4+CS5-DB4)))</f>
        <v>1.3948829842152777</v>
      </c>
      <c r="CU5" s="18">
        <f>CT5*VLOOKUP('Données projet'!$B$13,Paramètres!$A$1:$I$89,3,0)*VLOOKUP('Données projet'!$B$13,Paramètres!$A$1:$I$89,5,0)</f>
        <v>0.65280523661274992</v>
      </c>
      <c r="CV5" s="14">
        <f t="shared" ref="CV5:CV68" si="41">EXP(-1.0587+0.8836*LN(CU5)+0.284)</f>
        <v>0.31615123301372139</v>
      </c>
      <c r="CW5" s="22">
        <f t="shared" si="13"/>
        <v>1.6875991845994376</v>
      </c>
      <c r="CX5" s="60">
        <f t="shared" si="14"/>
        <v>260.79871029571058</v>
      </c>
      <c r="CY5" s="60">
        <f ca="1">AVERAGE(OFFSET($CX$3,0,0,'Données projet'!$E$13+1,1))-AVERAGE(OFFSET($H$3,0,0,'Données projet'!$E$13+1,1))</f>
        <v>284.88646502866419</v>
      </c>
      <c r="CZ5" s="60">
        <f t="shared" ref="CZ5:CZ68" si="42">$CZ$3</f>
        <v>190.4880882944471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2.1</v>
      </c>
      <c r="DO5" s="13">
        <f>IF('Données projet'!$A$166&gt;35,DO4+DN5-DW4,IF(A5&lt;'Données projet'!$A$166,$DL$205^A5,IF(A5='Données projet'!$A$166,'Données projet'!$B$166,DO4+DN5-DW4)))</f>
        <v>1.4531984602822681</v>
      </c>
      <c r="DP5" s="18">
        <f>DO5*VLOOKUP('Données projet'!$B$14,Paramètres!$A$1:$I$89,3,0)*VLOOKUP('Données projet'!$B$14,Paramètres!$A$1:$I$89,5,0)</f>
        <v>1.5642228226478332</v>
      </c>
      <c r="DQ5" s="14">
        <f t="shared" ref="DQ5:DQ68" si="43">EXP(-1.0587+0.8836*LN(DP5)+0.284)</f>
        <v>0.68428075179095682</v>
      </c>
      <c r="DR5" s="22">
        <f t="shared" si="16"/>
        <v>3.9161437254808931</v>
      </c>
      <c r="DS5" s="60">
        <f t="shared" si="17"/>
        <v>263.02725483659202</v>
      </c>
      <c r="DT5" s="60">
        <f ca="1">AVERAGE(OFFSET($DS$3,0,0,'Données projet'!$E$14+1,1))-AVERAGE(OFFSET($H$3,0,0,'Données projet'!$E$14+1,1))</f>
        <v>502.07782026233912</v>
      </c>
      <c r="DU5" s="60">
        <f t="shared" ref="DU5:DU68" si="44">$DU$3</f>
        <v>285.83623046025156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2.4666666666666668</v>
      </c>
      <c r="EJ5" s="13">
        <f>IF('Données projet'!$A$192&gt;35,EJ4+EI5-ER4,IF(A5&lt;'Données projet'!$A$192,$EG$205^A5,IF(A5='Données projet'!$A$192,'Données projet'!$B$192,EJ4+EI5-ER4)))</f>
        <v>1.6184286699097237</v>
      </c>
      <c r="EK5" s="18">
        <f>EJ5*VLOOKUP('Données projet'!$B$15,Paramètres!$A$1:$I$89,3,0)*VLOOKUP('Données projet'!$B$15,Paramètres!$A$1:$I$89,5,0)</f>
        <v>1.4138592860331347</v>
      </c>
      <c r="EL5" s="14">
        <f t="shared" ref="EL5:EL68" si="45">EXP(-1.0587+0.8836*LN(EK5)+0.284)</f>
        <v>0.62582221171965613</v>
      </c>
      <c r="EM5" s="22">
        <f t="shared" si="19"/>
        <v>3.5524452752527771</v>
      </c>
      <c r="EN5" s="60">
        <f t="shared" si="20"/>
        <v>262.66355638636389</v>
      </c>
      <c r="EO5" s="60">
        <f ca="1">AVERAGE(OFFSET($EN$3,0,0,'Données projet'!$E$15+1,1))-AVERAGE(OFFSET($H$3,0,0,'Données projet'!$E$15+1,1))</f>
        <v>339.58437495284466</v>
      </c>
      <c r="EP5" s="60">
        <f t="shared" ref="EP5:EP68" si="46">$EP$3</f>
        <v>371.26234252426531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2.1</v>
      </c>
      <c r="FE5" s="13">
        <f>IF('Données projet'!$A$218&gt;35,FE4+FD5-FM4,IF(A5&lt;'Données projet'!$A$218,$FB$205^A5,IF(A5='Données projet'!$A$218,'Données projet'!$B$218,FE4+FD5-FM4)))</f>
        <v>1.4531984602822681</v>
      </c>
      <c r="FF5" s="18">
        <f>FE5*VLOOKUP('Données projet'!$B$16,Paramètres!$A$1:$I$89,3,0)*VLOOKUP('Données projet'!$B$16,Paramètres!$A$1:$I$89,5,0)</f>
        <v>1.4055335507850097</v>
      </c>
      <c r="FG5" s="14">
        <f t="shared" ref="FG5:FG68" si="47">EXP(-1.0587+0.8836*LN(FF5)+0.284)</f>
        <v>0.62256480317525631</v>
      </c>
      <c r="FH5" s="22">
        <f t="shared" si="22"/>
        <v>3.5322712998141292</v>
      </c>
      <c r="FI5" s="60">
        <f t="shared" si="23"/>
        <v>262.64338241092526</v>
      </c>
      <c r="FJ5" s="60">
        <f ca="1">AVERAGE(OFFSET($FI$3,0,0,'Données projet'!$E$16+1,1))-AVERAGE(OFFSET($H$3,0,0,'Données projet'!$E$16+1,1))</f>
        <v>455.50822833641354</v>
      </c>
      <c r="FK5" s="60">
        <f t="shared" ref="FK5:FK68" si="48">$FK$3</f>
        <v>261.14722581688039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0">
        <f t="shared" si="0"/>
        <v>264.76063455825545</v>
      </c>
      <c r="S6" s="60">
        <f ca="1">AVERAGE(OFFSET($R$3,0,0,'Données projet'!$E$9+1,1))-AVERAGE(OFFSET($H$3,0,0,'Données projet'!$E$9+1,1))</f>
        <v>475.47920969424894</v>
      </c>
      <c r="T6" s="60">
        <f t="shared" si="34"/>
        <v>271.73544012419364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2.3805128205128203</v>
      </c>
      <c r="AI6" s="14">
        <f>IF('Données projet'!$A$62&gt;35,AI5+AH6-AQ5,IF(A6&lt;'Données projet'!$A$62,$AF$205^A6,IF(A6='Données projet'!$A$62,'Données projet'!$B$62,AI5+AH6-AQ5)))</f>
        <v>2.0443363779612804</v>
      </c>
      <c r="AJ6" s="14">
        <f>AI6*VLOOKUP('Données projet'!$B$10,Paramètres!$A$1:$I$89,3,0)*VLOOKUP('Données projet'!$B$10,Paramètres!$A$1:$I$89,5,0)</f>
        <v>1.2225131540208458</v>
      </c>
      <c r="AK6" s="14">
        <f t="shared" si="35"/>
        <v>0.55036308132321654</v>
      </c>
      <c r="AL6" s="22">
        <f t="shared" si="4"/>
        <v>3.0877594432242415</v>
      </c>
      <c r="AM6" s="60">
        <f t="shared" si="5"/>
        <v>263.42109277655754</v>
      </c>
      <c r="AN6" s="60">
        <f ca="1">AVERAGE(OFFSET($AM$3,0,0,'Données projet'!$E$10+1,1))-AVERAGE(OFFSET($H$3,0,0,'Données projet'!$E$10+1,1))</f>
        <v>289.24721145176682</v>
      </c>
      <c r="AO6" s="60">
        <f t="shared" si="36"/>
        <v>229.06617320689003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1.1564102564102565</v>
      </c>
      <c r="BD6" s="13">
        <f>IF('Données projet'!$A$88&gt;35,BD5+BC6-BL5,IF(A6&lt;'Données projet'!$A$88,$BA$205^A6,IF(A6='Données projet'!$A$88,'Données projet'!$B$88,BD5+BC6-BL5)))</f>
        <v>1.769459548794982</v>
      </c>
      <c r="BE6" s="14">
        <f>BD6*VLOOKUP('Données projet'!$B$11,Paramètres!$A$1:$I$89,3,0)*VLOOKUP('Données projet'!$B$11,Paramètres!$A$1:$I$89,5,0)</f>
        <v>1.0581368101793993</v>
      </c>
      <c r="BF6" s="14">
        <f t="shared" si="37"/>
        <v>0.48443690349325391</v>
      </c>
      <c r="BG6" s="22">
        <f t="shared" si="7"/>
        <v>2.6866492179798711</v>
      </c>
      <c r="BH6" s="60">
        <f t="shared" si="8"/>
        <v>263.01998255131321</v>
      </c>
      <c r="BI6" s="60">
        <f ca="1">AVERAGE(OFFSET($BH$3,0,0,'Données projet'!$E$11+1,1))-AVERAGE(OFFSET($H$3,0,0,'Données projet'!$E$11+1,1))</f>
        <v>287.91374663515506</v>
      </c>
      <c r="BJ6" s="60">
        <f t="shared" si="38"/>
        <v>217.76240797006147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2.1</v>
      </c>
      <c r="BY6" s="13">
        <f>IF('Données projet'!$A$114&gt;35,BY5+BX6-CG5,IF(A6&lt;'Données projet'!$A$114,$BV$205^A6,IF(A6='Données projet'!$A$114,'Données projet'!$B$114,BY5+BX6-CG5)))</f>
        <v>1.7518115829322798</v>
      </c>
      <c r="BZ6" s="14">
        <f>BY6*VLOOKUP('Données projet'!$B$12,Paramètres!$A$1:$I$89,3,0)*VLOOKUP('Données projet'!$B$12,Paramètres!$A$1:$I$89,5,0)</f>
        <v>1.5850391202371266</v>
      </c>
      <c r="CA6" s="14">
        <f t="shared" si="39"/>
        <v>0.69232082604846479</v>
      </c>
      <c r="CB6" s="22">
        <f t="shared" si="10"/>
        <v>3.966401906447405</v>
      </c>
      <c r="CC6" s="60">
        <f t="shared" si="11"/>
        <v>264.29973523978072</v>
      </c>
      <c r="CD6" s="60">
        <f ca="1">AVERAGE(OFFSET($CC$3,0,0,'Données projet'!$E$12+1,1))-AVERAGE(OFFSET($H$3,0,0,'Données projet'!$E$12+1,1))</f>
        <v>428.8489304403459</v>
      </c>
      <c r="CE6" s="60">
        <f t="shared" si="40"/>
        <v>247.01165577562966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4.9084615384615384</v>
      </c>
      <c r="CT6" s="13">
        <f>IF('Données projet'!$A$140&gt;35,CT5+CS6-DB5,IF(A6&lt;'Données projet'!$A$140,$CQ$205^A6,IF(A6='Données projet'!$A$140,'Données projet'!$B$140,CT5+CS6-DB5)))</f>
        <v>1.6474288407621522</v>
      </c>
      <c r="CU6" s="18">
        <f>CT6*VLOOKUP('Données projet'!$B$13,Paramètres!$A$1:$I$89,3,0)*VLOOKUP('Données projet'!$B$13,Paramètres!$A$1:$I$89,5,0)</f>
        <v>0.7709966974766872</v>
      </c>
      <c r="CV6" s="14">
        <f t="shared" si="41"/>
        <v>0.36622810482944673</v>
      </c>
      <c r="CW6" s="22">
        <f t="shared" si="13"/>
        <v>1.9806665306831832</v>
      </c>
      <c r="CX6" s="60">
        <f t="shared" si="14"/>
        <v>262.31399986401652</v>
      </c>
      <c r="CY6" s="60">
        <f ca="1">AVERAGE(OFFSET($CX$3,0,0,'Données projet'!$E$13+1,1))-AVERAGE(OFFSET($H$3,0,0,'Données projet'!$E$13+1,1))</f>
        <v>284.88646502866419</v>
      </c>
      <c r="CZ6" s="60">
        <f t="shared" si="42"/>
        <v>190.4880882944471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2.1</v>
      </c>
      <c r="DO6" s="13">
        <f>IF('Données projet'!$A$166&gt;35,DO5+DN6-DW5,IF(A6&lt;'Données projet'!$A$166,$DL$205^A6,IF(A6='Données projet'!$A$166,'Données projet'!$B$166,DO5+DN6-DW5)))</f>
        <v>1.7518115829322798</v>
      </c>
      <c r="DP6" s="18">
        <f>DO6*VLOOKUP('Données projet'!$B$14,Paramètres!$A$1:$I$89,3,0)*VLOOKUP('Données projet'!$B$14,Paramètres!$A$1:$I$89,5,0)</f>
        <v>1.885649987868306</v>
      </c>
      <c r="DQ6" s="14">
        <f t="shared" si="43"/>
        <v>0.8071411281590839</v>
      </c>
      <c r="DR6" s="22">
        <f t="shared" si="16"/>
        <v>4.6899445270810372</v>
      </c>
      <c r="DS6" s="60">
        <f t="shared" si="17"/>
        <v>265.02327786041434</v>
      </c>
      <c r="DT6" s="60">
        <f ca="1">AVERAGE(OFFSET($DS$3,0,0,'Données projet'!$E$14+1,1))-AVERAGE(OFFSET($H$3,0,0,'Données projet'!$E$14+1,1))</f>
        <v>502.07782026233912</v>
      </c>
      <c r="DU6" s="60">
        <f t="shared" si="44"/>
        <v>285.83623046025156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2.4666666666666668</v>
      </c>
      <c r="EJ6" s="13">
        <f>IF('Données projet'!$A$192&gt;35,EJ5+EI6-ER5,IF(A6&lt;'Données projet'!$A$192,$EG$205^A6,IF(A6='Données projet'!$A$192,'Données projet'!$B$192,EJ5+EI6-ER5)))</f>
        <v>2.0589241364785171</v>
      </c>
      <c r="EK6" s="18">
        <f>EJ6*VLOOKUP('Données projet'!$B$15,Paramètres!$A$1:$I$89,3,0)*VLOOKUP('Données projet'!$B$15,Paramètres!$A$1:$I$89,5,0)</f>
        <v>1.7986761256276329</v>
      </c>
      <c r="EL6" s="14">
        <f t="shared" si="45"/>
        <v>0.77415604497611523</v>
      </c>
      <c r="EM6" s="22">
        <f t="shared" si="19"/>
        <v>4.4810160304681945</v>
      </c>
      <c r="EN6" s="60">
        <f t="shared" si="20"/>
        <v>264.81434936380151</v>
      </c>
      <c r="EO6" s="60">
        <f ca="1">AVERAGE(OFFSET($EN$3,0,0,'Données projet'!$E$15+1,1))-AVERAGE(OFFSET($H$3,0,0,'Données projet'!$E$15+1,1))</f>
        <v>339.58437495284466</v>
      </c>
      <c r="EP6" s="60">
        <f t="shared" si="46"/>
        <v>371.26234252426531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2.1</v>
      </c>
      <c r="FE6" s="13">
        <f>IF('Données projet'!$A$218&gt;35,FE5+FD6-FM5,IF(A6&lt;'Données projet'!$A$218,$FB$205^A6,IF(A6='Données projet'!$A$218,'Données projet'!$B$218,FE5+FD6-FM5)))</f>
        <v>1.7518115829322798</v>
      </c>
      <c r="FF6" s="18">
        <f>FE6*VLOOKUP('Données projet'!$B$16,Paramètres!$A$1:$I$89,3,0)*VLOOKUP('Données projet'!$B$16,Paramètres!$A$1:$I$89,5,0)</f>
        <v>1.694352163012101</v>
      </c>
      <c r="FG6" s="14">
        <f t="shared" si="47"/>
        <v>0.73434428233124405</v>
      </c>
      <c r="FH6" s="22">
        <f t="shared" si="22"/>
        <v>4.2299796423063247</v>
      </c>
      <c r="FI6" s="60">
        <f t="shared" si="23"/>
        <v>264.56331297563963</v>
      </c>
      <c r="FJ6" s="60">
        <f ca="1">AVERAGE(OFFSET($FI$3,0,0,'Données projet'!$E$16+1,1))-AVERAGE(OFFSET($H$3,0,0,'Données projet'!$E$16+1,1))</f>
        <v>455.50822833641354</v>
      </c>
      <c r="FK6" s="60">
        <f t="shared" si="48"/>
        <v>261.14722581688039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0">
        <f t="shared" si="0"/>
        <v>266.8580173405054</v>
      </c>
      <c r="S7" s="60">
        <f ca="1">AVERAGE(OFFSET($R$3,0,0,'Données projet'!$E$9+1,1))-AVERAGE(OFFSET($H$3,0,0,'Données projet'!$E$9+1,1))</f>
        <v>475.47920969424894</v>
      </c>
      <c r="T7" s="60">
        <f t="shared" si="34"/>
        <v>271.73544012419364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2.3805128205128203</v>
      </c>
      <c r="AI7" s="14">
        <f>IF('Données projet'!$A$62&gt;35,AI6+AH7-AQ6,IF(A7&lt;'Données projet'!$A$62,$AF$205^A7,IF(A7='Données projet'!$A$62,'Données projet'!$B$62,AI6+AH7-AQ6)))</f>
        <v>2.5945963871419848</v>
      </c>
      <c r="AJ7" s="14">
        <f>AI7*VLOOKUP('Données projet'!$B$10,Paramètres!$A$1:$I$89,3,0)*VLOOKUP('Données projet'!$B$10,Paramètres!$A$1:$I$89,5,0)</f>
        <v>1.551568639510907</v>
      </c>
      <c r="AK7" s="14">
        <f t="shared" si="35"/>
        <v>0.67938712805030732</v>
      </c>
      <c r="AL7" s="22">
        <f t="shared" si="4"/>
        <v>3.8855812951691147</v>
      </c>
      <c r="AM7" s="60">
        <f t="shared" si="5"/>
        <v>265.44113685072466</v>
      </c>
      <c r="AN7" s="60">
        <f ca="1">AVERAGE(OFFSET($AM$3,0,0,'Données projet'!$E$10+1,1))-AVERAGE(OFFSET($H$3,0,0,'Données projet'!$E$10+1,1))</f>
        <v>289.24721145176682</v>
      </c>
      <c r="AO7" s="60">
        <f t="shared" si="36"/>
        <v>229.06617320689003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1.1564102564102565</v>
      </c>
      <c r="BD7" s="13">
        <f>IF('Données projet'!$A$88&gt;35,BD6+BC7-BL6,IF(A7&lt;'Données projet'!$A$88,$BA$205^A7,IF(A7='Données projet'!$A$88,'Données projet'!$B$88,BD6+BC7-BL6)))</f>
        <v>2.1401991391779651</v>
      </c>
      <c r="BE7" s="14">
        <f>BD7*VLOOKUP('Données projet'!$B$11,Paramètres!$A$1:$I$89,3,0)*VLOOKUP('Données projet'!$B$11,Paramètres!$A$1:$I$89,5,0)</f>
        <v>1.2798390852284232</v>
      </c>
      <c r="BF7" s="14">
        <f t="shared" si="37"/>
        <v>0.57310546386036043</v>
      </c>
      <c r="BG7" s="22">
        <f t="shared" si="7"/>
        <v>3.2272117563296319</v>
      </c>
      <c r="BH7" s="60">
        <f t="shared" si="8"/>
        <v>264.78276731188515</v>
      </c>
      <c r="BI7" s="60">
        <f ca="1">AVERAGE(OFFSET($BH$3,0,0,'Données projet'!$E$11+1,1))-AVERAGE(OFFSET($H$3,0,0,'Données projet'!$E$11+1,1))</f>
        <v>287.91374663515506</v>
      </c>
      <c r="BJ7" s="60">
        <f t="shared" si="38"/>
        <v>217.76240797006147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2.1</v>
      </c>
      <c r="BY7" s="13">
        <f>IF('Données projet'!$A$114&gt;35,BY6+BX7-CG6,IF(A7&lt;'Données projet'!$A$114,$BV$205^A7,IF(A7='Données projet'!$A$114,'Données projet'!$B$114,BY6+BX7-CG6)))</f>
        <v>2.1117857649667546</v>
      </c>
      <c r="BZ7" s="14">
        <f>BY7*VLOOKUP('Données projet'!$B$12,Paramètres!$A$1:$I$89,3,0)*VLOOKUP('Données projet'!$B$12,Paramètres!$A$1:$I$89,5,0)</f>
        <v>1.9107437601419195</v>
      </c>
      <c r="CA7" s="14">
        <f t="shared" si="39"/>
        <v>0.81662477151702284</v>
      </c>
      <c r="CB7" s="22">
        <f t="shared" si="10"/>
        <v>4.7501668593059909</v>
      </c>
      <c r="CC7" s="60">
        <f t="shared" si="11"/>
        <v>266.30572241486152</v>
      </c>
      <c r="CD7" s="60">
        <f ca="1">AVERAGE(OFFSET($CC$3,0,0,'Données projet'!$E$12+1,1))-AVERAGE(OFFSET($H$3,0,0,'Données projet'!$E$12+1,1))</f>
        <v>428.8489304403459</v>
      </c>
      <c r="CE7" s="60">
        <f t="shared" si="40"/>
        <v>247.01165577562966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4.9084615384615384</v>
      </c>
      <c r="CT7" s="13">
        <f>IF('Données projet'!$A$140&gt;35,CT6+CS7-DB6,IF(A7&lt;'Données projet'!$A$140,$CQ$205^A7,IF(A7='Données projet'!$A$140,'Données projet'!$B$140,CT6+CS7-DB6)))</f>
        <v>1.9456985396533186</v>
      </c>
      <c r="CU7" s="18">
        <f>CT7*VLOOKUP('Données projet'!$B$13,Paramètres!$A$1:$I$89,3,0)*VLOOKUP('Données projet'!$B$13,Paramètres!$A$1:$I$89,5,0)</f>
        <v>0.91058691655775315</v>
      </c>
      <c r="CV7" s="14">
        <f t="shared" si="41"/>
        <v>0.42423691816235021</v>
      </c>
      <c r="CW7" s="22">
        <f t="shared" si="13"/>
        <v>2.32481817880418</v>
      </c>
      <c r="CX7" s="60">
        <f t="shared" si="14"/>
        <v>263.88037373435975</v>
      </c>
      <c r="CY7" s="60">
        <f ca="1">AVERAGE(OFFSET($CX$3,0,0,'Données projet'!$E$13+1,1))-AVERAGE(OFFSET($H$3,0,0,'Données projet'!$E$13+1,1))</f>
        <v>284.88646502866419</v>
      </c>
      <c r="CZ7" s="60">
        <f t="shared" si="42"/>
        <v>190.4880882944471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2.1</v>
      </c>
      <c r="DO7" s="13">
        <f>IF('Données projet'!$A$166&gt;35,DO6+DN7-DW6,IF(A7&lt;'Données projet'!$A$166,$DL$205^A7,IF(A7='Données projet'!$A$166,'Données projet'!$B$166,DO6+DN7-DW6)))</f>
        <v>2.1117857649667546</v>
      </c>
      <c r="DP7" s="18">
        <f>DO7*VLOOKUP('Données projet'!$B$14,Paramètres!$A$1:$I$89,3,0)*VLOOKUP('Données projet'!$B$14,Paramètres!$A$1:$I$89,5,0)</f>
        <v>2.2731261974102144</v>
      </c>
      <c r="DQ7" s="14">
        <f t="shared" si="43"/>
        <v>0.95206068424520052</v>
      </c>
      <c r="DR7" s="22">
        <f t="shared" si="16"/>
        <v>5.617200485549847</v>
      </c>
      <c r="DS7" s="60">
        <f t="shared" si="17"/>
        <v>267.1727560411054</v>
      </c>
      <c r="DT7" s="60">
        <f ca="1">AVERAGE(OFFSET($DS$3,0,0,'Données projet'!$E$14+1,1))-AVERAGE(OFFSET($H$3,0,0,'Données projet'!$E$14+1,1))</f>
        <v>502.07782026233912</v>
      </c>
      <c r="DU7" s="60">
        <f t="shared" si="44"/>
        <v>285.83623046025156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2.4666666666666668</v>
      </c>
      <c r="EJ7" s="13">
        <f>IF('Données projet'!$A$192&gt;35,EJ6+EI7-ER6,IF(A7&lt;'Données projet'!$A$192,$EG$205^A7,IF(A7='Données projet'!$A$192,'Données projet'!$B$192,EJ6+EI7-ER6)))</f>
        <v>2.6193113595857573</v>
      </c>
      <c r="EK7" s="18">
        <f>EJ7*VLOOKUP('Données projet'!$B$15,Paramètres!$A$1:$I$89,3,0)*VLOOKUP('Données projet'!$B$15,Paramètres!$A$1:$I$89,5,0)</f>
        <v>2.2882304037341177</v>
      </c>
      <c r="EL7" s="14">
        <f t="shared" si="45"/>
        <v>0.95764830769786036</v>
      </c>
      <c r="EM7" s="22">
        <f t="shared" si="19"/>
        <v>5.6532387557440282</v>
      </c>
      <c r="EN7" s="60">
        <f t="shared" si="20"/>
        <v>267.20879431129958</v>
      </c>
      <c r="EO7" s="60">
        <f ca="1">AVERAGE(OFFSET($EN$3,0,0,'Données projet'!$E$15+1,1))-AVERAGE(OFFSET($H$3,0,0,'Données projet'!$E$15+1,1))</f>
        <v>339.58437495284466</v>
      </c>
      <c r="EP7" s="60">
        <f t="shared" si="46"/>
        <v>371.26234252426531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2.1</v>
      </c>
      <c r="FE7" s="13">
        <f>IF('Données projet'!$A$218&gt;35,FE6+FD7-FM6,IF(A7&lt;'Données projet'!$A$218,$FB$205^A7,IF(A7='Données projet'!$A$218,'Données projet'!$B$218,FE6+FD7-FM6)))</f>
        <v>2.1117857649667546</v>
      </c>
      <c r="FF7" s="18">
        <f>FE7*VLOOKUP('Données projet'!$B$16,Paramètres!$A$1:$I$89,3,0)*VLOOKUP('Données projet'!$B$16,Paramètres!$A$1:$I$89,5,0)</f>
        <v>2.042519191875845</v>
      </c>
      <c r="FG7" s="14">
        <f t="shared" si="47"/>
        <v>0.86619340226463792</v>
      </c>
      <c r="FH7" s="22">
        <f t="shared" si="22"/>
        <v>5.0660077681280073</v>
      </c>
      <c r="FI7" s="60">
        <f t="shared" si="23"/>
        <v>266.62156332368357</v>
      </c>
      <c r="FJ7" s="60">
        <f ca="1">AVERAGE(OFFSET($FI$3,0,0,'Données projet'!$E$16+1,1))-AVERAGE(OFFSET($H$3,0,0,'Données projet'!$E$16+1,1))</f>
        <v>455.50822833641354</v>
      </c>
      <c r="FK7" s="60">
        <f t="shared" si="48"/>
        <v>261.14722581688039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0">
        <f t="shared" si="0"/>
        <v>269.12902329365244</v>
      </c>
      <c r="S8" s="60">
        <f ca="1">AVERAGE(OFFSET($R$3,0,0,'Données projet'!$E$9+1,1))-AVERAGE(OFFSET($H$3,0,0,'Données projet'!$E$9+1,1))</f>
        <v>475.47920969424894</v>
      </c>
      <c r="T8" s="60">
        <f t="shared" si="34"/>
        <v>271.73544012419364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2.3805128205128203</v>
      </c>
      <c r="AI8" s="14">
        <f>IF('Données projet'!$A$62&gt;35,AI7+AH8-AQ7,IF(A8&lt;'Données projet'!$A$62,$AF$205^A8,IF(A8='Données projet'!$A$62,'Données projet'!$B$62,AI7+AH8-AQ7)))</f>
        <v>3.2929661110289854</v>
      </c>
      <c r="AJ8" s="14">
        <f>AI8*VLOOKUP('Données projet'!$B$10,Paramètres!$A$1:$I$89,3,0)*VLOOKUP('Données projet'!$B$10,Paramètres!$A$1:$I$89,5,0)</f>
        <v>1.9691937343953334</v>
      </c>
      <c r="AK8" s="14">
        <f t="shared" si="35"/>
        <v>0.83865885162703413</v>
      </c>
      <c r="AL8" s="22">
        <f t="shared" si="4"/>
        <v>4.8903432539889566</v>
      </c>
      <c r="AM8" s="60">
        <f t="shared" si="5"/>
        <v>267.6681210317667</v>
      </c>
      <c r="AN8" s="60">
        <f ca="1">AVERAGE(OFFSET($AM$3,0,0,'Données projet'!$E$10+1,1))-AVERAGE(OFFSET($H$3,0,0,'Données projet'!$E$10+1,1))</f>
        <v>289.24721145176682</v>
      </c>
      <c r="AO8" s="60">
        <f t="shared" si="36"/>
        <v>229.06617320689003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1.1564102564102565</v>
      </c>
      <c r="BD8" s="13">
        <f>IF('Données projet'!$A$88&gt;35,BD7+BC8-BL7,IF(A8&lt;'Données projet'!$A$88,$BA$205^A8,IF(A8='Données projet'!$A$88,'Données projet'!$B$88,BD7+BC8-BL7)))</f>
        <v>2.5886165967780568</v>
      </c>
      <c r="BE8" s="14">
        <f>BD8*VLOOKUP('Données projet'!$B$11,Paramètres!$A$1:$I$89,3,0)*VLOOKUP('Données projet'!$B$11,Paramètres!$A$1:$I$89,5,0)</f>
        <v>1.5479927248732781</v>
      </c>
      <c r="BF8" s="14">
        <f t="shared" si="37"/>
        <v>0.67800341043004941</v>
      </c>
      <c r="BG8" s="22">
        <f t="shared" si="7"/>
        <v>3.8769432689866288</v>
      </c>
      <c r="BH8" s="60">
        <f t="shared" si="8"/>
        <v>266.65472104676439</v>
      </c>
      <c r="BI8" s="60">
        <f ca="1">AVERAGE(OFFSET($BH$3,0,0,'Données projet'!$E$11+1,1))-AVERAGE(OFFSET($H$3,0,0,'Données projet'!$E$11+1,1))</f>
        <v>287.91374663515506</v>
      </c>
      <c r="BJ8" s="60">
        <f t="shared" si="38"/>
        <v>217.76240797006147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2.1</v>
      </c>
      <c r="BY8" s="13">
        <f>IF('Données projet'!$A$114&gt;35,BY7+BX8-CG7,IF(A8&lt;'Données projet'!$A$114,$BV$205^A8,IF(A8='Données projet'!$A$114,'Données projet'!$B$114,BY7+BX8-CG7)))</f>
        <v>2.5457298950218314</v>
      </c>
      <c r="BZ8" s="14">
        <f>BY8*VLOOKUP('Données projet'!$B$12,Paramètres!$A$1:$I$89,3,0)*VLOOKUP('Données projet'!$B$12,Paramètres!$A$1:$I$89,5,0)</f>
        <v>2.3033764090157529</v>
      </c>
      <c r="CA8" s="14">
        <f t="shared" si="39"/>
        <v>0.96324708482559218</v>
      </c>
      <c r="CB8" s="22">
        <f t="shared" si="10"/>
        <v>5.6893692517736758</v>
      </c>
      <c r="CC8" s="60">
        <f t="shared" si="11"/>
        <v>268.46714702955143</v>
      </c>
      <c r="CD8" s="60">
        <f ca="1">AVERAGE(OFFSET($CC$3,0,0,'Données projet'!$E$12+1,1))-AVERAGE(OFFSET($H$3,0,0,'Données projet'!$E$12+1,1))</f>
        <v>428.8489304403459</v>
      </c>
      <c r="CE8" s="60">
        <f t="shared" si="40"/>
        <v>247.01165577562966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4.9084615384615384</v>
      </c>
      <c r="CT8" s="13">
        <f>IF('Données projet'!$A$140&gt;35,CT7+CS8-DB7,IF(A8&lt;'Données projet'!$A$140,$CQ$205^A8,IF(A8='Données projet'!$A$140,'Données projet'!$B$140,CT7+CS8-DB7)))</f>
        <v>2.2979704576846265</v>
      </c>
      <c r="CU8" s="18">
        <f>CT8*VLOOKUP('Données projet'!$B$13,Paramètres!$A$1:$I$89,3,0)*VLOOKUP('Données projet'!$B$13,Paramètres!$A$1:$I$89,5,0)</f>
        <v>1.0754501741964051</v>
      </c>
      <c r="CV8" s="14">
        <f t="shared" si="41"/>
        <v>0.49143405532927165</v>
      </c>
      <c r="CW8" s="22">
        <f t="shared" si="13"/>
        <v>2.7289900330905534</v>
      </c>
      <c r="CX8" s="60">
        <f t="shared" si="14"/>
        <v>265.50676781086833</v>
      </c>
      <c r="CY8" s="60">
        <f ca="1">AVERAGE(OFFSET($CX$3,0,0,'Données projet'!$E$13+1,1))-AVERAGE(OFFSET($H$3,0,0,'Données projet'!$E$13+1,1))</f>
        <v>284.88646502866419</v>
      </c>
      <c r="CZ8" s="60">
        <f t="shared" si="42"/>
        <v>190.4880882944471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2.1</v>
      </c>
      <c r="DO8" s="13">
        <f>IF('Données projet'!$A$166&gt;35,DO7+DN8-DW7,IF(A8&lt;'Données projet'!$A$166,$DL$205^A8,IF(A8='Données projet'!$A$166,'Données projet'!$B$166,DO7+DN8-DW7)))</f>
        <v>2.5457298950218314</v>
      </c>
      <c r="DP8" s="18">
        <f>DO8*VLOOKUP('Données projet'!$B$14,Paramètres!$A$1:$I$89,3,0)*VLOOKUP('Données projet'!$B$14,Paramètres!$A$1:$I$89,5,0)</f>
        <v>2.740223659001499</v>
      </c>
      <c r="DQ8" s="14">
        <f t="shared" si="43"/>
        <v>1.1230000737947632</v>
      </c>
      <c r="DR8" s="22">
        <f t="shared" si="16"/>
        <v>6.7284480012868242</v>
      </c>
      <c r="DS8" s="60">
        <f t="shared" si="17"/>
        <v>269.50622577906461</v>
      </c>
      <c r="DT8" s="60">
        <f ca="1">AVERAGE(OFFSET($DS$3,0,0,'Données projet'!$E$14+1,1))-AVERAGE(OFFSET($H$3,0,0,'Données projet'!$E$14+1,1))</f>
        <v>502.07782026233912</v>
      </c>
      <c r="DU8" s="60">
        <f t="shared" si="44"/>
        <v>285.83623046025156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2.4666666666666668</v>
      </c>
      <c r="EJ8" s="13">
        <f>IF('Données projet'!$A$192&gt;35,EJ7+EI8-ER7,IF(A8&lt;'Données projet'!$A$192,$EG$205^A8,IF(A8='Données projet'!$A$192,'Données projet'!$B$192,EJ7+EI8-ER7)))</f>
        <v>3.332221851645953</v>
      </c>
      <c r="EK8" s="18">
        <f>EJ8*VLOOKUP('Données projet'!$B$15,Paramètres!$A$1:$I$89,3,0)*VLOOKUP('Données projet'!$B$15,Paramètres!$A$1:$I$89,5,0)</f>
        <v>2.9110290095979048</v>
      </c>
      <c r="EL8" s="14">
        <f t="shared" si="45"/>
        <v>1.1846323324451606</v>
      </c>
      <c r="EM8" s="22">
        <f t="shared" si="19"/>
        <v>7.133276837391672</v>
      </c>
      <c r="EN8" s="60">
        <f t="shared" si="20"/>
        <v>269.91105461516946</v>
      </c>
      <c r="EO8" s="60">
        <f ca="1">AVERAGE(OFFSET($EN$3,0,0,'Données projet'!$E$15+1,1))-AVERAGE(OFFSET($H$3,0,0,'Données projet'!$E$15+1,1))</f>
        <v>339.58437495284466</v>
      </c>
      <c r="EP8" s="60">
        <f t="shared" si="46"/>
        <v>371.26234252426531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2.1</v>
      </c>
      <c r="FE8" s="13">
        <f>IF('Données projet'!$A$218&gt;35,FE7+FD8-FM7,IF(A8&lt;'Données projet'!$A$218,$FB$205^A8,IF(A8='Données projet'!$A$218,'Données projet'!$B$218,FE7+FD8-FM7)))</f>
        <v>2.5457298950218314</v>
      </c>
      <c r="FF8" s="18">
        <f>FE8*VLOOKUP('Données projet'!$B$16,Paramètres!$A$1:$I$89,3,0)*VLOOKUP('Données projet'!$B$16,Paramètres!$A$1:$I$89,5,0)</f>
        <v>2.4622299544651152</v>
      </c>
      <c r="FG8" s="14">
        <f t="shared" si="47"/>
        <v>1.021715601495419</v>
      </c>
      <c r="FH8" s="22">
        <f t="shared" si="22"/>
        <v>6.0678718432979295</v>
      </c>
      <c r="FI8" s="60">
        <f t="shared" si="23"/>
        <v>268.84564962107572</v>
      </c>
      <c r="FJ8" s="60">
        <f ca="1">AVERAGE(OFFSET($FI$3,0,0,'Données projet'!$E$16+1,1))-AVERAGE(OFFSET($H$3,0,0,'Données projet'!$E$16+1,1))</f>
        <v>455.50822833641354</v>
      </c>
      <c r="FK8" s="60">
        <f t="shared" si="48"/>
        <v>261.14722581688039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0">
        <f t="shared" si="0"/>
        <v>271.60821456387049</v>
      </c>
      <c r="S9" s="60">
        <f ca="1">AVERAGE(OFFSET($R$3,0,0,'Données projet'!$E$9+1,1))-AVERAGE(OFFSET($H$3,0,0,'Données projet'!$E$9+1,1))</f>
        <v>475.47920969424894</v>
      </c>
      <c r="T9" s="60">
        <f t="shared" si="34"/>
        <v>271.73544012419364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2.3805128205128203</v>
      </c>
      <c r="AI9" s="14">
        <f>IF('Données projet'!$A$62&gt;35,AI8+AH9-AQ8,IF(A9&lt;'Données projet'!$A$62,$AF$205^A9,IF(A9='Données projet'!$A$62,'Données projet'!$B$62,AI8+AH9-AQ8)))</f>
        <v>4.1793112262558481</v>
      </c>
      <c r="AJ9" s="14">
        <f>AI9*VLOOKUP('Données projet'!$B$10,Paramètres!$A$1:$I$89,3,0)*VLOOKUP('Données projet'!$B$10,Paramètres!$A$1:$I$89,5,0)</f>
        <v>2.4992281133009975</v>
      </c>
      <c r="AK9" s="14">
        <f t="shared" si="35"/>
        <v>1.0352693484653335</v>
      </c>
      <c r="AL9" s="22">
        <f t="shared" si="4"/>
        <v>6.1559164125763592</v>
      </c>
      <c r="AM9" s="60">
        <f t="shared" si="5"/>
        <v>270.15591641257635</v>
      </c>
      <c r="AN9" s="60">
        <f ca="1">AVERAGE(OFFSET($AM$3,0,0,'Données projet'!$E$10+1,1))-AVERAGE(OFFSET($H$3,0,0,'Données projet'!$E$10+1,1))</f>
        <v>289.24721145176682</v>
      </c>
      <c r="AO9" s="60">
        <f t="shared" si="36"/>
        <v>229.06617320689003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1.1564102564102565</v>
      </c>
      <c r="BD9" s="13">
        <f>IF('Données projet'!$A$88&gt;35,BD8+BC9-BL8,IF(A9&lt;'Données projet'!$A$88,$BA$205^A9,IF(A9='Données projet'!$A$88,'Données projet'!$B$88,BD8+BC9-BL8)))</f>
        <v>3.1309870948217418</v>
      </c>
      <c r="BE9" s="14">
        <f>BD9*VLOOKUP('Données projet'!$B$11,Paramètres!$A$1:$I$89,3,0)*VLOOKUP('Données projet'!$B$11,Paramètres!$A$1:$I$89,5,0)</f>
        <v>1.8723302827034016</v>
      </c>
      <c r="BF9" s="14">
        <f t="shared" si="37"/>
        <v>0.80210127723853497</v>
      </c>
      <c r="BG9" s="22">
        <f t="shared" si="7"/>
        <v>4.6579683002322065</v>
      </c>
      <c r="BH9" s="60">
        <f t="shared" si="8"/>
        <v>268.6579683002322</v>
      </c>
      <c r="BI9" s="60">
        <f ca="1">AVERAGE(OFFSET($BH$3,0,0,'Données projet'!$E$11+1,1))-AVERAGE(OFFSET($H$3,0,0,'Données projet'!$E$11+1,1))</f>
        <v>287.91374663515506</v>
      </c>
      <c r="BJ9" s="60">
        <f t="shared" si="38"/>
        <v>217.76240797006147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2.1</v>
      </c>
      <c r="BY9" s="13">
        <f>IF('Données projet'!$A$114&gt;35,BY8+BX9-CG8,IF(A9&lt;'Données projet'!$A$114,$BV$205^A9,IF(A9='Données projet'!$A$114,'Données projet'!$B$114,BY8+BX9-CG8)))</f>
        <v>3.0688438220956993</v>
      </c>
      <c r="BZ9" s="14">
        <f>BY9*VLOOKUP('Données projet'!$B$12,Paramètres!$A$1:$I$89,3,0)*VLOOKUP('Données projet'!$B$12,Paramètres!$A$1:$I$89,5,0)</f>
        <v>2.7766898902321886</v>
      </c>
      <c r="CA9" s="14">
        <f t="shared" si="39"/>
        <v>1.1361949561012803</v>
      </c>
      <c r="CB9" s="22">
        <f t="shared" si="10"/>
        <v>6.8149411073641248</v>
      </c>
      <c r="CC9" s="60">
        <f t="shared" si="11"/>
        <v>270.81494110736412</v>
      </c>
      <c r="CD9" s="60">
        <f ca="1">AVERAGE(OFFSET($CC$3,0,0,'Données projet'!$E$12+1,1))-AVERAGE(OFFSET($H$3,0,0,'Données projet'!$E$12+1,1))</f>
        <v>428.8489304403459</v>
      </c>
      <c r="CE9" s="60">
        <f t="shared" si="40"/>
        <v>247.01165577562966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4.9084615384615384</v>
      </c>
      <c r="CT9" s="13">
        <f>IF('Données projet'!$A$140&gt;35,CT8+CS9-DB8,IF(A9&lt;'Données projet'!$A$140,$CQ$205^A9,IF(A9='Données projet'!$A$140,'Données projet'!$B$140,CT8+CS9-DB8)))</f>
        <v>2.7140217853749289</v>
      </c>
      <c r="CU9" s="18">
        <f>CT9*VLOOKUP('Données projet'!$B$13,Paramètres!$A$1:$I$89,3,0)*VLOOKUP('Données projet'!$B$13,Paramètres!$A$1:$I$89,5,0)</f>
        <v>1.2701621955554667</v>
      </c>
      <c r="CV9" s="14">
        <f t="shared" si="41"/>
        <v>0.56927490371064715</v>
      </c>
      <c r="CW9" s="22">
        <f t="shared" si="13"/>
        <v>3.203686281221815</v>
      </c>
      <c r="CX9" s="60">
        <f t="shared" si="14"/>
        <v>267.20368628122179</v>
      </c>
      <c r="CY9" s="60">
        <f ca="1">AVERAGE(OFFSET($CX$3,0,0,'Données projet'!$E$13+1,1))-AVERAGE(OFFSET($H$3,0,0,'Données projet'!$E$13+1,1))</f>
        <v>284.88646502866419</v>
      </c>
      <c r="CZ9" s="60">
        <f t="shared" si="42"/>
        <v>190.4880882944471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2.1</v>
      </c>
      <c r="DO9" s="13">
        <f>IF('Données projet'!$A$166&gt;35,DO8+DN9-DW8,IF(A9&lt;'Données projet'!$A$166,$DL$205^A9,IF(A9='Données projet'!$A$166,'Données projet'!$B$166,DO8+DN9-DW8)))</f>
        <v>3.0688438220956993</v>
      </c>
      <c r="DP9" s="18">
        <f>DO9*VLOOKUP('Données projet'!$B$14,Paramètres!$A$1:$I$89,3,0)*VLOOKUP('Données projet'!$B$14,Paramètres!$A$1:$I$89,5,0)</f>
        <v>3.3033034901038101</v>
      </c>
      <c r="DQ9" s="14">
        <f t="shared" si="43"/>
        <v>1.3246310730107231</v>
      </c>
      <c r="DR9" s="22">
        <f t="shared" si="16"/>
        <v>8.0603193640911446</v>
      </c>
      <c r="DS9" s="60">
        <f t="shared" si="17"/>
        <v>272.06031936409113</v>
      </c>
      <c r="DT9" s="60">
        <f ca="1">AVERAGE(OFFSET($DS$3,0,0,'Données projet'!$E$14+1,1))-AVERAGE(OFFSET($H$3,0,0,'Données projet'!$E$14+1,1))</f>
        <v>502.07782026233912</v>
      </c>
      <c r="DU9" s="60">
        <f t="shared" si="44"/>
        <v>285.83623046025156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2.4666666666666668</v>
      </c>
      <c r="EJ9" s="13">
        <f>IF('Données projet'!$A$192&gt;35,EJ8+EI9-ER8,IF(A9&lt;'Données projet'!$A$192,$EG$205^A9,IF(A9='Données projet'!$A$192,'Données projet'!$B$192,EJ8+EI9-ER8)))</f>
        <v>4.2391685997738069</v>
      </c>
      <c r="EK9" s="18">
        <f>EJ9*VLOOKUP('Données projet'!$B$15,Paramètres!$A$1:$I$89,3,0)*VLOOKUP('Données projet'!$B$15,Paramètres!$A$1:$I$89,5,0)</f>
        <v>3.7033376887623981</v>
      </c>
      <c r="EL9" s="14">
        <f t="shared" si="45"/>
        <v>1.4654166376047331</v>
      </c>
      <c r="EM9" s="22">
        <f t="shared" si="19"/>
        <v>9.002247118422753</v>
      </c>
      <c r="EN9" s="60">
        <f t="shared" si="20"/>
        <v>273.00224711842276</v>
      </c>
      <c r="EO9" s="60">
        <f ca="1">AVERAGE(OFFSET($EN$3,0,0,'Données projet'!$E$15+1,1))-AVERAGE(OFFSET($H$3,0,0,'Données projet'!$E$15+1,1))</f>
        <v>339.58437495284466</v>
      </c>
      <c r="EP9" s="60">
        <f t="shared" si="46"/>
        <v>371.26234252426531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2.1</v>
      </c>
      <c r="FE9" s="13">
        <f>IF('Données projet'!$A$218&gt;35,FE8+FD9-FM8,IF(A9&lt;'Données projet'!$A$218,$FB$205^A9,IF(A9='Données projet'!$A$218,'Données projet'!$B$218,FE8+FD9-FM8)))</f>
        <v>3.0688438220956993</v>
      </c>
      <c r="FF9" s="18">
        <f>FE9*VLOOKUP('Données projet'!$B$16,Paramètres!$A$1:$I$89,3,0)*VLOOKUP('Données projet'!$B$16,Paramètres!$A$1:$I$89,5,0)</f>
        <v>2.9681857447309605</v>
      </c>
      <c r="FG9" s="14">
        <f t="shared" si="47"/>
        <v>1.2051613041728233</v>
      </c>
      <c r="FH9" s="22">
        <f t="shared" si="22"/>
        <v>7.2685794435074236</v>
      </c>
      <c r="FI9" s="60">
        <f t="shared" si="23"/>
        <v>271.26857944350741</v>
      </c>
      <c r="FJ9" s="60">
        <f ca="1">AVERAGE(OFFSET($FI$3,0,0,'Données projet'!$E$16+1,1))-AVERAGE(OFFSET($H$3,0,0,'Données projet'!$E$16+1,1))</f>
        <v>455.50822833641354</v>
      </c>
      <c r="FK9" s="60">
        <f t="shared" si="48"/>
        <v>261.14722581688039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0">
        <f t="shared" si="0"/>
        <v>274.33705514539406</v>
      </c>
      <c r="S10" s="60">
        <f ca="1">AVERAGE(OFFSET($R$3,0,0,'Données projet'!$E$9+1,1))-AVERAGE(OFFSET($H$3,0,0,'Données projet'!$E$9+1,1))</f>
        <v>475.47920969424894</v>
      </c>
      <c r="T10" s="60">
        <f t="shared" si="34"/>
        <v>271.73544012419364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2.3805128205128203</v>
      </c>
      <c r="AI10" s="14">
        <f>IF('Données projet'!$A$62&gt;35,AI9+AH10-AQ9,IF(A10&lt;'Données projet'!$A$62,$AF$205^A10,IF(A10='Données projet'!$A$62,'Données projet'!$B$62,AI9+AH10-AQ9)))</f>
        <v>5.304227780361269</v>
      </c>
      <c r="AJ10" s="14">
        <f>AI10*VLOOKUP('Données projet'!$B$10,Paramètres!$A$1:$I$89,3,0)*VLOOKUP('Données projet'!$B$10,Paramètres!$A$1:$I$89,5,0)</f>
        <v>3.1719282126560389</v>
      </c>
      <c r="AK10" s="14">
        <f t="shared" si="35"/>
        <v>1.2779721120125676</v>
      </c>
      <c r="AL10" s="22">
        <f t="shared" si="4"/>
        <v>7.7502430654644883</v>
      </c>
      <c r="AM10" s="60">
        <f t="shared" si="5"/>
        <v>272.9724652876867</v>
      </c>
      <c r="AN10" s="60">
        <f ca="1">AVERAGE(OFFSET($AM$3,0,0,'Données projet'!$E$10+1,1))-AVERAGE(OFFSET($H$3,0,0,'Données projet'!$E$10+1,1))</f>
        <v>289.24721145176682</v>
      </c>
      <c r="AO10" s="60">
        <f t="shared" si="36"/>
        <v>229.06617320689003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1.1564102564102565</v>
      </c>
      <c r="BD10" s="13">
        <f>IF('Données projet'!$A$88&gt;35,BD9+BC10-BL9,IF(A10&lt;'Données projet'!$A$88,$BA$205^A10,IF(A10='Données projet'!$A$88,'Données projet'!$B$88,BD9+BC10-BL9)))</f>
        <v>3.7869958031412509</v>
      </c>
      <c r="BE10" s="14">
        <f>BD10*VLOOKUP('Données projet'!$B$11,Paramètres!$A$1:$I$89,3,0)*VLOOKUP('Données projet'!$B$11,Paramètres!$A$1:$I$89,5,0)</f>
        <v>2.2646234902784683</v>
      </c>
      <c r="BF10" s="14">
        <f t="shared" si="37"/>
        <v>0.94891330788381933</v>
      </c>
      <c r="BG10" s="22">
        <f t="shared" si="7"/>
        <v>5.5969099234659838</v>
      </c>
      <c r="BH10" s="60">
        <f t="shared" si="8"/>
        <v>270.81913214568823</v>
      </c>
      <c r="BI10" s="60">
        <f ca="1">AVERAGE(OFFSET($BH$3,0,0,'Données projet'!$E$11+1,1))-AVERAGE(OFFSET($H$3,0,0,'Données projet'!$E$11+1,1))</f>
        <v>287.91374663515506</v>
      </c>
      <c r="BJ10" s="60">
        <f t="shared" si="38"/>
        <v>217.76240797006147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2.1</v>
      </c>
      <c r="BY10" s="13">
        <f>IF('Données projet'!$A$114&gt;35,BY9+BX10-CG9,IF(A10&lt;'Données projet'!$A$114,$BV$205^A10,IF(A10='Données projet'!$A$114,'Données projet'!$B$114,BY9+BX10-CG9)))</f>
        <v>3.6994507637402658</v>
      </c>
      <c r="BZ10" s="14">
        <f>BY10*VLOOKUP('Données projet'!$B$12,Paramètres!$A$1:$I$89,3,0)*VLOOKUP('Données projet'!$B$12,Paramètres!$A$1:$I$89,5,0)</f>
        <v>3.3472630510321921</v>
      </c>
      <c r="CA10" s="14">
        <f t="shared" si="39"/>
        <v>1.34019505338418</v>
      </c>
      <c r="CB10" s="22">
        <f t="shared" si="10"/>
        <v>8.1639895318585136</v>
      </c>
      <c r="CC10" s="60">
        <f t="shared" si="11"/>
        <v>273.38621175408076</v>
      </c>
      <c r="CD10" s="60">
        <f ca="1">AVERAGE(OFFSET($CC$3,0,0,'Données projet'!$E$12+1,1))-AVERAGE(OFFSET($H$3,0,0,'Données projet'!$E$12+1,1))</f>
        <v>428.8489304403459</v>
      </c>
      <c r="CE10" s="60">
        <f t="shared" si="40"/>
        <v>247.01165577562966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4.9084615384615384</v>
      </c>
      <c r="CT10" s="13">
        <f>IF('Données projet'!$A$140&gt;35,CT9+CS10-DB9,IF(A10&lt;'Données projet'!$A$140,$CQ$205^A10,IF(A10='Données projet'!$A$140,'Données projet'!$B$140,CT9+CS10-DB9)))</f>
        <v>3.2053998896536791</v>
      </c>
      <c r="CU10" s="18">
        <f>CT10*VLOOKUP('Données projet'!$B$13,Paramètres!$A$1:$I$89,3,0)*VLOOKUP('Données projet'!$B$13,Paramètres!$A$1:$I$89,5,0)</f>
        <v>1.5001271483579217</v>
      </c>
      <c r="CV10" s="14">
        <f t="shared" si="41"/>
        <v>0.65944537721878049</v>
      </c>
      <c r="CW10" s="22">
        <f t="shared" si="13"/>
        <v>3.7612554820460891</v>
      </c>
      <c r="CX10" s="60">
        <f t="shared" si="14"/>
        <v>268.9834777042683</v>
      </c>
      <c r="CY10" s="60">
        <f ca="1">AVERAGE(OFFSET($CX$3,0,0,'Données projet'!$E$13+1,1))-AVERAGE(OFFSET($H$3,0,0,'Données projet'!$E$13+1,1))</f>
        <v>284.88646502866419</v>
      </c>
      <c r="CZ10" s="60">
        <f t="shared" si="42"/>
        <v>190.4880882944471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2.1</v>
      </c>
      <c r="DO10" s="13">
        <f>IF('Données projet'!$A$166&gt;35,DO9+DN10-DW9,IF(A10&lt;'Données projet'!$A$166,$DL$205^A10,IF(A10='Données projet'!$A$166,'Données projet'!$B$166,DO9+DN10-DW9)))</f>
        <v>3.6994507637402658</v>
      </c>
      <c r="DP10" s="18">
        <f>DO10*VLOOKUP('Données projet'!$B$14,Paramètres!$A$1:$I$89,3,0)*VLOOKUP('Données projet'!$B$14,Paramètres!$A$1:$I$89,5,0)</f>
        <v>3.982088802090022</v>
      </c>
      <c r="DQ10" s="14">
        <f t="shared" si="43"/>
        <v>1.5624642602705792</v>
      </c>
      <c r="DR10" s="22">
        <f t="shared" si="16"/>
        <v>9.6567632502780452</v>
      </c>
      <c r="DS10" s="60">
        <f t="shared" si="17"/>
        <v>274.87898547250029</v>
      </c>
      <c r="DT10" s="60">
        <f ca="1">AVERAGE(OFFSET($DS$3,0,0,'Données projet'!$E$14+1,1))-AVERAGE(OFFSET($H$3,0,0,'Données projet'!$E$14+1,1))</f>
        <v>502.07782026233912</v>
      </c>
      <c r="DU10" s="60">
        <f t="shared" si="44"/>
        <v>285.83623046025156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2.4666666666666668</v>
      </c>
      <c r="EJ10" s="13">
        <f>IF('Données projet'!$A$192&gt;35,EJ9+EI10-ER9,IF(A10&lt;'Données projet'!$A$192,$EG$205^A10,IF(A10='Données projet'!$A$192,'Données projet'!$B$192,EJ9+EI10-ER9)))</f>
        <v>5.3929633792034757</v>
      </c>
      <c r="EK10" s="18">
        <f>EJ10*VLOOKUP('Données projet'!$B$15,Paramètres!$A$1:$I$89,3,0)*VLOOKUP('Données projet'!$B$15,Paramètres!$A$1:$I$89,5,0)</f>
        <v>4.711292808072157</v>
      </c>
      <c r="EL10" s="14">
        <f t="shared" si="45"/>
        <v>1.8127530905190552</v>
      </c>
      <c r="EM10" s="22">
        <f t="shared" si="19"/>
        <v>11.362713273379695</v>
      </c>
      <c r="EN10" s="60">
        <f t="shared" si="20"/>
        <v>276.58493549560194</v>
      </c>
      <c r="EO10" s="60">
        <f ca="1">AVERAGE(OFFSET($EN$3,0,0,'Données projet'!$E$15+1,1))-AVERAGE(OFFSET($H$3,0,0,'Données projet'!$E$15+1,1))</f>
        <v>339.58437495284466</v>
      </c>
      <c r="EP10" s="60">
        <f t="shared" si="46"/>
        <v>371.26234252426531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2.1</v>
      </c>
      <c r="FE10" s="13">
        <f>IF('Données projet'!$A$218&gt;35,FE9+FD10-FM9,IF(A10&lt;'Données projet'!$A$218,$FB$205^A10,IF(A10='Données projet'!$A$218,'Données projet'!$B$218,FE9+FD10-FM9)))</f>
        <v>3.6994507637402658</v>
      </c>
      <c r="FF10" s="18">
        <f>FE10*VLOOKUP('Données projet'!$B$16,Paramètres!$A$1:$I$89,3,0)*VLOOKUP('Données projet'!$B$16,Paramètres!$A$1:$I$89,5,0)</f>
        <v>3.5781087786895851</v>
      </c>
      <c r="FG10" s="14">
        <f t="shared" si="47"/>
        <v>1.4215440842341414</v>
      </c>
      <c r="FH10" s="22">
        <f t="shared" si="22"/>
        <v>8.707728736258824</v>
      </c>
      <c r="FI10" s="60">
        <f t="shared" si="23"/>
        <v>273.92995095848107</v>
      </c>
      <c r="FJ10" s="60">
        <f ca="1">AVERAGE(OFFSET($FI$3,0,0,'Données projet'!$E$16+1,1))-AVERAGE(OFFSET($H$3,0,0,'Données projet'!$E$16+1,1))</f>
        <v>455.50822833641354</v>
      </c>
      <c r="FK10" s="60">
        <f t="shared" si="48"/>
        <v>261.14722581688039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0">
        <f t="shared" si="0"/>
        <v>277.36529317093459</v>
      </c>
      <c r="S11" s="60">
        <f ca="1">AVERAGE(OFFSET($R$3,0,0,'Données projet'!$E$9+1,1))-AVERAGE(OFFSET($H$3,0,0,'Données projet'!$E$9+1,1))</f>
        <v>475.47920969424894</v>
      </c>
      <c r="T11" s="60">
        <f t="shared" si="34"/>
        <v>271.73544012419364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2.3805128205128203</v>
      </c>
      <c r="AI11" s="14">
        <f>IF('Données projet'!$A$62&gt;35,AI10+AH11-AQ10,IF(A11&lt;'Données projet'!$A$62,$AF$205^A11,IF(A11='Données projet'!$A$62,'Données projet'!$B$62,AI10+AH11-AQ10)))</f>
        <v>6.7319304121702404</v>
      </c>
      <c r="AJ11" s="14">
        <f>AI11*VLOOKUP('Données projet'!$B$10,Paramètres!$A$1:$I$89,3,0)*VLOOKUP('Données projet'!$B$10,Paramètres!$A$1:$I$89,5,0)</f>
        <v>4.0256943864778041</v>
      </c>
      <c r="AK11" s="14">
        <f t="shared" si="35"/>
        <v>1.5775727558271786</v>
      </c>
      <c r="AL11" s="22">
        <f t="shared" si="4"/>
        <v>9.759023606181179</v>
      </c>
      <c r="AM11" s="60">
        <f t="shared" si="5"/>
        <v>276.20346805062564</v>
      </c>
      <c r="AN11" s="60">
        <f ca="1">AVERAGE(OFFSET($AM$3,0,0,'Données projet'!$E$10+1,1))-AVERAGE(OFFSET($H$3,0,0,'Données projet'!$E$10+1,1))</f>
        <v>289.24721145176682</v>
      </c>
      <c r="AO11" s="60">
        <f t="shared" si="36"/>
        <v>229.06617320689003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1.1564102564102565</v>
      </c>
      <c r="BD11" s="13">
        <f>IF('Données projet'!$A$88&gt;35,BD10+BC11-BL10,IF(A11&lt;'Données projet'!$A$88,$BA$205^A11,IF(A11='Données projet'!$A$88,'Données projet'!$B$88,BD10+BC11-BL10)))</f>
        <v>4.5804523553381031</v>
      </c>
      <c r="BE11" s="14">
        <f>BD11*VLOOKUP('Données projet'!$B$11,Paramètres!$A$1:$I$89,3,0)*VLOOKUP('Données projet'!$B$11,Paramètres!$A$1:$I$89,5,0)</f>
        <v>2.7391105084921858</v>
      </c>
      <c r="BF11" s="14">
        <f t="shared" si="37"/>
        <v>1.1225969730144612</v>
      </c>
      <c r="BG11" s="22">
        <f t="shared" si="7"/>
        <v>6.7258071969574091</v>
      </c>
      <c r="BH11" s="60">
        <f t="shared" si="8"/>
        <v>273.17025164140188</v>
      </c>
      <c r="BI11" s="60">
        <f ca="1">AVERAGE(OFFSET($BH$3,0,0,'Données projet'!$E$11+1,1))-AVERAGE(OFFSET($H$3,0,0,'Données projet'!$E$11+1,1))</f>
        <v>287.91374663515506</v>
      </c>
      <c r="BJ11" s="60">
        <f t="shared" si="38"/>
        <v>217.76240797006147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2.1</v>
      </c>
      <c r="BY11" s="13">
        <f>IF('Données projet'!$A$114&gt;35,BY10+BX11-CG10,IF(A11&lt;'Données projet'!$A$114,$BV$205^A11,IF(A11='Données projet'!$A$114,'Données projet'!$B$114,BY10+BX11-CG10)))</f>
        <v>4.4596391171162209</v>
      </c>
      <c r="BZ11" s="14">
        <f>BY11*VLOOKUP('Données projet'!$B$12,Paramètres!$A$1:$I$89,3,0)*VLOOKUP('Données projet'!$B$12,Paramètres!$A$1:$I$89,5,0)</f>
        <v>4.0350814731667564</v>
      </c>
      <c r="CA11" s="14">
        <f t="shared" si="39"/>
        <v>1.5808227025391921</v>
      </c>
      <c r="CB11" s="22">
        <f t="shared" si="10"/>
        <v>9.7810331060211926</v>
      </c>
      <c r="CC11" s="60">
        <f t="shared" si="11"/>
        <v>276.22547755046565</v>
      </c>
      <c r="CD11" s="60">
        <f ca="1">AVERAGE(OFFSET($CC$3,0,0,'Données projet'!$E$12+1,1))-AVERAGE(OFFSET($H$3,0,0,'Données projet'!$E$12+1,1))</f>
        <v>428.8489304403459</v>
      </c>
      <c r="CE11" s="60">
        <f t="shared" si="40"/>
        <v>247.01165577562966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4.9084615384615384</v>
      </c>
      <c r="CT11" s="13">
        <f>IF('Données projet'!$A$140&gt;35,CT10+CS11-DB10,IF(A11&lt;'Données projet'!$A$140,$CQ$205^A11,IF(A11='Données projet'!$A$140,'Données projet'!$B$140,CT10+CS11-DB10)))</f>
        <v>3.7857428072090569</v>
      </c>
      <c r="CU11" s="18">
        <f>CT11*VLOOKUP('Données projet'!$B$13,Paramètres!$A$1:$I$89,3,0)*VLOOKUP('Données projet'!$B$13,Paramètres!$A$1:$I$89,5,0)</f>
        <v>1.7717276337738388</v>
      </c>
      <c r="CV11" s="14">
        <f t="shared" si="41"/>
        <v>0.76389843061877893</v>
      </c>
      <c r="CW11" s="22">
        <f t="shared" si="13"/>
        <v>4.4162153954838086</v>
      </c>
      <c r="CX11" s="60">
        <f t="shared" si="14"/>
        <v>270.86065983992825</v>
      </c>
      <c r="CY11" s="60">
        <f ca="1">AVERAGE(OFFSET($CX$3,0,0,'Données projet'!$E$13+1,1))-AVERAGE(OFFSET($H$3,0,0,'Données projet'!$E$13+1,1))</f>
        <v>284.88646502866419</v>
      </c>
      <c r="CZ11" s="60">
        <f t="shared" si="42"/>
        <v>190.4880882944471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2.1</v>
      </c>
      <c r="DO11" s="13">
        <f>IF('Données projet'!$A$166&gt;35,DO10+DN11-DW10,IF(A11&lt;'Données projet'!$A$166,$DL$205^A11,IF(A11='Données projet'!$A$166,'Données projet'!$B$166,DO10+DN11-DW10)))</f>
        <v>4.4596391171162209</v>
      </c>
      <c r="DP11" s="18">
        <f>DO11*VLOOKUP('Données projet'!$B$14,Paramètres!$A$1:$I$89,3,0)*VLOOKUP('Données projet'!$B$14,Paramètres!$A$1:$I$89,5,0)</f>
        <v>4.8003555456638995</v>
      </c>
      <c r="DQ11" s="14">
        <f t="shared" si="43"/>
        <v>1.8429996203200378</v>
      </c>
      <c r="DR11" s="22">
        <f t="shared" si="16"/>
        <v>11.570510247422023</v>
      </c>
      <c r="DS11" s="60">
        <f t="shared" si="17"/>
        <v>278.01495469186648</v>
      </c>
      <c r="DT11" s="60">
        <f ca="1">AVERAGE(OFFSET($DS$3,0,0,'Données projet'!$E$14+1,1))-AVERAGE(OFFSET($H$3,0,0,'Données projet'!$E$14+1,1))</f>
        <v>502.07782026233912</v>
      </c>
      <c r="DU11" s="60">
        <f t="shared" si="44"/>
        <v>285.83623046025156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2.4666666666666668</v>
      </c>
      <c r="EJ11" s="13">
        <f>IF('Données projet'!$A$192&gt;35,EJ10+EI11-ER10,IF(A11&lt;'Données projet'!$A$192,$EG$205^A11,IF(A11='Données projet'!$A$192,'Données projet'!$B$192,EJ10+EI11-ER10)))</f>
        <v>6.8607919984549888</v>
      </c>
      <c r="EK11" s="18">
        <f>EJ11*VLOOKUP('Données projet'!$B$15,Paramètres!$A$1:$I$89,3,0)*VLOOKUP('Données projet'!$B$15,Paramètres!$A$1:$I$89,5,0)</f>
        <v>5.9935878898502795</v>
      </c>
      <c r="EL11" s="14">
        <f t="shared" si="45"/>
        <v>2.2424160357272664</v>
      </c>
      <c r="EM11" s="22">
        <f t="shared" si="19"/>
        <v>14.344373503714223</v>
      </c>
      <c r="EN11" s="60">
        <f t="shared" si="20"/>
        <v>280.78881794815868</v>
      </c>
      <c r="EO11" s="60">
        <f ca="1">AVERAGE(OFFSET($EN$3,0,0,'Données projet'!$E$15+1,1))-AVERAGE(OFFSET($H$3,0,0,'Données projet'!$E$15+1,1))</f>
        <v>339.58437495284466</v>
      </c>
      <c r="EP11" s="60">
        <f t="shared" si="46"/>
        <v>371.26234252426531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2.1</v>
      </c>
      <c r="FE11" s="13">
        <f>IF('Données projet'!$A$218&gt;35,FE10+FD11-FM10,IF(A11&lt;'Données projet'!$A$218,$FB$205^A11,IF(A11='Données projet'!$A$218,'Données projet'!$B$218,FE10+FD11-FM10)))</f>
        <v>4.4596391171162209</v>
      </c>
      <c r="FF11" s="18">
        <f>FE11*VLOOKUP('Données projet'!$B$16,Paramètres!$A$1:$I$89,3,0)*VLOOKUP('Données projet'!$B$16,Paramètres!$A$1:$I$89,5,0)</f>
        <v>4.3133629540748091</v>
      </c>
      <c r="FG11" s="14">
        <f t="shared" si="47"/>
        <v>1.6767776864592203</v>
      </c>
      <c r="FH11" s="22">
        <f t="shared" si="22"/>
        <v>10.432828282263435</v>
      </c>
      <c r="FI11" s="60">
        <f t="shared" si="23"/>
        <v>276.87727272670787</v>
      </c>
      <c r="FJ11" s="60">
        <f ca="1">AVERAGE(OFFSET($FI$3,0,0,'Données projet'!$E$16+1,1))-AVERAGE(OFFSET($H$3,0,0,'Données projet'!$E$16+1,1))</f>
        <v>455.50822833641354</v>
      </c>
      <c r="FK11" s="60">
        <f t="shared" si="48"/>
        <v>261.14722581688039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0">
        <f t="shared" si="0"/>
        <v>280.75262079014198</v>
      </c>
      <c r="S12" s="60">
        <f ca="1">AVERAGE(OFFSET($R$3,0,0,'Données projet'!$E$9+1,1))-AVERAGE(OFFSET($H$3,0,0,'Données projet'!$E$9+1,1))</f>
        <v>475.47920969424894</v>
      </c>
      <c r="T12" s="60">
        <f t="shared" si="34"/>
        <v>271.73544012419364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2.3805128205128203</v>
      </c>
      <c r="AI12" s="14">
        <f>IF('Données projet'!$A$62&gt;35,AI11+AH12-AQ11,IF(A12&lt;'Données projet'!$A$62,$AF$205^A12,IF(A12='Données projet'!$A$62,'Données projet'!$B$62,AI11+AH12-AQ11)))</f>
        <v>8.5439179746567984</v>
      </c>
      <c r="AJ12" s="14">
        <f>AI12*VLOOKUP('Données projet'!$B$10,Paramètres!$A$1:$I$89,3,0)*VLOOKUP('Données projet'!$B$10,Paramètres!$A$1:$I$89,5,0)</f>
        <v>5.1092629488447656</v>
      </c>
      <c r="AK12" s="14">
        <f t="shared" si="35"/>
        <v>1.9474101011553873</v>
      </c>
      <c r="AL12" s="22">
        <f t="shared" si="4"/>
        <v>12.290372228750266</v>
      </c>
      <c r="AM12" s="60">
        <f t="shared" si="5"/>
        <v>279.95703889541693</v>
      </c>
      <c r="AN12" s="60">
        <f ca="1">AVERAGE(OFFSET($AM$3,0,0,'Données projet'!$E$10+1,1))-AVERAGE(OFFSET($H$3,0,0,'Données projet'!$E$10+1,1))</f>
        <v>289.24721145176682</v>
      </c>
      <c r="AO12" s="60">
        <f t="shared" si="36"/>
        <v>229.06617320689003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1.1564102564102565</v>
      </c>
      <c r="BD12" s="13">
        <f>IF('Données projet'!$A$88&gt;35,BD11+BC12-BL11,IF(A12&lt;'Données projet'!$A$88,$BA$205^A12,IF(A12='Données projet'!$A$88,'Données projet'!$B$88,BD11+BC12-BL11)))</f>
        <v>5.5401550120861911</v>
      </c>
      <c r="BE12" s="14">
        <f>BD12*VLOOKUP('Données projet'!$B$11,Paramètres!$A$1:$I$89,3,0)*VLOOKUP('Données projet'!$B$11,Paramètres!$A$1:$I$89,5,0)</f>
        <v>3.3130126972275424</v>
      </c>
      <c r="BF12" s="14">
        <f t="shared" si="37"/>
        <v>1.3280707029303529</v>
      </c>
      <c r="BG12" s="22">
        <f t="shared" si="7"/>
        <v>8.0832202552750019</v>
      </c>
      <c r="BH12" s="60">
        <f t="shared" si="8"/>
        <v>275.74988692194171</v>
      </c>
      <c r="BI12" s="60">
        <f ca="1">AVERAGE(OFFSET($BH$3,0,0,'Données projet'!$E$11+1,1))-AVERAGE(OFFSET($H$3,0,0,'Données projet'!$E$11+1,1))</f>
        <v>287.91374663515506</v>
      </c>
      <c r="BJ12" s="60">
        <f t="shared" si="38"/>
        <v>217.76240797006147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2.1</v>
      </c>
      <c r="BY12" s="13">
        <f>IF('Données projet'!$A$114&gt;35,BY11+BX12-CG11,IF(A12&lt;'Données projet'!$A$114,$BV$205^A12,IF(A12='Données projet'!$A$114,'Données projet'!$B$114,BY11+BX12-CG11)))</f>
        <v>5.3760361537574148</v>
      </c>
      <c r="BZ12" s="14">
        <f>BY12*VLOOKUP('Données projet'!$B$12,Paramètres!$A$1:$I$89,3,0)*VLOOKUP('Données projet'!$B$12,Paramètres!$A$1:$I$89,5,0)</f>
        <v>4.8642375119197085</v>
      </c>
      <c r="CA12" s="14">
        <f t="shared" si="39"/>
        <v>1.8646542609995393</v>
      </c>
      <c r="CB12" s="22">
        <f t="shared" si="10"/>
        <v>11.719486504501022</v>
      </c>
      <c r="CC12" s="60">
        <f t="shared" si="11"/>
        <v>279.38615317116773</v>
      </c>
      <c r="CD12" s="60">
        <f ca="1">AVERAGE(OFFSET($CC$3,0,0,'Données projet'!$E$12+1,1))-AVERAGE(OFFSET($H$3,0,0,'Données projet'!$E$12+1,1))</f>
        <v>428.8489304403459</v>
      </c>
      <c r="CE12" s="60">
        <f t="shared" si="40"/>
        <v>247.01165577562966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4.9084615384615384</v>
      </c>
      <c r="CT12" s="13">
        <f>IF('Données projet'!$A$140&gt;35,CT11+CS12-DB11,IF(A12&lt;'Données projet'!$A$140,$CQ$205^A12,IF(A12='Données projet'!$A$140,'Données projet'!$B$140,CT11+CS12-DB11)))</f>
        <v>4.4711577636834461</v>
      </c>
      <c r="CU12" s="18">
        <f>CT12*VLOOKUP('Données projet'!$B$13,Paramètres!$A$1:$I$89,3,0)*VLOOKUP('Données projet'!$B$13,Paramètres!$A$1:$I$89,5,0)</f>
        <v>2.0925018334038525</v>
      </c>
      <c r="CV12" s="14">
        <f t="shared" si="41"/>
        <v>0.8848963575465858</v>
      </c>
      <c r="CW12" s="22">
        <f t="shared" si="13"/>
        <v>5.1856351825720131</v>
      </c>
      <c r="CX12" s="60">
        <f t="shared" si="14"/>
        <v>272.8523018492387</v>
      </c>
      <c r="CY12" s="60">
        <f ca="1">AVERAGE(OFFSET($CX$3,0,0,'Données projet'!$E$13+1,1))-AVERAGE(OFFSET($H$3,0,0,'Données projet'!$E$13+1,1))</f>
        <v>284.88646502866419</v>
      </c>
      <c r="CZ12" s="60">
        <f t="shared" si="42"/>
        <v>190.4880882944471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2.1</v>
      </c>
      <c r="DO12" s="13">
        <f>IF('Données projet'!$A$166&gt;35,DO11+DN12-DW11,IF(A12&lt;'Données projet'!$A$166,$DL$205^A12,IF(A12='Données projet'!$A$166,'Données projet'!$B$166,DO11+DN12-DW11)))</f>
        <v>5.3760361537574148</v>
      </c>
      <c r="DP12" s="18">
        <f>DO12*VLOOKUP('Données projet'!$B$14,Paramètres!$A$1:$I$89,3,0)*VLOOKUP('Données projet'!$B$14,Paramètres!$A$1:$I$89,5,0)</f>
        <v>5.7867653159044812</v>
      </c>
      <c r="DQ12" s="14">
        <f t="shared" si="43"/>
        <v>2.1739041889582755</v>
      </c>
      <c r="DR12" s="22">
        <f t="shared" si="16"/>
        <v>13.864832720969302</v>
      </c>
      <c r="DS12" s="60">
        <f t="shared" si="17"/>
        <v>281.53149938763596</v>
      </c>
      <c r="DT12" s="60">
        <f ca="1">AVERAGE(OFFSET($DS$3,0,0,'Données projet'!$E$14+1,1))-AVERAGE(OFFSET($H$3,0,0,'Données projet'!$E$14+1,1))</f>
        <v>502.07782026233912</v>
      </c>
      <c r="DU12" s="60">
        <f t="shared" si="44"/>
        <v>285.83623046025156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2.4666666666666668</v>
      </c>
      <c r="EJ12" s="13">
        <f>IF('Données projet'!$A$192&gt;35,EJ11+EI12-ER11,IF(A12&lt;'Données projet'!$A$192,$EG$205^A12,IF(A12='Données projet'!$A$192,'Données projet'!$B$192,EJ11+EI12-ER11)))</f>
        <v>8.7281265486761299</v>
      </c>
      <c r="EK12" s="18">
        <f>EJ12*VLOOKUP('Données projet'!$B$15,Paramètres!$A$1:$I$89,3,0)*VLOOKUP('Données projet'!$B$15,Paramètres!$A$1:$I$89,5,0)</f>
        <v>7.6248913529234681</v>
      </c>
      <c r="EL12" s="14">
        <f t="shared" si="45"/>
        <v>2.7739186895259813</v>
      </c>
      <c r="EM12" s="22">
        <f t="shared" si="19"/>
        <v>18.111260823932788</v>
      </c>
      <c r="EN12" s="60">
        <f t="shared" si="20"/>
        <v>285.7779274905995</v>
      </c>
      <c r="EO12" s="60">
        <f ca="1">AVERAGE(OFFSET($EN$3,0,0,'Données projet'!$E$15+1,1))-AVERAGE(OFFSET($H$3,0,0,'Données projet'!$E$15+1,1))</f>
        <v>339.58437495284466</v>
      </c>
      <c r="EP12" s="60">
        <f t="shared" si="46"/>
        <v>371.26234252426531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2.1</v>
      </c>
      <c r="FE12" s="13">
        <f>IF('Données projet'!$A$218&gt;35,FE11+FD12-FM11,IF(A12&lt;'Données projet'!$A$218,$FB$205^A12,IF(A12='Données projet'!$A$218,'Données projet'!$B$218,FE11+FD12-FM11)))</f>
        <v>5.3760361537574148</v>
      </c>
      <c r="FF12" s="18">
        <f>FE12*VLOOKUP('Données projet'!$B$16,Paramètres!$A$1:$I$89,3,0)*VLOOKUP('Données projet'!$B$16,Paramètres!$A$1:$I$89,5,0)</f>
        <v>5.1997021679141717</v>
      </c>
      <c r="FG12" s="14">
        <f t="shared" si="47"/>
        <v>1.977837649208241</v>
      </c>
      <c r="FH12" s="22">
        <f t="shared" si="22"/>
        <v>12.500881848154869</v>
      </c>
      <c r="FI12" s="60">
        <f t="shared" si="23"/>
        <v>280.16754851482153</v>
      </c>
      <c r="FJ12" s="60">
        <f ca="1">AVERAGE(OFFSET($FI$3,0,0,'Données projet'!$E$16+1,1))-AVERAGE(OFFSET($H$3,0,0,'Données projet'!$E$16+1,1))</f>
        <v>455.50822833641354</v>
      </c>
      <c r="FK12" s="60">
        <f t="shared" si="48"/>
        <v>261.14722581688039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0">
        <f t="shared" si="0"/>
        <v>284.57066751792433</v>
      </c>
      <c r="S13" s="60">
        <f ca="1">AVERAGE(OFFSET($R$3,0,0,'Données projet'!$E$9+1,1))-AVERAGE(OFFSET($H$3,0,0,'Données projet'!$E$9+1,1))</f>
        <v>475.47920969424894</v>
      </c>
      <c r="T13" s="60">
        <f t="shared" si="34"/>
        <v>271.73544012419364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2.3805128205128203</v>
      </c>
      <c r="AI13" s="14">
        <f>IF('Données projet'!$A$62&gt;35,AI12+AH13-AQ12,IF(A13&lt;'Données projet'!$A$62,$AF$205^A13,IF(A13='Données projet'!$A$62,'Données projet'!$B$62,AI12+AH13-AQ12)))</f>
        <v>10.843625808385362</v>
      </c>
      <c r="AJ13" s="14">
        <f>AI13*VLOOKUP('Données projet'!$B$10,Paramètres!$A$1:$I$89,3,0)*VLOOKUP('Données projet'!$B$10,Paramètres!$A$1:$I$89,5,0)</f>
        <v>6.4844882334144467</v>
      </c>
      <c r="AK13" s="14">
        <f t="shared" si="35"/>
        <v>2.4039500479922649</v>
      </c>
      <c r="AL13" s="22">
        <f t="shared" si="4"/>
        <v>15.480696673450021</v>
      </c>
      <c r="AM13" s="60">
        <f t="shared" si="5"/>
        <v>284.3695855623389</v>
      </c>
      <c r="AN13" s="60">
        <f ca="1">AVERAGE(OFFSET($AM$3,0,0,'Données projet'!$E$10+1,1))-AVERAGE(OFFSET($H$3,0,0,'Données projet'!$E$10+1,1))</f>
        <v>289.24721145176682</v>
      </c>
      <c r="AO13" s="60">
        <f t="shared" si="36"/>
        <v>229.06617320689003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1.1564102564102565</v>
      </c>
      <c r="BD13" s="13">
        <f>IF('Données projet'!$A$88&gt;35,BD12+BC13-BL12,IF(A13&lt;'Données projet'!$A$88,$BA$205^A13,IF(A13='Données projet'!$A$88,'Données projet'!$B$88,BD12+BC13-BL12)))</f>
        <v>6.7009358851148102</v>
      </c>
      <c r="BE13" s="14">
        <f>BD13*VLOOKUP('Données projet'!$B$11,Paramètres!$A$1:$I$89,3,0)*VLOOKUP('Données projet'!$B$11,Paramètres!$A$1:$I$89,5,0)</f>
        <v>4.0071596592986563</v>
      </c>
      <c r="BF13" s="14">
        <f t="shared" si="37"/>
        <v>1.5711531692854481</v>
      </c>
      <c r="BG13" s="22">
        <f t="shared" si="7"/>
        <v>9.7155615097839831</v>
      </c>
      <c r="BH13" s="60">
        <f t="shared" si="8"/>
        <v>278.60445039867284</v>
      </c>
      <c r="BI13" s="60">
        <f ca="1">AVERAGE(OFFSET($BH$3,0,0,'Données projet'!$E$11+1,1))-AVERAGE(OFFSET($H$3,0,0,'Données projet'!$E$11+1,1))</f>
        <v>287.91374663515506</v>
      </c>
      <c r="BJ13" s="60">
        <f t="shared" si="38"/>
        <v>217.76240797006147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2.1</v>
      </c>
      <c r="BY13" s="13">
        <f>IF('Données projet'!$A$114&gt;35,BY12+BX13-CG12,IF(A13&lt;'Données projet'!$A$114,$BV$205^A13,IF(A13='Données projet'!$A$114,'Données projet'!$B$114,BY12+BX13-CG12)))</f>
        <v>6.4807406984078657</v>
      </c>
      <c r="BZ13" s="14">
        <f>BY13*VLOOKUP('Données projet'!$B$12,Paramètres!$A$1:$I$89,3,0)*VLOOKUP('Données projet'!$B$12,Paramètres!$A$1:$I$89,5,0)</f>
        <v>5.8637741839194364</v>
      </c>
      <c r="CA13" s="14">
        <f t="shared" si="39"/>
        <v>2.1994468497187687</v>
      </c>
      <c r="CB13" s="22">
        <f t="shared" si="10"/>
        <v>14.043443300253207</v>
      </c>
      <c r="CC13" s="60">
        <f t="shared" si="11"/>
        <v>282.93233218914207</v>
      </c>
      <c r="CD13" s="60">
        <f ca="1">AVERAGE(OFFSET($CC$3,0,0,'Données projet'!$E$12+1,1))-AVERAGE(OFFSET($H$3,0,0,'Données projet'!$E$12+1,1))</f>
        <v>428.8489304403459</v>
      </c>
      <c r="CE13" s="60">
        <f t="shared" si="40"/>
        <v>247.01165577562966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4.9084615384615384</v>
      </c>
      <c r="CT13" s="13">
        <f>IF('Données projet'!$A$140&gt;35,CT12+CS13-DB12,IF(A13&lt;'Données projet'!$A$140,$CQ$205^A13,IF(A13='Données projet'!$A$140,'Données projet'!$B$140,CT12+CS13-DB12)))</f>
        <v>5.2806682243912917</v>
      </c>
      <c r="CU13" s="18">
        <f>CT13*VLOOKUP('Données projet'!$B$13,Paramètres!$A$1:$I$89,3,0)*VLOOKUP('Données projet'!$B$13,Paramètres!$A$1:$I$89,5,0)</f>
        <v>2.4713527290151243</v>
      </c>
      <c r="CV13" s="14">
        <f t="shared" si="41"/>
        <v>1.0250597883345953</v>
      </c>
      <c r="CW13" s="22">
        <f t="shared" si="13"/>
        <v>6.0895851343840945</v>
      </c>
      <c r="CX13" s="60">
        <f t="shared" si="14"/>
        <v>274.97847402327295</v>
      </c>
      <c r="CY13" s="60">
        <f ca="1">AVERAGE(OFFSET($CX$3,0,0,'Données projet'!$E$13+1,1))-AVERAGE(OFFSET($H$3,0,0,'Données projet'!$E$13+1,1))</f>
        <v>284.88646502866419</v>
      </c>
      <c r="CZ13" s="60">
        <f t="shared" si="42"/>
        <v>190.4880882944471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2.1</v>
      </c>
      <c r="DO13" s="13">
        <f>IF('Données projet'!$A$166&gt;35,DO12+DN13-DW12,IF(A13&lt;'Données projet'!$A$166,$DL$205^A13,IF(A13='Données projet'!$A$166,'Données projet'!$B$166,DO12+DN13-DW12)))</f>
        <v>6.4807406984078657</v>
      </c>
      <c r="DP13" s="18">
        <f>DO13*VLOOKUP('Données projet'!$B$14,Paramètres!$A$1:$I$89,3,0)*VLOOKUP('Données projet'!$B$14,Paramètres!$A$1:$I$89,5,0)</f>
        <v>6.9758692877662263</v>
      </c>
      <c r="DQ13" s="14">
        <f t="shared" si="43"/>
        <v>2.5642215932468222</v>
      </c>
      <c r="DR13" s="22">
        <f t="shared" si="16"/>
        <v>16.61565828443106</v>
      </c>
      <c r="DS13" s="60">
        <f t="shared" si="17"/>
        <v>285.50454717331991</v>
      </c>
      <c r="DT13" s="60">
        <f ca="1">AVERAGE(OFFSET($DS$3,0,0,'Données projet'!$E$14+1,1))-AVERAGE(OFFSET($H$3,0,0,'Données projet'!$E$14+1,1))</f>
        <v>502.07782026233912</v>
      </c>
      <c r="DU13" s="60">
        <f t="shared" si="44"/>
        <v>285.83623046025156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2.4666666666666668</v>
      </c>
      <c r="EJ13" s="13">
        <f>IF('Données projet'!$A$192&gt;35,EJ12+EI13-ER12,IF(A13&lt;'Données projet'!$A$192,$EG$205^A13,IF(A13='Données projet'!$A$192,'Données projet'!$B$192,EJ12+EI13-ER12)))</f>
        <v>11.103702468586782</v>
      </c>
      <c r="EK13" s="18">
        <f>EJ13*VLOOKUP('Données projet'!$B$15,Paramètres!$A$1:$I$89,3,0)*VLOOKUP('Données projet'!$B$15,Paramètres!$A$1:$I$89,5,0)</f>
        <v>9.7001944765574137</v>
      </c>
      <c r="EL13" s="14">
        <f t="shared" si="45"/>
        <v>3.4313993360317685</v>
      </c>
      <c r="EM13" s="22">
        <f t="shared" si="19"/>
        <v>22.870859223592827</v>
      </c>
      <c r="EN13" s="60">
        <f t="shared" si="20"/>
        <v>291.7597481124817</v>
      </c>
      <c r="EO13" s="60">
        <f ca="1">AVERAGE(OFFSET($EN$3,0,0,'Données projet'!$E$15+1,1))-AVERAGE(OFFSET($H$3,0,0,'Données projet'!$E$15+1,1))</f>
        <v>339.58437495284466</v>
      </c>
      <c r="EP13" s="60">
        <f t="shared" si="46"/>
        <v>371.26234252426531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2.1</v>
      </c>
      <c r="FE13" s="13">
        <f>IF('Données projet'!$A$218&gt;35,FE12+FD13-FM12,IF(A13&lt;'Données projet'!$A$218,$FB$205^A13,IF(A13='Données projet'!$A$218,'Données projet'!$B$218,FE12+FD13-FM12)))</f>
        <v>6.4807406984078657</v>
      </c>
      <c r="FF13" s="18">
        <f>FE13*VLOOKUP('Données projet'!$B$16,Paramètres!$A$1:$I$89,3,0)*VLOOKUP('Données projet'!$B$16,Paramètres!$A$1:$I$89,5,0)</f>
        <v>6.2681724035000874</v>
      </c>
      <c r="FG13" s="14">
        <f t="shared" si="47"/>
        <v>2.3329519459947301</v>
      </c>
      <c r="FH13" s="22">
        <f t="shared" si="22"/>
        <v>14.98029157537014</v>
      </c>
      <c r="FI13" s="60">
        <f t="shared" si="23"/>
        <v>283.86918046425899</v>
      </c>
      <c r="FJ13" s="60">
        <f ca="1">AVERAGE(OFFSET($FI$3,0,0,'Données projet'!$E$16+1,1))-AVERAGE(OFFSET($H$3,0,0,'Données projet'!$E$16+1,1))</f>
        <v>455.50822833641354</v>
      </c>
      <c r="FK13" s="60">
        <f t="shared" si="48"/>
        <v>261.14722581688039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0">
        <f t="shared" si="0"/>
        <v>288.90539420934834</v>
      </c>
      <c r="S14" s="60">
        <f ca="1">AVERAGE(OFFSET($R$3,0,0,'Données projet'!$E$9+1,1))-AVERAGE(OFFSET($H$3,0,0,'Données projet'!$E$9+1,1))</f>
        <v>475.47920969424894</v>
      </c>
      <c r="T14" s="60">
        <f t="shared" si="34"/>
        <v>271.73544012419364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2.3805128205128203</v>
      </c>
      <c r="AI14" s="14">
        <f>IF('Données projet'!$A$62&gt;35,AI13+AH14-AQ13,IF(A14&lt;'Données projet'!$A$62,$AF$205^A14,IF(A14='Données projet'!$A$62,'Données projet'!$B$62,AI13+AH14-AQ13)))</f>
        <v>13.762330235503498</v>
      </c>
      <c r="AJ14" s="14">
        <f>AI14*VLOOKUP('Données projet'!$B$10,Paramètres!$A$1:$I$89,3,0)*VLOOKUP('Données projet'!$B$10,Paramètres!$A$1:$I$89,5,0)</f>
        <v>8.2298734808310936</v>
      </c>
      <c r="AK14" s="14">
        <f t="shared" si="35"/>
        <v>2.9675186699572826</v>
      </c>
      <c r="AL14" s="22">
        <f t="shared" si="4"/>
        <v>19.502124662623089</v>
      </c>
      <c r="AM14" s="60">
        <f t="shared" si="5"/>
        <v>289.61323577373423</v>
      </c>
      <c r="AN14" s="60">
        <f ca="1">AVERAGE(OFFSET($AM$3,0,0,'Données projet'!$E$10+1,1))-AVERAGE(OFFSET($H$3,0,0,'Données projet'!$E$10+1,1))</f>
        <v>289.24721145176682</v>
      </c>
      <c r="AO14" s="60">
        <f t="shared" si="36"/>
        <v>229.06617320689003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1.1564102564102565</v>
      </c>
      <c r="BD14" s="13">
        <f>IF('Données projet'!$A$88&gt;35,BD13+BC14-BL13,IF(A14&lt;'Données projet'!$A$88,$BA$205^A14,IF(A14='Données projet'!$A$88,'Données projet'!$B$88,BD13+BC14-BL13)))</f>
        <v>8.1049251579534722</v>
      </c>
      <c r="BE14" s="14">
        <f>BD14*VLOOKUP('Données projet'!$B$11,Paramètres!$A$1:$I$89,3,0)*VLOOKUP('Données projet'!$B$11,Paramètres!$A$1:$I$89,5,0)</f>
        <v>4.8467452444561765</v>
      </c>
      <c r="BF14" s="14">
        <f t="shared" si="37"/>
        <v>1.8587280601168144</v>
      </c>
      <c r="BG14" s="22">
        <f t="shared" si="7"/>
        <v>11.678699338797957</v>
      </c>
      <c r="BH14" s="60">
        <f t="shared" si="8"/>
        <v>281.78981044990911</v>
      </c>
      <c r="BI14" s="60">
        <f ca="1">AVERAGE(OFFSET($BH$3,0,0,'Données projet'!$E$11+1,1))-AVERAGE(OFFSET($H$3,0,0,'Données projet'!$E$11+1,1))</f>
        <v>287.91374663515506</v>
      </c>
      <c r="BJ14" s="60">
        <f t="shared" si="38"/>
        <v>217.76240797006147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2.1</v>
      </c>
      <c r="BY14" s="13">
        <f>IF('Données projet'!$A$114&gt;35,BY13+BX14-CG13,IF(A14&lt;'Données projet'!$A$114,$BV$205^A14,IF(A14='Données projet'!$A$114,'Données projet'!$B$114,BY13+BX14-CG13)))</f>
        <v>7.8124474610620815</v>
      </c>
      <c r="BZ14" s="14">
        <f>BY14*VLOOKUP('Données projet'!$B$12,Paramètres!$A$1:$I$89,3,0)*VLOOKUP('Données projet'!$B$12,Paramètres!$A$1:$I$89,5,0)</f>
        <v>7.0687024627689707</v>
      </c>
      <c r="CA14" s="14">
        <f t="shared" si="39"/>
        <v>2.5943503554083325</v>
      </c>
      <c r="CB14" s="22">
        <f t="shared" si="10"/>
        <v>16.829816991658799</v>
      </c>
      <c r="CC14" s="60">
        <f t="shared" si="11"/>
        <v>286.94092810276993</v>
      </c>
      <c r="CD14" s="60">
        <f ca="1">AVERAGE(OFFSET($CC$3,0,0,'Données projet'!$E$12+1,1))-AVERAGE(OFFSET($H$3,0,0,'Données projet'!$E$12+1,1))</f>
        <v>428.8489304403459</v>
      </c>
      <c r="CE14" s="60">
        <f t="shared" si="40"/>
        <v>247.01165577562966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4.9084615384615384</v>
      </c>
      <c r="CT14" s="13">
        <f>IF('Données projet'!$A$140&gt;35,CT13+CS14-DB13,IF(A14&lt;'Données projet'!$A$140,$CQ$205^A14,IF(A14='Données projet'!$A$140,'Données projet'!$B$140,CT13+CS14-DB13)))</f>
        <v>6.2367418843040729</v>
      </c>
      <c r="CU14" s="18">
        <f>CT14*VLOOKUP('Données projet'!$B$13,Paramètres!$A$1:$I$89,3,0)*VLOOKUP('Données projet'!$B$13,Paramètres!$A$1:$I$89,5,0)</f>
        <v>2.9187952018543064</v>
      </c>
      <c r="CV14" s="14">
        <f t="shared" si="41"/>
        <v>1.1874244488629264</v>
      </c>
      <c r="CW14" s="22">
        <f t="shared" si="13"/>
        <v>7.1516658916658464</v>
      </c>
      <c r="CX14" s="60">
        <f t="shared" si="14"/>
        <v>277.262777002777</v>
      </c>
      <c r="CY14" s="60">
        <f ca="1">AVERAGE(OFFSET($CX$3,0,0,'Données projet'!$E$13+1,1))-AVERAGE(OFFSET($H$3,0,0,'Données projet'!$E$13+1,1))</f>
        <v>284.88646502866419</v>
      </c>
      <c r="CZ14" s="60">
        <f t="shared" si="42"/>
        <v>190.4880882944471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2.1</v>
      </c>
      <c r="DO14" s="13">
        <f>IF('Données projet'!$A$166&gt;35,DO13+DN14-DW13,IF(A14&lt;'Données projet'!$A$166,$DL$205^A14,IF(A14='Données projet'!$A$166,'Données projet'!$B$166,DO13+DN14-DW13)))</f>
        <v>7.8124474610620815</v>
      </c>
      <c r="DP14" s="18">
        <f>DO14*VLOOKUP('Données projet'!$B$14,Paramètres!$A$1:$I$89,3,0)*VLOOKUP('Données projet'!$B$14,Paramètres!$A$1:$I$89,5,0)</f>
        <v>8.4093184470872249</v>
      </c>
      <c r="DQ14" s="14">
        <f t="shared" si="43"/>
        <v>3.0246192139792929</v>
      </c>
      <c r="DR14" s="22">
        <f t="shared" si="16"/>
        <v>19.914108093024186</v>
      </c>
      <c r="DS14" s="60">
        <f t="shared" si="17"/>
        <v>290.02521920413534</v>
      </c>
      <c r="DT14" s="60">
        <f ca="1">AVERAGE(OFFSET($DS$3,0,0,'Données projet'!$E$14+1,1))-AVERAGE(OFFSET($H$3,0,0,'Données projet'!$E$14+1,1))</f>
        <v>502.07782026233912</v>
      </c>
      <c r="DU14" s="60">
        <f t="shared" si="44"/>
        <v>285.83623046025156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2.4666666666666668</v>
      </c>
      <c r="EJ14" s="13">
        <f>IF('Données projet'!$A$192&gt;35,EJ13+EI14-ER13,IF(A14&lt;'Données projet'!$A$192,$EG$205^A14,IF(A14='Données projet'!$A$192,'Données projet'!$B$192,EJ13+EI14-ER13)))</f>
        <v>14.125850240977657</v>
      </c>
      <c r="EK14" s="18">
        <f>EJ14*VLOOKUP('Données projet'!$B$15,Paramètres!$A$1:$I$89,3,0)*VLOOKUP('Données projet'!$B$15,Paramètres!$A$1:$I$89,5,0)</f>
        <v>12.340342770518083</v>
      </c>
      <c r="EL14" s="14">
        <f t="shared" si="45"/>
        <v>4.2447175714913801</v>
      </c>
      <c r="EM14" s="22">
        <f t="shared" si="19"/>
        <v>28.885646762333149</v>
      </c>
      <c r="EN14" s="60">
        <f t="shared" si="20"/>
        <v>298.99675787344427</v>
      </c>
      <c r="EO14" s="60">
        <f ca="1">AVERAGE(OFFSET($EN$3,0,0,'Données projet'!$E$15+1,1))-AVERAGE(OFFSET($H$3,0,0,'Données projet'!$E$15+1,1))</f>
        <v>339.58437495284466</v>
      </c>
      <c r="EP14" s="60">
        <f t="shared" si="46"/>
        <v>371.26234252426531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2.1</v>
      </c>
      <c r="FE14" s="13">
        <f>IF('Données projet'!$A$218&gt;35,FE13+FD14-FM13,IF(A14&lt;'Données projet'!$A$218,$FB$205^A14,IF(A14='Données projet'!$A$218,'Données projet'!$B$218,FE13+FD14-FM13)))</f>
        <v>7.8124474610620815</v>
      </c>
      <c r="FF14" s="18">
        <f>FE14*VLOOKUP('Données projet'!$B$16,Paramètres!$A$1:$I$89,3,0)*VLOOKUP('Données projet'!$B$16,Paramètres!$A$1:$I$89,5,0)</f>
        <v>7.5561991843392455</v>
      </c>
      <c r="FG14" s="14">
        <f t="shared" si="47"/>
        <v>2.7518258561310041</v>
      </c>
      <c r="FH14" s="22">
        <f t="shared" si="22"/>
        <v>17.953143612152349</v>
      </c>
      <c r="FI14" s="60">
        <f t="shared" si="23"/>
        <v>288.0642547232635</v>
      </c>
      <c r="FJ14" s="60">
        <f ca="1">AVERAGE(OFFSET($FI$3,0,0,'Données projet'!$E$16+1,1))-AVERAGE(OFFSET($H$3,0,0,'Données projet'!$E$16+1,1))</f>
        <v>455.50822833641354</v>
      </c>
      <c r="FK14" s="60">
        <f t="shared" si="48"/>
        <v>261.14722581688039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0">
        <f t="shared" si="0"/>
        <v>293.85996837222763</v>
      </c>
      <c r="S15" s="60">
        <f ca="1">AVERAGE(OFFSET($R$3,0,0,'Données projet'!$E$9+1,1))-AVERAGE(OFFSET($H$3,0,0,'Données projet'!$E$9+1,1))</f>
        <v>475.47920969424894</v>
      </c>
      <c r="T15" s="60">
        <f t="shared" si="34"/>
        <v>271.73544012419364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2.3805128205128203</v>
      </c>
      <c r="AI15" s="14">
        <f>IF('Données projet'!$A$62&gt;35,AI14+AH15-AQ14,IF(A15&lt;'Données projet'!$A$62,$AF$205^A15,IF(A15='Données projet'!$A$62,'Données projet'!$B$62,AI14+AH15-AQ14)))</f>
        <v>17.466642325908158</v>
      </c>
      <c r="AJ15" s="14">
        <f>AI15*VLOOKUP('Données projet'!$B$10,Paramètres!$A$1:$I$89,3,0)*VLOOKUP('Données projet'!$B$10,Paramètres!$A$1:$I$89,5,0)</f>
        <v>10.44505211089308</v>
      </c>
      <c r="AK15" s="14">
        <f t="shared" si="35"/>
        <v>3.6632071718377808</v>
      </c>
      <c r="AL15" s="22">
        <f t="shared" si="4"/>
        <v>24.571884917422917</v>
      </c>
      <c r="AM15" s="60">
        <f t="shared" si="5"/>
        <v>295.90521825075621</v>
      </c>
      <c r="AN15" s="60">
        <f ca="1">AVERAGE(OFFSET($AM$3,0,0,'Données projet'!$E$10+1,1))-AVERAGE(OFFSET($H$3,0,0,'Données projet'!$E$10+1,1))</f>
        <v>289.24721145176682</v>
      </c>
      <c r="AO15" s="60">
        <f t="shared" si="36"/>
        <v>229.06617320689003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1.1564102564102565</v>
      </c>
      <c r="BD15" s="13">
        <f>IF('Données projet'!$A$88&gt;35,BD14+BC15-BL14,IF(A15&lt;'Données projet'!$A$88,$BA$205^A15,IF(A15='Données projet'!$A$88,'Données projet'!$B$88,BD14+BC15-BL14)))</f>
        <v>9.8030801879402905</v>
      </c>
      <c r="BE15" s="14">
        <f>BD15*VLOOKUP('Données projet'!$B$11,Paramètres!$A$1:$I$89,3,0)*VLOOKUP('Données projet'!$B$11,Paramètres!$A$1:$I$89,5,0)</f>
        <v>5.8622419523882936</v>
      </c>
      <c r="BF15" s="14">
        <f t="shared" si="37"/>
        <v>2.1989390143526695</v>
      </c>
      <c r="BG15" s="22">
        <f t="shared" si="7"/>
        <v>14.039890183740511</v>
      </c>
      <c r="BH15" s="60">
        <f t="shared" si="8"/>
        <v>285.37322351707382</v>
      </c>
      <c r="BI15" s="60">
        <f ca="1">AVERAGE(OFFSET($BH$3,0,0,'Données projet'!$E$11+1,1))-AVERAGE(OFFSET($H$3,0,0,'Données projet'!$E$11+1,1))</f>
        <v>287.91374663515506</v>
      </c>
      <c r="BJ15" s="60">
        <f t="shared" si="38"/>
        <v>217.76240797006147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2.1</v>
      </c>
      <c r="BY15" s="13">
        <f>IF('Données projet'!$A$114&gt;35,BY14+BX15-CG14,IF(A15&lt;'Données projet'!$A$114,$BV$205^A15,IF(A15='Données projet'!$A$114,'Données projet'!$B$114,BY14+BX15-CG14)))</f>
        <v>9.4178024044149407</v>
      </c>
      <c r="BZ15" s="14">
        <f>BY15*VLOOKUP('Données projet'!$B$12,Paramètres!$A$1:$I$89,3,0)*VLOOKUP('Données projet'!$B$12,Paramètres!$A$1:$I$89,5,0)</f>
        <v>8.521227615514638</v>
      </c>
      <c r="CA15" s="14">
        <f t="shared" si="39"/>
        <v>3.0601574970852128</v>
      </c>
      <c r="CB15" s="22">
        <f t="shared" si="10"/>
        <v>20.170912404444739</v>
      </c>
      <c r="CC15" s="60">
        <f t="shared" si="11"/>
        <v>291.50424573777804</v>
      </c>
      <c r="CD15" s="60">
        <f ca="1">AVERAGE(OFFSET($CC$3,0,0,'Données projet'!$E$12+1,1))-AVERAGE(OFFSET($H$3,0,0,'Données projet'!$E$12+1,1))</f>
        <v>428.8489304403459</v>
      </c>
      <c r="CE15" s="60">
        <f t="shared" si="40"/>
        <v>247.01165577562966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4.9084615384615384</v>
      </c>
      <c r="CT15" s="13">
        <f>IF('Données projet'!$A$140&gt;35,CT14+CS15-DB14,IF(A15&lt;'Données projet'!$A$140,$CQ$205^A15,IF(A15='Données projet'!$A$140,'Données projet'!$B$140,CT14+CS15-DB14)))</f>
        <v>7.3659142514897171</v>
      </c>
      <c r="CU15" s="18">
        <f>CT15*VLOOKUP('Données projet'!$B$13,Paramètres!$A$1:$I$89,3,0)*VLOOKUP('Données projet'!$B$13,Paramètres!$A$1:$I$89,5,0)</f>
        <v>3.447247869697188</v>
      </c>
      <c r="CV15" s="14">
        <f t="shared" si="41"/>
        <v>1.3755069097464061</v>
      </c>
      <c r="CW15" s="22">
        <f t="shared" si="13"/>
        <v>8.3996312408642595</v>
      </c>
      <c r="CX15" s="60">
        <f t="shared" si="14"/>
        <v>279.73296457419758</v>
      </c>
      <c r="CY15" s="60">
        <f ca="1">AVERAGE(OFFSET($CX$3,0,0,'Données projet'!$E$13+1,1))-AVERAGE(OFFSET($H$3,0,0,'Données projet'!$E$13+1,1))</f>
        <v>284.88646502866419</v>
      </c>
      <c r="CZ15" s="60">
        <f t="shared" si="42"/>
        <v>190.4880882944471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2.1</v>
      </c>
      <c r="DO15" s="13">
        <f>IF('Données projet'!$A$166&gt;35,DO14+DN15-DW14,IF(A15&lt;'Données projet'!$A$166,$DL$205^A15,IF(A15='Données projet'!$A$166,'Données projet'!$B$166,DO14+DN15-DW14)))</f>
        <v>9.4178024044149407</v>
      </c>
      <c r="DP15" s="18">
        <f>DO15*VLOOKUP('Données projet'!$B$14,Paramètres!$A$1:$I$89,3,0)*VLOOKUP('Données projet'!$B$14,Paramètres!$A$1:$I$89,5,0)</f>
        <v>10.137322508112241</v>
      </c>
      <c r="DQ15" s="14">
        <f t="shared" si="43"/>
        <v>3.5676797253661268</v>
      </c>
      <c r="DR15" s="22">
        <f t="shared" si="16"/>
        <v>23.869545556641487</v>
      </c>
      <c r="DS15" s="60">
        <f t="shared" si="17"/>
        <v>295.20287888997478</v>
      </c>
      <c r="DT15" s="60">
        <f ca="1">AVERAGE(OFFSET($DS$3,0,0,'Données projet'!$E$14+1,1))-AVERAGE(OFFSET($H$3,0,0,'Données projet'!$E$14+1,1))</f>
        <v>502.07782026233912</v>
      </c>
      <c r="DU15" s="60">
        <f t="shared" si="44"/>
        <v>285.83623046025156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2.4666666666666668</v>
      </c>
      <c r="EJ15" s="13">
        <f>IF('Données projet'!$A$192&gt;35,EJ14+EI15-ER14,IF(A15&lt;'Données projet'!$A$192,$EG$205^A15,IF(A15='Données projet'!$A$192,'Données projet'!$B$192,EJ14+EI15-ER14)))</f>
        <v>17.970550417308221</v>
      </c>
      <c r="EK15" s="18">
        <f>EJ15*VLOOKUP('Données projet'!$B$15,Paramètres!$A$1:$I$89,3,0)*VLOOKUP('Données projet'!$B$15,Paramètres!$A$1:$I$89,5,0)</f>
        <v>15.699072844560465</v>
      </c>
      <c r="EL15" s="14">
        <f t="shared" si="45"/>
        <v>5.250810382962916</v>
      </c>
      <c r="EM15" s="22">
        <f t="shared" si="19"/>
        <v>36.48771328793655</v>
      </c>
      <c r="EN15" s="60">
        <f t="shared" si="20"/>
        <v>307.82104662126989</v>
      </c>
      <c r="EO15" s="60">
        <f ca="1">AVERAGE(OFFSET($EN$3,0,0,'Données projet'!$E$15+1,1))-AVERAGE(OFFSET($H$3,0,0,'Données projet'!$E$15+1,1))</f>
        <v>339.58437495284466</v>
      </c>
      <c r="EP15" s="60">
        <f t="shared" si="46"/>
        <v>371.26234252426531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2.1</v>
      </c>
      <c r="FE15" s="13">
        <f>IF('Données projet'!$A$218&gt;35,FE14+FD15-FM14,IF(A15&lt;'Données projet'!$A$218,$FB$205^A15,IF(A15='Données projet'!$A$218,'Données projet'!$B$218,FE14+FD15-FM14)))</f>
        <v>9.4178024044149407</v>
      </c>
      <c r="FF15" s="18">
        <f>FE15*VLOOKUP('Données projet'!$B$16,Paramètres!$A$1:$I$89,3,0)*VLOOKUP('Données projet'!$B$16,Paramètres!$A$1:$I$89,5,0)</f>
        <v>9.1088984855501316</v>
      </c>
      <c r="FG15" s="14">
        <f t="shared" si="47"/>
        <v>3.2459072101643005</v>
      </c>
      <c r="FH15" s="22">
        <f t="shared" si="22"/>
        <v>21.517953253369303</v>
      </c>
      <c r="FI15" s="60">
        <f t="shared" si="23"/>
        <v>292.8512865867026</v>
      </c>
      <c r="FJ15" s="60">
        <f ca="1">AVERAGE(OFFSET($FI$3,0,0,'Données projet'!$E$16+1,1))-AVERAGE(OFFSET($H$3,0,0,'Données projet'!$E$16+1,1))</f>
        <v>455.50822833641354</v>
      </c>
      <c r="FK15" s="60">
        <f t="shared" si="48"/>
        <v>261.14722581688039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0">
        <f t="shared" si="0"/>
        <v>299.55821782408742</v>
      </c>
      <c r="S16" s="60">
        <f ca="1">AVERAGE(OFFSET($R$3,0,0,'Données projet'!$E$9+1,1))-AVERAGE(OFFSET($H$3,0,0,'Données projet'!$E$9+1,1))</f>
        <v>475.47920969424894</v>
      </c>
      <c r="T16" s="60">
        <f t="shared" si="34"/>
        <v>271.73544012419364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2.3805128205128203</v>
      </c>
      <c r="AI16" s="14">
        <f>IF('Données projet'!$A$62&gt;35,AI15+AH16-AQ15,IF(A16&lt;'Données projet'!$A$62,$AF$205^A16,IF(A16='Données projet'!$A$62,'Données projet'!$B$62,AI15+AH16-AQ15)))</f>
        <v>22.168018709081991</v>
      </c>
      <c r="AJ16" s="14">
        <f>AI16*VLOOKUP('Données projet'!$B$10,Paramètres!$A$1:$I$89,3,0)*VLOOKUP('Données projet'!$B$10,Paramètres!$A$1:$I$89,5,0)</f>
        <v>13.256475188031033</v>
      </c>
      <c r="AK16" s="14">
        <f t="shared" si="35"/>
        <v>4.5219890003242735</v>
      </c>
      <c r="AL16" s="22">
        <f t="shared" si="4"/>
        <v>30.964158461385495</v>
      </c>
      <c r="AM16" s="60">
        <f t="shared" si="5"/>
        <v>303.51971401694107</v>
      </c>
      <c r="AN16" s="60">
        <f ca="1">AVERAGE(OFFSET($AM$3,0,0,'Données projet'!$E$10+1,1))-AVERAGE(OFFSET($H$3,0,0,'Données projet'!$E$10+1,1))</f>
        <v>289.24721145176682</v>
      </c>
      <c r="AO16" s="60">
        <f t="shared" si="36"/>
        <v>229.06617320689003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1.1564102564102565</v>
      </c>
      <c r="BD16" s="13">
        <f>IF('Données projet'!$A$88&gt;35,BD15+BC16-BL15,IF(A16&lt;'Données projet'!$A$88,$BA$205^A16,IF(A16='Données projet'!$A$88,'Données projet'!$B$88,BD15+BC16-BL15)))</f>
        <v>11.857034987779356</v>
      </c>
      <c r="BE16" s="14">
        <f>BD16*VLOOKUP('Données projet'!$B$11,Paramètres!$A$1:$I$89,3,0)*VLOOKUP('Données projet'!$B$11,Paramètres!$A$1:$I$89,5,0)</f>
        <v>7.0905069226920556</v>
      </c>
      <c r="BF16" s="14">
        <f t="shared" si="37"/>
        <v>2.6014202360179604</v>
      </c>
      <c r="BG16" s="22">
        <f t="shared" si="7"/>
        <v>16.880106468086609</v>
      </c>
      <c r="BH16" s="60">
        <f t="shared" si="8"/>
        <v>289.43566202364218</v>
      </c>
      <c r="BI16" s="60">
        <f ca="1">AVERAGE(OFFSET($BH$3,0,0,'Données projet'!$E$11+1,1))-AVERAGE(OFFSET($H$3,0,0,'Données projet'!$E$11+1,1))</f>
        <v>287.91374663515506</v>
      </c>
      <c r="BJ16" s="60">
        <f t="shared" si="38"/>
        <v>217.76240797006147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2.1</v>
      </c>
      <c r="BY16" s="13">
        <f>IF('Données projet'!$A$114&gt;35,BY15+BX16-CG15,IF(A16&lt;'Données projet'!$A$114,$BV$205^A16,IF(A16='Données projet'!$A$114,'Données projet'!$B$114,BY15+BX16-CG15)))</f>
        <v>11.35303662145153</v>
      </c>
      <c r="BZ16" s="14">
        <f>BY16*VLOOKUP('Données projet'!$B$12,Paramètres!$A$1:$I$89,3,0)*VLOOKUP('Données projet'!$B$12,Paramètres!$A$1:$I$89,5,0)</f>
        <v>10.272227535089344</v>
      </c>
      <c r="CA16" s="14">
        <f t="shared" si="39"/>
        <v>3.6095987912522753</v>
      </c>
      <c r="CB16" s="22">
        <f t="shared" si="10"/>
        <v>24.177514185044988</v>
      </c>
      <c r="CC16" s="60">
        <f t="shared" si="11"/>
        <v>296.73306974060051</v>
      </c>
      <c r="CD16" s="60">
        <f ca="1">AVERAGE(OFFSET($CC$3,0,0,'Données projet'!$E$12+1,1))-AVERAGE(OFFSET($H$3,0,0,'Données projet'!$E$12+1,1))</f>
        <v>428.8489304403459</v>
      </c>
      <c r="CE16" s="60">
        <f t="shared" si="40"/>
        <v>247.01165577562966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4.9084615384615384</v>
      </c>
      <c r="CT16" s="13">
        <f>IF('Données projet'!$A$140&gt;35,CT15+CS16-DB15,IF(A16&lt;'Données projet'!$A$140,$CQ$205^A16,IF(A16='Données projet'!$A$140,'Données projet'!$B$140,CT15+CS16-DB15)))</f>
        <v>8.6995251313584792</v>
      </c>
      <c r="CU16" s="18">
        <f>CT16*VLOOKUP('Données projet'!$B$13,Paramètres!$A$1:$I$89,3,0)*VLOOKUP('Données projet'!$B$13,Paramètres!$A$1:$I$89,5,0)</f>
        <v>4.0713777614757687</v>
      </c>
      <c r="CV16" s="14">
        <f t="shared" si="41"/>
        <v>1.5933807498842545</v>
      </c>
      <c r="CW16" s="22">
        <f t="shared" si="13"/>
        <v>9.8661210739520406</v>
      </c>
      <c r="CX16" s="60">
        <f t="shared" si="14"/>
        <v>282.4216766295076</v>
      </c>
      <c r="CY16" s="60">
        <f ca="1">AVERAGE(OFFSET($CX$3,0,0,'Données projet'!$E$13+1,1))-AVERAGE(OFFSET($H$3,0,0,'Données projet'!$E$13+1,1))</f>
        <v>284.88646502866419</v>
      </c>
      <c r="CZ16" s="60">
        <f t="shared" si="42"/>
        <v>190.4880882944471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2.1</v>
      </c>
      <c r="DO16" s="13">
        <f>IF('Données projet'!$A$166&gt;35,DO15+DN16-DW15,IF(A16&lt;'Données projet'!$A$166,$DL$205^A16,IF(A16='Données projet'!$A$166,'Données projet'!$B$166,DO15+DN16-DW15)))</f>
        <v>11.35303662145153</v>
      </c>
      <c r="DP16" s="18">
        <f>DO16*VLOOKUP('Données projet'!$B$14,Paramètres!$A$1:$I$89,3,0)*VLOOKUP('Données projet'!$B$14,Paramètres!$A$1:$I$89,5,0)</f>
        <v>12.220408619330426</v>
      </c>
      <c r="DQ16" s="14">
        <f t="shared" si="43"/>
        <v>4.2082449797185175</v>
      </c>
      <c r="DR16" s="22">
        <f t="shared" si="16"/>
        <v>28.613238351676909</v>
      </c>
      <c r="DS16" s="60">
        <f t="shared" si="17"/>
        <v>301.16879390723244</v>
      </c>
      <c r="DT16" s="60">
        <f ca="1">AVERAGE(OFFSET($DS$3,0,0,'Données projet'!$E$14+1,1))-AVERAGE(OFFSET($H$3,0,0,'Données projet'!$E$14+1,1))</f>
        <v>502.07782026233912</v>
      </c>
      <c r="DU16" s="60">
        <f t="shared" si="44"/>
        <v>285.83623046025156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2.4666666666666668</v>
      </c>
      <c r="EJ16" s="13">
        <f>IF('Données projet'!$A$192&gt;35,EJ15+EI16-ER15,IF(A16&lt;'Données projet'!$A$192,$EG$205^A16,IF(A16='Données projet'!$A$192,'Données projet'!$B$192,EJ15+EI16-ER15)))</f>
        <v>22.86168101684942</v>
      </c>
      <c r="EK16" s="18">
        <f>EJ16*VLOOKUP('Données projet'!$B$15,Paramètres!$A$1:$I$89,3,0)*VLOOKUP('Données projet'!$B$15,Paramètres!$A$1:$I$89,5,0)</f>
        <v>19.971964536319657</v>
      </c>
      <c r="EL16" s="14">
        <f t="shared" si="45"/>
        <v>6.4953696479137237</v>
      </c>
      <c r="EM16" s="22">
        <f t="shared" si="19"/>
        <v>46.097273704206465</v>
      </c>
      <c r="EN16" s="60">
        <f t="shared" si="20"/>
        <v>318.65282925976203</v>
      </c>
      <c r="EO16" s="60">
        <f ca="1">AVERAGE(OFFSET($EN$3,0,0,'Données projet'!$E$15+1,1))-AVERAGE(OFFSET($H$3,0,0,'Données projet'!$E$15+1,1))</f>
        <v>339.58437495284466</v>
      </c>
      <c r="EP16" s="60">
        <f t="shared" si="46"/>
        <v>371.26234252426531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2.1</v>
      </c>
      <c r="FE16" s="13">
        <f>IF('Données projet'!$A$218&gt;35,FE15+FD16-FM15,IF(A16&lt;'Données projet'!$A$218,$FB$205^A16,IF(A16='Données projet'!$A$218,'Données projet'!$B$218,FE15+FD16-FM15)))</f>
        <v>11.35303662145153</v>
      </c>
      <c r="FF16" s="18">
        <f>FE16*VLOOKUP('Données projet'!$B$16,Paramètres!$A$1:$I$89,3,0)*VLOOKUP('Données projet'!$B$16,Paramètres!$A$1:$I$89,5,0)</f>
        <v>10.98065702026792</v>
      </c>
      <c r="FG16" s="14">
        <f t="shared" si="47"/>
        <v>3.8286992592655618</v>
      </c>
      <c r="FH16" s="22">
        <f t="shared" si="22"/>
        <v>25.792962186854144</v>
      </c>
      <c r="FI16" s="60">
        <f t="shared" si="23"/>
        <v>298.34851774240968</v>
      </c>
      <c r="FJ16" s="60">
        <f ca="1">AVERAGE(OFFSET($FI$3,0,0,'Données projet'!$E$16+1,1))-AVERAGE(OFFSET($H$3,0,0,'Données projet'!$E$16+1,1))</f>
        <v>455.50822833641354</v>
      </c>
      <c r="FK16" s="60">
        <f t="shared" si="48"/>
        <v>261.14722581688039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0">
        <f t="shared" si="0"/>
        <v>306.14877929230755</v>
      </c>
      <c r="S17" s="60">
        <f ca="1">AVERAGE(OFFSET($R$3,0,0,'Données projet'!$E$9+1,1))-AVERAGE(OFFSET($H$3,0,0,'Données projet'!$E$9+1,1))</f>
        <v>475.47920969424894</v>
      </c>
      <c r="T17" s="60">
        <f t="shared" si="34"/>
        <v>271.73544012419364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2.3805128205128203</v>
      </c>
      <c r="AI17" s="14">
        <f>IF('Données projet'!$A$62&gt;35,AI16+AH17-AQ16,IF(A17&lt;'Données projet'!$A$62,$AF$205^A17,IF(A17='Données projet'!$A$62,'Données projet'!$B$62,AI16+AH17-AQ16)))</f>
        <v>28.134832345956244</v>
      </c>
      <c r="AJ17" s="14">
        <f>AI17*VLOOKUP('Données projet'!$B$10,Paramètres!$A$1:$I$89,3,0)*VLOOKUP('Données projet'!$B$10,Paramètres!$A$1:$I$89,5,0)</f>
        <v>16.824629742881836</v>
      </c>
      <c r="AK17" s="14">
        <f t="shared" si="35"/>
        <v>5.5820988439469144</v>
      </c>
      <c r="AL17" s="22">
        <f t="shared" si="4"/>
        <v>39.025052288726734</v>
      </c>
      <c r="AM17" s="60">
        <f t="shared" si="5"/>
        <v>312.8028300665045</v>
      </c>
      <c r="AN17" s="60">
        <f ca="1">AVERAGE(OFFSET($AM$3,0,0,'Données projet'!$E$10+1,1))-AVERAGE(OFFSET($H$3,0,0,'Données projet'!$E$10+1,1))</f>
        <v>289.24721145176682</v>
      </c>
      <c r="AO17" s="60">
        <f t="shared" si="36"/>
        <v>229.06617320689003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1.1564102564102565</v>
      </c>
      <c r="BD17" s="13">
        <f>IF('Données projet'!$A$88&gt;35,BD16+BC17-BL16,IF(A17&lt;'Données projet'!$A$88,$BA$205^A17,IF(A17='Données projet'!$A$88,'Données projet'!$B$88,BD16+BC17-BL16)))</f>
        <v>14.341337213009451</v>
      </c>
      <c r="BE17" s="14">
        <f>BD17*VLOOKUP('Données projet'!$B$11,Paramètres!$A$1:$I$89,3,0)*VLOOKUP('Données projet'!$B$11,Paramètres!$A$1:$I$89,5,0)</f>
        <v>8.5761196533796529</v>
      </c>
      <c r="BF17" s="14">
        <f t="shared" si="37"/>
        <v>3.0775693187452706</v>
      </c>
      <c r="BG17" s="22">
        <f t="shared" si="7"/>
        <v>20.29684162645091</v>
      </c>
      <c r="BH17" s="60">
        <f t="shared" si="8"/>
        <v>294.07461940422866</v>
      </c>
      <c r="BI17" s="60">
        <f ca="1">AVERAGE(OFFSET($BH$3,0,0,'Données projet'!$E$11+1,1))-AVERAGE(OFFSET($H$3,0,0,'Données projet'!$E$11+1,1))</f>
        <v>287.91374663515506</v>
      </c>
      <c r="BJ17" s="60">
        <f t="shared" si="38"/>
        <v>217.76240797006147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2.1</v>
      </c>
      <c r="BY17" s="13">
        <f>IF('Données projet'!$A$114&gt;35,BY16+BX17-CG16,IF(A17&lt;'Données projet'!$A$114,$BV$205^A17,IF(A17='Données projet'!$A$114,'Données projet'!$B$114,BY16+BX17-CG16)))</f>
        <v>13.685935953338433</v>
      </c>
      <c r="BZ17" s="14">
        <f>BY17*VLOOKUP('Données projet'!$B$12,Paramètres!$A$1:$I$89,3,0)*VLOOKUP('Données projet'!$B$12,Paramètres!$A$1:$I$89,5,0)</f>
        <v>12.383034850580612</v>
      </c>
      <c r="CA17" s="14">
        <f t="shared" si="39"/>
        <v>4.2576904771143838</v>
      </c>
      <c r="CB17" s="22">
        <f t="shared" si="10"/>
        <v>28.982596612402116</v>
      </c>
      <c r="CC17" s="60">
        <f t="shared" si="11"/>
        <v>302.76037439017989</v>
      </c>
      <c r="CD17" s="60">
        <f ca="1">AVERAGE(OFFSET($CC$3,0,0,'Données projet'!$E$12+1,1))-AVERAGE(OFFSET($H$3,0,0,'Données projet'!$E$12+1,1))</f>
        <v>428.8489304403459</v>
      </c>
      <c r="CE17" s="60">
        <f t="shared" si="40"/>
        <v>247.01165577562966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4.9084615384615384</v>
      </c>
      <c r="CT17" s="13">
        <f>IF('Données projet'!$A$140&gt;35,CT16+CS17-DB16,IF(A17&lt;'Données projet'!$A$140,$CQ$205^A17,IF(A17='Données projet'!$A$140,'Données projet'!$B$140,CT16+CS17-DB16)))</f>
        <v>10.27458845259182</v>
      </c>
      <c r="CU17" s="18">
        <f>CT17*VLOOKUP('Données projet'!$B$13,Paramètres!$A$1:$I$89,3,0)*VLOOKUP('Données projet'!$B$13,Paramètres!$A$1:$I$89,5,0)</f>
        <v>4.8085073958129714</v>
      </c>
      <c r="CV17" s="14">
        <f t="shared" si="41"/>
        <v>1.8457647839586531</v>
      </c>
      <c r="CW17" s="22">
        <f t="shared" si="13"/>
        <v>11.589524046435578</v>
      </c>
      <c r="CX17" s="60">
        <f t="shared" si="14"/>
        <v>285.36730182421337</v>
      </c>
      <c r="CY17" s="60">
        <f ca="1">AVERAGE(OFFSET($CX$3,0,0,'Données projet'!$E$13+1,1))-AVERAGE(OFFSET($H$3,0,0,'Données projet'!$E$13+1,1))</f>
        <v>284.88646502866419</v>
      </c>
      <c r="CZ17" s="60">
        <f t="shared" si="42"/>
        <v>190.4880882944471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2.1</v>
      </c>
      <c r="DO17" s="13">
        <f>IF('Données projet'!$A$166&gt;35,DO16+DN17-DW16,IF(A17&lt;'Données projet'!$A$166,$DL$205^A17,IF(A17='Données projet'!$A$166,'Données projet'!$B$166,DO16+DN17-DW16)))</f>
        <v>13.685935953338433</v>
      </c>
      <c r="DP17" s="18">
        <f>DO17*VLOOKUP('Données projet'!$B$14,Paramètres!$A$1:$I$89,3,0)*VLOOKUP('Données projet'!$B$14,Paramètres!$A$1:$I$89,5,0)</f>
        <v>14.731541460173487</v>
      </c>
      <c r="DQ17" s="14">
        <f t="shared" si="43"/>
        <v>4.9638216355053304</v>
      </c>
      <c r="DR17" s="22">
        <f t="shared" si="16"/>
        <v>34.302757391640604</v>
      </c>
      <c r="DS17" s="60">
        <f t="shared" si="17"/>
        <v>308.0805351694184</v>
      </c>
      <c r="DT17" s="60">
        <f ca="1">AVERAGE(OFFSET($DS$3,0,0,'Données projet'!$E$14+1,1))-AVERAGE(OFFSET($H$3,0,0,'Données projet'!$E$14+1,1))</f>
        <v>502.07782026233912</v>
      </c>
      <c r="DU17" s="60">
        <f t="shared" si="44"/>
        <v>285.83623046025156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2.4666666666666668</v>
      </c>
      <c r="EJ17" s="13">
        <f>IF('Données projet'!$A$192&gt;35,EJ16+EI17-ER16,IF(A17&lt;'Données projet'!$A$192,$EG$205^A17,IF(A17='Données projet'!$A$192,'Données projet'!$B$192,EJ16+EI17-ER16)))</f>
        <v>29.084054009429774</v>
      </c>
      <c r="EK17" s="18">
        <f>EJ17*VLOOKUP('Données projet'!$B$15,Paramètres!$A$1:$I$89,3,0)*VLOOKUP('Données projet'!$B$15,Paramètres!$A$1:$I$89,5,0)</f>
        <v>25.407829582637852</v>
      </c>
      <c r="EL17" s="14">
        <f t="shared" si="45"/>
        <v>8.0349172386667025</v>
      </c>
      <c r="EM17" s="22">
        <f t="shared" si="19"/>
        <v>58.246117380438761</v>
      </c>
      <c r="EN17" s="60">
        <f t="shared" si="20"/>
        <v>332.02389515821653</v>
      </c>
      <c r="EO17" s="60">
        <f ca="1">AVERAGE(OFFSET($EN$3,0,0,'Données projet'!$E$15+1,1))-AVERAGE(OFFSET($H$3,0,0,'Données projet'!$E$15+1,1))</f>
        <v>339.58437495284466</v>
      </c>
      <c r="EP17" s="60">
        <f t="shared" si="46"/>
        <v>371.26234252426531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2.1</v>
      </c>
      <c r="FE17" s="13">
        <f>IF('Données projet'!$A$218&gt;35,FE16+FD17-FM16,IF(A17&lt;'Données projet'!$A$218,$FB$205^A17,IF(A17='Données projet'!$A$218,'Données projet'!$B$218,FE16+FD17-FM16)))</f>
        <v>13.685935953338433</v>
      </c>
      <c r="FF17" s="18">
        <f>FE17*VLOOKUP('Données projet'!$B$16,Paramètres!$A$1:$I$89,3,0)*VLOOKUP('Données projet'!$B$16,Paramètres!$A$1:$I$89,5,0)</f>
        <v>13.237037254068934</v>
      </c>
      <c r="FG17" s="14">
        <f t="shared" si="47"/>
        <v>4.5161297192961545</v>
      </c>
      <c r="FH17" s="22">
        <f t="shared" si="22"/>
        <v>30.920099145277529</v>
      </c>
      <c r="FI17" s="60">
        <f t="shared" si="23"/>
        <v>304.69787692305528</v>
      </c>
      <c r="FJ17" s="60">
        <f ca="1">AVERAGE(OFFSET($FI$3,0,0,'Données projet'!$E$16+1,1))-AVERAGE(OFFSET($H$3,0,0,'Données projet'!$E$16+1,1))</f>
        <v>455.50822833641354</v>
      </c>
      <c r="FK17" s="60">
        <f t="shared" si="48"/>
        <v>261.14722581688039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0">
        <f t="shared" si="0"/>
        <v>313.81008211298388</v>
      </c>
      <c r="S18" s="60">
        <f ca="1">AVERAGE(OFFSET($R$3,0,0,'Données projet'!$E$9+1,1))-AVERAGE(OFFSET($H$3,0,0,'Données projet'!$E$9+1,1))</f>
        <v>475.47920969424894</v>
      </c>
      <c r="T18" s="60">
        <f t="shared" si="34"/>
        <v>271.73544012419364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35.707692307692305</v>
      </c>
      <c r="AG18" s="13">
        <f>VLOOKUP(A18,'Données projet'!$A$61:$I$81,9,0)</f>
        <v>2.3805128205128203</v>
      </c>
      <c r="AH18" s="13">
        <f t="array" ref="AH18">INDEX(AG:AG,MIN(IF(ISNUMBER(AG18:AG214),ROW(AG18:AG214),"")))</f>
        <v>2.3805128205128203</v>
      </c>
      <c r="AI18" s="14">
        <f>IF('Données projet'!$A$62&gt;35,AI17+AH18-AQ17,IF(A18&lt;'Données projet'!$A$62,$AF$205^A18,IF(A18='Données projet'!$A$62,'Données projet'!$B$62,AI17+AH18-AQ17)))</f>
        <v>35.707692307692305</v>
      </c>
      <c r="AJ18" s="14">
        <f>AI18*VLOOKUP('Données projet'!$B$10,Paramètres!$A$1:$I$89,3,0)*VLOOKUP('Données projet'!$B$10,Paramètres!$A$1:$I$89,5,0)</f>
        <v>21.353200000000001</v>
      </c>
      <c r="AK18" s="14">
        <f t="shared" si="35"/>
        <v>6.8907349180546449</v>
      </c>
      <c r="AL18" s="22">
        <f t="shared" si="4"/>
        <v>49.1915199822785</v>
      </c>
      <c r="AM18" s="60">
        <f t="shared" si="5"/>
        <v>324.19151998227852</v>
      </c>
      <c r="AN18" s="60">
        <f ca="1">AVERAGE(OFFSET($AM$3,0,0,'Données projet'!$E$10+1,1))-AVERAGE(OFFSET($H$3,0,0,'Données projet'!$E$10+1,1))</f>
        <v>289.24721145176682</v>
      </c>
      <c r="AO18" s="60">
        <f t="shared" si="36"/>
        <v>229.06617320689003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17.346153846153847</v>
      </c>
      <c r="BB18" s="13">
        <f>VLOOKUP(A18,'Données projet'!$A$87:$I$107,9,0)</f>
        <v>1.1564102564102565</v>
      </c>
      <c r="BC18" s="13">
        <f t="array" ref="BC18">INDEX(BB:BB,MIN(IF(ISNUMBER(BB18:BB214),ROW(BB18:BB214),"")))</f>
        <v>1.1564102564102565</v>
      </c>
      <c r="BD18" s="13">
        <f>IF('Données projet'!$A$88&gt;35,BD17+BC18-BL17,IF(A18&lt;'Données projet'!$A$88,$BA$205^A18,IF(A18='Données projet'!$A$88,'Données projet'!$B$88,BD17+BC18-BL17)))</f>
        <v>17.346153846153847</v>
      </c>
      <c r="BE18" s="14">
        <f>BD18*VLOOKUP('Données projet'!$B$11,Paramètres!$A$1:$I$89,3,0)*VLOOKUP('Données projet'!$B$11,Paramètres!$A$1:$I$89,5,0)</f>
        <v>10.373000000000001</v>
      </c>
      <c r="BF18" s="14">
        <f t="shared" si="37"/>
        <v>3.6408700065239401</v>
      </c>
      <c r="BG18" s="22">
        <f t="shared" si="7"/>
        <v>24.407490261362529</v>
      </c>
      <c r="BH18" s="60">
        <f t="shared" si="8"/>
        <v>299.40749026136251</v>
      </c>
      <c r="BI18" s="60">
        <f ca="1">AVERAGE(OFFSET($BH$3,0,0,'Données projet'!$E$11+1,1))-AVERAGE(OFFSET($H$3,0,0,'Données projet'!$E$11+1,1))</f>
        <v>287.91374663515506</v>
      </c>
      <c r="BJ18" s="60">
        <f t="shared" si="38"/>
        <v>217.76240797006147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2.1</v>
      </c>
      <c r="BY18" s="13">
        <f>IF('Données projet'!$A$114&gt;35,BY17+BX18-CG17,IF(A18&lt;'Données projet'!$A$114,$BV$205^A18,IF(A18='Données projet'!$A$114,'Données projet'!$B$114,BY17+BX18-CG17)))</f>
        <v>16.498215337821566</v>
      </c>
      <c r="BZ18" s="14">
        <f>BY18*VLOOKUP('Données projet'!$B$12,Paramètres!$A$1:$I$89,3,0)*VLOOKUP('Données projet'!$B$12,Paramètres!$A$1:$I$89,5,0)</f>
        <v>14.927585237660953</v>
      </c>
      <c r="CA18" s="14">
        <f t="shared" si="39"/>
        <v>5.0221449106318534</v>
      </c>
      <c r="CB18" s="22">
        <f t="shared" si="10"/>
        <v>34.745780008276633</v>
      </c>
      <c r="CC18" s="60">
        <f t="shared" si="11"/>
        <v>309.74578000827665</v>
      </c>
      <c r="CD18" s="60">
        <f ca="1">AVERAGE(OFFSET($CC$3,0,0,'Données projet'!$E$12+1,1))-AVERAGE(OFFSET($H$3,0,0,'Données projet'!$E$12+1,1))</f>
        <v>428.8489304403459</v>
      </c>
      <c r="CE18" s="60">
        <f t="shared" si="40"/>
        <v>247.01165577562966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4.9084615384615384</v>
      </c>
      <c r="CT18" s="13">
        <f>IF('Données projet'!$A$140&gt;35,CT17+CS18-DB17,IF(A18&lt;'Données projet'!$A$140,$CQ$205^A18,IF(A18='Données projet'!$A$140,'Données projet'!$B$140,CT17+CS18-DB17)))</f>
        <v>12.134819576485119</v>
      </c>
      <c r="CU18" s="18">
        <f>CT18*VLOOKUP('Données projet'!$B$13,Paramètres!$A$1:$I$89,3,0)*VLOOKUP('Données projet'!$B$13,Paramètres!$A$1:$I$89,5,0)</f>
        <v>5.6790955617950356</v>
      </c>
      <c r="CV18" s="14">
        <f t="shared" si="41"/>
        <v>2.1381252647550886</v>
      </c>
      <c r="CW18" s="22">
        <f t="shared" si="13"/>
        <v>13.614992939574798</v>
      </c>
      <c r="CX18" s="60">
        <f t="shared" si="14"/>
        <v>288.61499293957479</v>
      </c>
      <c r="CY18" s="60">
        <f ca="1">AVERAGE(OFFSET($CX$3,0,0,'Données projet'!$E$13+1,1))-AVERAGE(OFFSET($H$3,0,0,'Données projet'!$E$13+1,1))</f>
        <v>284.88646502866419</v>
      </c>
      <c r="CZ18" s="60">
        <f t="shared" si="42"/>
        <v>190.4880882944471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2.1</v>
      </c>
      <c r="DO18" s="13">
        <f>IF('Données projet'!$A$166&gt;35,DO17+DN18-DW17,IF(A18&lt;'Données projet'!$A$166,$DL$205^A18,IF(A18='Données projet'!$A$166,'Données projet'!$B$166,DO17+DN18-DW17)))</f>
        <v>16.498215337821566</v>
      </c>
      <c r="DP18" s="18">
        <f>DO18*VLOOKUP('Données projet'!$B$14,Paramètres!$A$1:$I$89,3,0)*VLOOKUP('Données projet'!$B$14,Paramètres!$A$1:$I$89,5,0)</f>
        <v>17.758678989631132</v>
      </c>
      <c r="DQ18" s="14">
        <f t="shared" si="43"/>
        <v>5.8550596146042126</v>
      </c>
      <c r="DR18" s="22">
        <f t="shared" si="16"/>
        <v>41.127261402376554</v>
      </c>
      <c r="DS18" s="60">
        <f t="shared" si="17"/>
        <v>316.12726140237658</v>
      </c>
      <c r="DT18" s="60">
        <f ca="1">AVERAGE(OFFSET($DS$3,0,0,'Données projet'!$E$14+1,1))-AVERAGE(OFFSET($H$3,0,0,'Données projet'!$E$14+1,1))</f>
        <v>502.07782026233912</v>
      </c>
      <c r="DU18" s="60">
        <f t="shared" si="44"/>
        <v>285.83623046025156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37</v>
      </c>
      <c r="EH18" s="13">
        <f>VLOOKUP(A18,'Données projet'!$A$191:$I$211,9,0)</f>
        <v>2.4666666666666668</v>
      </c>
      <c r="EI18" s="13">
        <f t="array" ref="EI18">INDEX(EH:EH,MIN(IF(ISNUMBER(EH18:EH214),ROW(EH18:EH214),"")))</f>
        <v>2.4666666666666668</v>
      </c>
      <c r="EJ18" s="13">
        <f>IF('Données projet'!$A$192&gt;35,EJ17+EI18-ER17,IF(A18&lt;'Données projet'!$A$192,$EG$205^A18,IF(A18='Données projet'!$A$192,'Données projet'!$B$192,EJ17+EI18-ER17)))</f>
        <v>37</v>
      </c>
      <c r="EK18" s="18">
        <f>EJ18*VLOOKUP('Données projet'!$B$15,Paramètres!$A$1:$I$89,3,0)*VLOOKUP('Données projet'!$B$15,Paramètres!$A$1:$I$89,5,0)</f>
        <v>32.323200000000007</v>
      </c>
      <c r="EL18" s="14">
        <f t="shared" si="45"/>
        <v>9.9393719729191545</v>
      </c>
      <c r="EM18" s="22">
        <f t="shared" si="19"/>
        <v>73.607312852834198</v>
      </c>
      <c r="EN18" s="60">
        <f t="shared" si="20"/>
        <v>348.60731285283418</v>
      </c>
      <c r="EO18" s="60">
        <f ca="1">AVERAGE(OFFSET($EN$3,0,0,'Données projet'!$E$15+1,1))-AVERAGE(OFFSET($H$3,0,0,'Données projet'!$E$15+1,1))</f>
        <v>339.58437495284466</v>
      </c>
      <c r="EP18" s="60">
        <f t="shared" si="46"/>
        <v>371.26234252426531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2.1</v>
      </c>
      <c r="FE18" s="13">
        <f>IF('Données projet'!$A$218&gt;35,FE17+FD18-FM17,IF(A18&lt;'Données projet'!$A$218,$FB$205^A18,IF(A18='Données projet'!$A$218,'Données projet'!$B$218,FE17+FD18-FM17)))</f>
        <v>16.498215337821566</v>
      </c>
      <c r="FF18" s="18">
        <f>FE18*VLOOKUP('Données projet'!$B$16,Paramètres!$A$1:$I$89,3,0)*VLOOKUP('Données projet'!$B$16,Paramètres!$A$1:$I$89,5,0)</f>
        <v>15.957073874741019</v>
      </c>
      <c r="FG18" s="14">
        <f t="shared" si="47"/>
        <v>5.3269860755326848</v>
      </c>
      <c r="FH18" s="22">
        <f t="shared" si="22"/>
        <v>37.069737746726702</v>
      </c>
      <c r="FI18" s="60">
        <f t="shared" si="23"/>
        <v>312.06973774672667</v>
      </c>
      <c r="FJ18" s="60">
        <f ca="1">AVERAGE(OFFSET($FI$3,0,0,'Données projet'!$E$16+1,1))-AVERAGE(OFFSET($H$3,0,0,'Données projet'!$E$16+1,1))</f>
        <v>455.50822833641354</v>
      </c>
      <c r="FK18" s="60">
        <f t="shared" si="48"/>
        <v>261.14722581688039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0">
        <f t="shared" si="0"/>
        <v>322.75633550905911</v>
      </c>
      <c r="S19" s="60">
        <f ca="1">AVERAGE(OFFSET($R$3,0,0,'Données projet'!$E$9+1,1))-AVERAGE(OFFSET($H$3,0,0,'Données projet'!$E$9+1,1))</f>
        <v>475.47920969424894</v>
      </c>
      <c r="T19" s="60">
        <f t="shared" si="34"/>
        <v>271.73544012419364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13.468131868131868</v>
      </c>
      <c r="AI19" s="14">
        <f>IF('Données projet'!$A$62&gt;35,AI18+AH19-AQ18,IF(A19&lt;'Données projet'!$A$62,$AF$205^A19,IF(A19='Données projet'!$A$62,'Données projet'!$B$62,AI18+AH19-AQ18)))</f>
        <v>49.175824175824175</v>
      </c>
      <c r="AJ19" s="14">
        <f>AI19*VLOOKUP('Données projet'!$B$10,Paramètres!$A$1:$I$89,3,0)*VLOOKUP('Données projet'!$B$10,Paramètres!$A$1:$I$89,5,0)</f>
        <v>29.407142857142858</v>
      </c>
      <c r="AK19" s="14">
        <f t="shared" si="35"/>
        <v>9.1427529908921841</v>
      </c>
      <c r="AL19" s="22">
        <f t="shared" si="4"/>
        <v>67.141068601994363</v>
      </c>
      <c r="AM19" s="60">
        <f t="shared" si="5"/>
        <v>343.36329082421662</v>
      </c>
      <c r="AN19" s="60">
        <f ca="1">AVERAGE(OFFSET($AM$3,0,0,'Données projet'!$E$10+1,1))-AVERAGE(OFFSET($H$3,0,0,'Données projet'!$E$10+1,1))</f>
        <v>289.24721145176682</v>
      </c>
      <c r="AO19" s="60">
        <f t="shared" si="36"/>
        <v>229.06617320689003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6.2569230769230755</v>
      </c>
      <c r="BD19" s="13">
        <f>IF('Données projet'!$A$88&gt;35,BD18+BC19-BL18,IF(A19&lt;'Données projet'!$A$88,$BA$205^A19,IF(A19='Données projet'!$A$88,'Données projet'!$B$88,BD18+BC19-BL18)))</f>
        <v>23.603076923076923</v>
      </c>
      <c r="BE19" s="14">
        <f>BD19*VLOOKUP('Données projet'!$B$11,Paramètres!$A$1:$I$89,3,0)*VLOOKUP('Données projet'!$B$11,Paramètres!$A$1:$I$89,5,0)</f>
        <v>14.11464</v>
      </c>
      <c r="BF19" s="14">
        <f t="shared" si="37"/>
        <v>4.7796963291083454</v>
      </c>
      <c r="BG19" s="22">
        <f t="shared" si="7"/>
        <v>32.907635773197036</v>
      </c>
      <c r="BH19" s="60">
        <f t="shared" si="8"/>
        <v>309.12985799541929</v>
      </c>
      <c r="BI19" s="60">
        <f ca="1">AVERAGE(OFFSET($BH$3,0,0,'Données projet'!$E$11+1,1))-AVERAGE(OFFSET($H$3,0,0,'Données projet'!$E$11+1,1))</f>
        <v>287.91374663515506</v>
      </c>
      <c r="BJ19" s="60">
        <f t="shared" si="38"/>
        <v>217.76240797006147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2.1</v>
      </c>
      <c r="BY19" s="13">
        <f>IF('Données projet'!$A$114&gt;35,BY18+BX19-CG18,IF(A19&lt;'Données projet'!$A$114,$BV$205^A19,IF(A19='Données projet'!$A$114,'Données projet'!$B$114,BY18+BX19-CG18)))</f>
        <v>19.888381054913147</v>
      </c>
      <c r="BZ19" s="14">
        <f>BY19*VLOOKUP('Données projet'!$B$12,Paramètres!$A$1:$I$89,3,0)*VLOOKUP('Données projet'!$B$12,Paramètres!$A$1:$I$89,5,0)</f>
        <v>17.995007178485412</v>
      </c>
      <c r="CA19" s="14">
        <f t="shared" si="39"/>
        <v>5.9238546434872337</v>
      </c>
      <c r="CB19" s="22">
        <f t="shared" si="10"/>
        <v>41.658684339935689</v>
      </c>
      <c r="CC19" s="60">
        <f t="shared" si="11"/>
        <v>317.88090656215792</v>
      </c>
      <c r="CD19" s="60">
        <f ca="1">AVERAGE(OFFSET($CC$3,0,0,'Données projet'!$E$12+1,1))-AVERAGE(OFFSET($H$3,0,0,'Données projet'!$E$12+1,1))</f>
        <v>428.8489304403459</v>
      </c>
      <c r="CE19" s="60">
        <f t="shared" si="40"/>
        <v>247.01165577562966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4.9084615384615384</v>
      </c>
      <c r="CT19" s="13">
        <f>IF('Données projet'!$A$140&gt;35,CT18+CS19-DB18,IF(A19&lt;'Données projet'!$A$140,$CQ$205^A19,IF(A19='Données projet'!$A$140,'Données projet'!$B$140,CT18+CS19-DB18)))</f>
        <v>14.331848602335111</v>
      </c>
      <c r="CU19" s="18">
        <f>CT19*VLOOKUP('Données projet'!$B$13,Paramètres!$A$1:$I$89,3,0)*VLOOKUP('Données projet'!$B$13,Paramètres!$A$1:$I$89,5,0)</f>
        <v>6.7073051458928319</v>
      </c>
      <c r="CV19" s="14">
        <f t="shared" si="41"/>
        <v>2.4767942738506736</v>
      </c>
      <c r="CW19" s="22">
        <f t="shared" si="13"/>
        <v>15.995639822719939</v>
      </c>
      <c r="CX19" s="60">
        <f t="shared" si="14"/>
        <v>292.21786204494219</v>
      </c>
      <c r="CY19" s="60">
        <f ca="1">AVERAGE(OFFSET($CX$3,0,0,'Données projet'!$E$13+1,1))-AVERAGE(OFFSET($H$3,0,0,'Données projet'!$E$13+1,1))</f>
        <v>284.88646502866419</v>
      </c>
      <c r="CZ19" s="60">
        <f t="shared" si="42"/>
        <v>190.4880882944471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2.1</v>
      </c>
      <c r="DO19" s="13">
        <f>IF('Données projet'!$A$166&gt;35,DO18+DN19-DW18,IF(A19&lt;'Données projet'!$A$166,$DL$205^A19,IF(A19='Données projet'!$A$166,'Données projet'!$B$166,DO18+DN19-DW18)))</f>
        <v>19.888381054913147</v>
      </c>
      <c r="DP19" s="18">
        <f>DO19*VLOOKUP('Données projet'!$B$14,Paramètres!$A$1:$I$89,3,0)*VLOOKUP('Données projet'!$B$14,Paramètres!$A$1:$I$89,5,0)</f>
        <v>21.407853367508512</v>
      </c>
      <c r="DQ19" s="14">
        <f t="shared" si="43"/>
        <v>6.906316464991046</v>
      </c>
      <c r="DR19" s="22">
        <f t="shared" si="16"/>
        <v>49.313845791603399</v>
      </c>
      <c r="DS19" s="60">
        <f t="shared" si="17"/>
        <v>325.53606801382563</v>
      </c>
      <c r="DT19" s="60">
        <f ca="1">AVERAGE(OFFSET($DS$3,0,0,'Données projet'!$E$14+1,1))-AVERAGE(OFFSET($H$3,0,0,'Données projet'!$E$14+1,1))</f>
        <v>502.07782026233912</v>
      </c>
      <c r="DU19" s="60">
        <f t="shared" si="44"/>
        <v>285.83623046025156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11.6</v>
      </c>
      <c r="EJ19" s="13">
        <f>IF('Données projet'!$A$192&gt;35,EJ18+EI19-ER18,IF(A19&lt;'Données projet'!$A$192,$EG$205^A19,IF(A19='Données projet'!$A$192,'Données projet'!$B$192,EJ18+EI19-ER18)))</f>
        <v>48.6</v>
      </c>
      <c r="EK19" s="18">
        <f>EJ19*VLOOKUP('Données projet'!$B$15,Paramètres!$A$1:$I$89,3,0)*VLOOKUP('Données projet'!$B$15,Paramètres!$A$1:$I$89,5,0)</f>
        <v>42.456960000000009</v>
      </c>
      <c r="EL19" s="14">
        <f t="shared" si="45"/>
        <v>12.647587950844969</v>
      </c>
      <c r="EM19" s="22">
        <f t="shared" si="19"/>
        <v>95.973754347721652</v>
      </c>
      <c r="EN19" s="60">
        <f t="shared" si="20"/>
        <v>372.19597656994387</v>
      </c>
      <c r="EO19" s="60">
        <f ca="1">AVERAGE(OFFSET($EN$3,0,0,'Données projet'!$E$15+1,1))-AVERAGE(OFFSET($H$3,0,0,'Données projet'!$E$15+1,1))</f>
        <v>339.58437495284466</v>
      </c>
      <c r="EP19" s="60">
        <f t="shared" si="46"/>
        <v>371.26234252426531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2.1</v>
      </c>
      <c r="FE19" s="13">
        <f>IF('Données projet'!$A$218&gt;35,FE18+FD19-FM18,IF(A19&lt;'Données projet'!$A$218,$FB$205^A19,IF(A19='Données projet'!$A$218,'Données projet'!$B$218,FE18+FD19-FM18)))</f>
        <v>19.888381054913147</v>
      </c>
      <c r="FF19" s="18">
        <f>FE19*VLOOKUP('Données projet'!$B$16,Paramètres!$A$1:$I$89,3,0)*VLOOKUP('Données projet'!$B$16,Paramètres!$A$1:$I$89,5,0)</f>
        <v>19.236042156311996</v>
      </c>
      <c r="FG19" s="14">
        <f t="shared" si="47"/>
        <v>6.2834290449348904</v>
      </c>
      <c r="FH19" s="22">
        <f t="shared" si="22"/>
        <v>44.446412342171662</v>
      </c>
      <c r="FI19" s="60">
        <f t="shared" si="23"/>
        <v>320.66863456439387</v>
      </c>
      <c r="FJ19" s="60">
        <f ca="1">AVERAGE(OFFSET($FI$3,0,0,'Données projet'!$E$16+1,1))-AVERAGE(OFFSET($H$3,0,0,'Données projet'!$E$16+1,1))</f>
        <v>455.50822833641354</v>
      </c>
      <c r="FK19" s="60">
        <f t="shared" si="48"/>
        <v>261.14722581688039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0">
        <f t="shared" si="0"/>
        <v>333.24472198839982</v>
      </c>
      <c r="S20" s="60">
        <f ca="1">AVERAGE(OFFSET($R$3,0,0,'Données projet'!$E$9+1,1))-AVERAGE(OFFSET($H$3,0,0,'Données projet'!$E$9+1,1))</f>
        <v>475.47920969424894</v>
      </c>
      <c r="T20" s="60">
        <f t="shared" si="34"/>
        <v>271.73544012419364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13.468131868131868</v>
      </c>
      <c r="AI20" s="14">
        <f>IF('Données projet'!$A$62&gt;35,AI19+AH20-AQ19,IF(A20&lt;'Données projet'!$A$62,$AF$205^A20,IF(A20='Données projet'!$A$62,'Données projet'!$B$62,AI19+AH20-AQ19)))</f>
        <v>62.643956043956045</v>
      </c>
      <c r="AJ20" s="14">
        <f>AI20*VLOOKUP('Données projet'!$B$10,Paramètres!$A$1:$I$89,3,0)*VLOOKUP('Données projet'!$B$10,Paramètres!$A$1:$I$89,5,0)</f>
        <v>37.461085714285716</v>
      </c>
      <c r="AK20" s="14">
        <f t="shared" si="35"/>
        <v>11.323160704188275</v>
      </c>
      <c r="AL20" s="22">
        <f t="shared" si="4"/>
        <v>84.965895845508868</v>
      </c>
      <c r="AM20" s="60">
        <f t="shared" si="5"/>
        <v>362.4103402899533</v>
      </c>
      <c r="AN20" s="60">
        <f ca="1">AVERAGE(OFFSET($AM$3,0,0,'Données projet'!$E$10+1,1))-AVERAGE(OFFSET($H$3,0,0,'Données projet'!$E$10+1,1))</f>
        <v>289.24721145176682</v>
      </c>
      <c r="AO20" s="60">
        <f t="shared" si="36"/>
        <v>229.06617320689003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6.2569230769230755</v>
      </c>
      <c r="BD20" s="13">
        <f>IF('Données projet'!$A$88&gt;35,BD19+BC20-BL19,IF(A20&lt;'Données projet'!$A$88,$BA$205^A20,IF(A20='Données projet'!$A$88,'Données projet'!$B$88,BD19+BC20-BL19)))</f>
        <v>29.86</v>
      </c>
      <c r="BE20" s="14">
        <f>BD20*VLOOKUP('Données projet'!$B$11,Paramètres!$A$1:$I$89,3,0)*VLOOKUP('Données projet'!$B$11,Paramètres!$A$1:$I$89,5,0)</f>
        <v>17.856280000000002</v>
      </c>
      <c r="BF20" s="14">
        <f t="shared" si="37"/>
        <v>5.8834840620297797</v>
      </c>
      <c r="BG20" s="22">
        <f t="shared" si="7"/>
        <v>41.346755741368533</v>
      </c>
      <c r="BH20" s="60">
        <f t="shared" si="8"/>
        <v>318.79120018581301</v>
      </c>
      <c r="BI20" s="60">
        <f ca="1">AVERAGE(OFFSET($BH$3,0,0,'Données projet'!$E$11+1,1))-AVERAGE(OFFSET($H$3,0,0,'Données projet'!$E$11+1,1))</f>
        <v>287.91374663515506</v>
      </c>
      <c r="BJ20" s="60">
        <f t="shared" si="38"/>
        <v>217.76240797006147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2.1</v>
      </c>
      <c r="BY20" s="13">
        <f>IF('Données projet'!$A$114&gt;35,BY19+BX20-CG19,IF(A20&lt;'Données projet'!$A$114,$BV$205^A20,IF(A20='Données projet'!$A$114,'Données projet'!$B$114,BY19+BX20-CG19)))</f>
        <v>23.975181126327602</v>
      </c>
      <c r="BZ20" s="14">
        <f>BY20*VLOOKUP('Données projet'!$B$12,Paramètres!$A$1:$I$89,3,0)*VLOOKUP('Données projet'!$B$12,Paramètres!$A$1:$I$89,5,0)</f>
        <v>21.692743883101215</v>
      </c>
      <c r="CA20" s="14">
        <f t="shared" si="39"/>
        <v>6.98746341685115</v>
      </c>
      <c r="CB20" s="22">
        <f t="shared" si="10"/>
        <v>49.951361047417038</v>
      </c>
      <c r="CC20" s="60">
        <f t="shared" si="11"/>
        <v>327.39580549186149</v>
      </c>
      <c r="CD20" s="60">
        <f ca="1">AVERAGE(OFFSET($CC$3,0,0,'Données projet'!$E$12+1,1))-AVERAGE(OFFSET($H$3,0,0,'Données projet'!$E$12+1,1))</f>
        <v>428.8489304403459</v>
      </c>
      <c r="CE20" s="60">
        <f t="shared" si="40"/>
        <v>247.01165577562966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4.9084615384615384</v>
      </c>
      <c r="CT20" s="13">
        <f>IF('Données projet'!$A$140&gt;35,CT19+CS20-DB19,IF(A20&lt;'Données projet'!$A$140,$CQ$205^A20,IF(A20='Données projet'!$A$140,'Données projet'!$B$140,CT19+CS20-DB19)))</f>
        <v>16.926653343761537</v>
      </c>
      <c r="CU20" s="18">
        <f>CT20*VLOOKUP('Données projet'!$B$13,Paramètres!$A$1:$I$89,3,0)*VLOOKUP('Données projet'!$B$13,Paramètres!$A$1:$I$89,5,0)</f>
        <v>7.9216737648803992</v>
      </c>
      <c r="CV20" s="14">
        <f t="shared" si="41"/>
        <v>2.8691068648319642</v>
      </c>
      <c r="CW20" s="22">
        <f t="shared" si="13"/>
        <v>18.793942930082366</v>
      </c>
      <c r="CX20" s="60">
        <f t="shared" si="14"/>
        <v>296.23838737452684</v>
      </c>
      <c r="CY20" s="60">
        <f ca="1">AVERAGE(OFFSET($CX$3,0,0,'Données projet'!$E$13+1,1))-AVERAGE(OFFSET($H$3,0,0,'Données projet'!$E$13+1,1))</f>
        <v>284.88646502866419</v>
      </c>
      <c r="CZ20" s="60">
        <f t="shared" si="42"/>
        <v>190.4880882944471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2.1</v>
      </c>
      <c r="DO20" s="13">
        <f>IF('Données projet'!$A$166&gt;35,DO19+DN20-DW19,IF(A20&lt;'Données projet'!$A$166,$DL$205^A20,IF(A20='Données projet'!$A$166,'Données projet'!$B$166,DO19+DN20-DW19)))</f>
        <v>23.975181126327602</v>
      </c>
      <c r="DP20" s="18">
        <f>DO20*VLOOKUP('Données projet'!$B$14,Paramètres!$A$1:$I$89,3,0)*VLOOKUP('Données projet'!$B$14,Paramètres!$A$1:$I$89,5,0)</f>
        <v>25.80688496437903</v>
      </c>
      <c r="DQ20" s="14">
        <f t="shared" si="43"/>
        <v>8.146323052908933</v>
      </c>
      <c r="DR20" s="22">
        <f t="shared" si="16"/>
        <v>59.135170630109862</v>
      </c>
      <c r="DS20" s="60">
        <f t="shared" si="17"/>
        <v>336.57961507455434</v>
      </c>
      <c r="DT20" s="60">
        <f ca="1">AVERAGE(OFFSET($DS$3,0,0,'Données projet'!$E$14+1,1))-AVERAGE(OFFSET($H$3,0,0,'Données projet'!$E$14+1,1))</f>
        <v>502.07782026233912</v>
      </c>
      <c r="DU20" s="60">
        <f t="shared" si="44"/>
        <v>285.83623046025156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11.6</v>
      </c>
      <c r="EJ20" s="13">
        <f>IF('Données projet'!$A$192&gt;35,EJ19+EI20-ER19,IF(A20&lt;'Données projet'!$A$192,$EG$205^A20,IF(A20='Données projet'!$A$192,'Données projet'!$B$192,EJ19+EI20-ER19)))</f>
        <v>60.2</v>
      </c>
      <c r="EK20" s="18">
        <f>EJ20*VLOOKUP('Données projet'!$B$15,Paramètres!$A$1:$I$89,3,0)*VLOOKUP('Données projet'!$B$15,Paramètres!$A$1:$I$89,5,0)</f>
        <v>52.590720000000005</v>
      </c>
      <c r="EL20" s="14">
        <f t="shared" si="45"/>
        <v>15.280844641052973</v>
      </c>
      <c r="EM20" s="22">
        <f t="shared" si="19"/>
        <v>118.20964174983392</v>
      </c>
      <c r="EN20" s="60">
        <f t="shared" si="20"/>
        <v>395.65408619427836</v>
      </c>
      <c r="EO20" s="60">
        <f ca="1">AVERAGE(OFFSET($EN$3,0,0,'Données projet'!$E$15+1,1))-AVERAGE(OFFSET($H$3,0,0,'Données projet'!$E$15+1,1))</f>
        <v>339.58437495284466</v>
      </c>
      <c r="EP20" s="60">
        <f t="shared" si="46"/>
        <v>371.26234252426531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2.1</v>
      </c>
      <c r="FE20" s="13">
        <f>IF('Données projet'!$A$218&gt;35,FE19+FD20-FM19,IF(A20&lt;'Données projet'!$A$218,$FB$205^A20,IF(A20='Données projet'!$A$218,'Données projet'!$B$218,FE19+FD20-FM19)))</f>
        <v>23.975181126327602</v>
      </c>
      <c r="FF20" s="18">
        <f>FE20*VLOOKUP('Données projet'!$B$16,Paramètres!$A$1:$I$89,3,0)*VLOOKUP('Données projet'!$B$16,Paramètres!$A$1:$I$89,5,0)</f>
        <v>23.188795185384055</v>
      </c>
      <c r="FG20" s="14">
        <f t="shared" si="47"/>
        <v>7.4115982288884323</v>
      </c>
      <c r="FH20" s="22">
        <f t="shared" si="22"/>
        <v>53.29568519652458</v>
      </c>
      <c r="FI20" s="60">
        <f t="shared" si="23"/>
        <v>330.74012964096903</v>
      </c>
      <c r="FJ20" s="60">
        <f ca="1">AVERAGE(OFFSET($FI$3,0,0,'Données projet'!$E$16+1,1))-AVERAGE(OFFSET($H$3,0,0,'Données projet'!$E$16+1,1))</f>
        <v>455.50822833641354</v>
      </c>
      <c r="FK20" s="60">
        <f t="shared" si="48"/>
        <v>261.14722581688039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0">
        <f t="shared" si="0"/>
        <v>345.58404036091088</v>
      </c>
      <c r="S21" s="60">
        <f ca="1">AVERAGE(OFFSET($R$3,0,0,'Données projet'!$E$9+1,1))-AVERAGE(OFFSET($H$3,0,0,'Données projet'!$E$9+1,1))</f>
        <v>475.47920969424894</v>
      </c>
      <c r="T21" s="60">
        <f t="shared" si="34"/>
        <v>271.73544012419364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13.468131868131868</v>
      </c>
      <c r="AI21" s="14">
        <f>IF('Données projet'!$A$62&gt;35,AI20+AH21-AQ20,IF(A21&lt;'Données projet'!$A$62,$AF$205^A21,IF(A21='Données projet'!$A$62,'Données projet'!$B$62,AI20+AH21-AQ20)))</f>
        <v>76.112087912087915</v>
      </c>
      <c r="AJ21" s="14">
        <f>AI21*VLOOKUP('Données projet'!$B$10,Paramètres!$A$1:$I$89,3,0)*VLOOKUP('Données projet'!$B$10,Paramètres!$A$1:$I$89,5,0)</f>
        <v>45.515028571428573</v>
      </c>
      <c r="AK21" s="14">
        <f t="shared" si="35"/>
        <v>13.449237521387609</v>
      </c>
      <c r="AL21" s="22">
        <f t="shared" si="4"/>
        <v>102.69609677832152</v>
      </c>
      <c r="AM21" s="60">
        <f t="shared" si="5"/>
        <v>381.36276344498822</v>
      </c>
      <c r="AN21" s="60">
        <f ca="1">AVERAGE(OFFSET($AM$3,0,0,'Données projet'!$E$10+1,1))-AVERAGE(OFFSET($H$3,0,0,'Données projet'!$E$10+1,1))</f>
        <v>289.24721145176682</v>
      </c>
      <c r="AO21" s="60">
        <f t="shared" si="36"/>
        <v>229.06617320689003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6.2569230769230755</v>
      </c>
      <c r="BD21" s="13">
        <f>IF('Données projet'!$A$88&gt;35,BD20+BC21-BL20,IF(A21&lt;'Données projet'!$A$88,$BA$205^A21,IF(A21='Données projet'!$A$88,'Données projet'!$B$88,BD20+BC21-BL20)))</f>
        <v>36.116923076923072</v>
      </c>
      <c r="BE21" s="14">
        <f>BD21*VLOOKUP('Données projet'!$B$11,Paramètres!$A$1:$I$89,3,0)*VLOOKUP('Données projet'!$B$11,Paramètres!$A$1:$I$89,5,0)</f>
        <v>21.597919999999998</v>
      </c>
      <c r="BF21" s="14">
        <f t="shared" si="37"/>
        <v>6.9604680549228242</v>
      </c>
      <c r="BG21" s="22">
        <f t="shared" si="7"/>
        <v>49.739192528990579</v>
      </c>
      <c r="BH21" s="60">
        <f t="shared" si="8"/>
        <v>328.40585919565729</v>
      </c>
      <c r="BI21" s="60">
        <f ca="1">AVERAGE(OFFSET($BH$3,0,0,'Données projet'!$E$11+1,1))-AVERAGE(OFFSET($H$3,0,0,'Données projet'!$E$11+1,1))</f>
        <v>287.91374663515506</v>
      </c>
      <c r="BJ21" s="60">
        <f t="shared" si="38"/>
        <v>217.76240797006147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2.1</v>
      </c>
      <c r="BY21" s="13">
        <f>IF('Données projet'!$A$114&gt;35,BY20+BX21-CG20,IF(A21&lt;'Données projet'!$A$114,$BV$205^A21,IF(A21='Données projet'!$A$114,'Données projet'!$B$114,BY20+BX21-CG20)))</f>
        <v>28.901764726506816</v>
      </c>
      <c r="BZ21" s="14">
        <f>BY21*VLOOKUP('Données projet'!$B$12,Paramètres!$A$1:$I$89,3,0)*VLOOKUP('Données projet'!$B$12,Paramètres!$A$1:$I$89,5,0)</f>
        <v>26.150316724543362</v>
      </c>
      <c r="CA21" s="14">
        <f t="shared" si="39"/>
        <v>8.2420396752158016</v>
      </c>
      <c r="CB21" s="22">
        <f t="shared" si="10"/>
        <v>59.900020729580547</v>
      </c>
      <c r="CC21" s="60">
        <f t="shared" si="11"/>
        <v>338.56668739624723</v>
      </c>
      <c r="CD21" s="60">
        <f ca="1">AVERAGE(OFFSET($CC$3,0,0,'Données projet'!$E$12+1,1))-AVERAGE(OFFSET($H$3,0,0,'Données projet'!$E$12+1,1))</f>
        <v>428.8489304403459</v>
      </c>
      <c r="CE21" s="60">
        <f t="shared" si="40"/>
        <v>247.01165577562966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4.9084615384615384</v>
      </c>
      <c r="CT21" s="13">
        <f>IF('Données projet'!$A$140&gt;35,CT20+CS21-DB20,IF(A21&lt;'Données projet'!$A$140,$CQ$205^A21,IF(A21='Données projet'!$A$140,'Données projet'!$B$140,CT20+CS21-DB20)))</f>
        <v>19.991251747746755</v>
      </c>
      <c r="CU21" s="18">
        <f>CT21*VLOOKUP('Données projet'!$B$13,Paramètres!$A$1:$I$89,3,0)*VLOOKUP('Données projet'!$B$13,Paramètres!$A$1:$I$89,5,0)</f>
        <v>9.3559058179454802</v>
      </c>
      <c r="CV21" s="14">
        <f t="shared" si="41"/>
        <v>3.3235599293549551</v>
      </c>
      <c r="CW21" s="22">
        <f t="shared" si="13"/>
        <v>22.083402843214927</v>
      </c>
      <c r="CX21" s="60">
        <f t="shared" si="14"/>
        <v>300.7500695098816</v>
      </c>
      <c r="CY21" s="60">
        <f ca="1">AVERAGE(OFFSET($CX$3,0,0,'Données projet'!$E$13+1,1))-AVERAGE(OFFSET($H$3,0,0,'Données projet'!$E$13+1,1))</f>
        <v>284.88646502866419</v>
      </c>
      <c r="CZ21" s="60">
        <f t="shared" si="42"/>
        <v>190.4880882944471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2.1</v>
      </c>
      <c r="DO21" s="13">
        <f>IF('Données projet'!$A$166&gt;35,DO20+DN21-DW20,IF(A21&lt;'Données projet'!$A$166,$DL$205^A21,IF(A21='Données projet'!$A$166,'Données projet'!$B$166,DO20+DN21-DW20)))</f>
        <v>28.901764726506816</v>
      </c>
      <c r="DP21" s="18">
        <f>DO21*VLOOKUP('Données projet'!$B$14,Paramètres!$A$1:$I$89,3,0)*VLOOKUP('Données projet'!$B$14,Paramètres!$A$1:$I$89,5,0)</f>
        <v>31.109859551611933</v>
      </c>
      <c r="DQ21" s="14">
        <f t="shared" si="43"/>
        <v>9.6089687778941872</v>
      </c>
      <c r="DR21" s="22">
        <f t="shared" si="16"/>
        <v>70.918626007223153</v>
      </c>
      <c r="DS21" s="60">
        <f t="shared" si="17"/>
        <v>349.58529267388985</v>
      </c>
      <c r="DT21" s="60">
        <f ca="1">AVERAGE(OFFSET($DS$3,0,0,'Données projet'!$E$14+1,1))-AVERAGE(OFFSET($H$3,0,0,'Données projet'!$E$14+1,1))</f>
        <v>502.07782026233912</v>
      </c>
      <c r="DU21" s="60">
        <f t="shared" si="44"/>
        <v>285.83623046025156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11.6</v>
      </c>
      <c r="EJ21" s="13">
        <f>IF('Données projet'!$A$192&gt;35,EJ20+EI21-ER20,IF(A21&lt;'Données projet'!$A$192,$EG$205^A21,IF(A21='Données projet'!$A$192,'Données projet'!$B$192,EJ20+EI21-ER20)))</f>
        <v>71.8</v>
      </c>
      <c r="EK21" s="18">
        <f>EJ21*VLOOKUP('Données projet'!$B$15,Paramètres!$A$1:$I$89,3,0)*VLOOKUP('Données projet'!$B$15,Paramètres!$A$1:$I$89,5,0)</f>
        <v>62.724480000000014</v>
      </c>
      <c r="EL21" s="14">
        <f t="shared" si="45"/>
        <v>17.855312666216573</v>
      </c>
      <c r="EM21" s="22">
        <f t="shared" si="19"/>
        <v>140.34313889366055</v>
      </c>
      <c r="EN21" s="60">
        <f t="shared" si="20"/>
        <v>419.00980556032721</v>
      </c>
      <c r="EO21" s="60">
        <f ca="1">AVERAGE(OFFSET($EN$3,0,0,'Données projet'!$E$15+1,1))-AVERAGE(OFFSET($H$3,0,0,'Données projet'!$E$15+1,1))</f>
        <v>339.58437495284466</v>
      </c>
      <c r="EP21" s="60">
        <f t="shared" si="46"/>
        <v>371.26234252426531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2.1</v>
      </c>
      <c r="FE21" s="13">
        <f>IF('Données projet'!$A$218&gt;35,FE20+FD21-FM20,IF(A21&lt;'Données projet'!$A$218,$FB$205^A21,IF(A21='Données projet'!$A$218,'Données projet'!$B$218,FE20+FD21-FM20)))</f>
        <v>28.901764726506816</v>
      </c>
      <c r="FF21" s="18">
        <f>FE21*VLOOKUP('Données projet'!$B$16,Paramètres!$A$1:$I$89,3,0)*VLOOKUP('Données projet'!$B$16,Paramètres!$A$1:$I$89,5,0)</f>
        <v>27.953786843477392</v>
      </c>
      <c r="FG21" s="14">
        <f t="shared" si="47"/>
        <v>8.7423265089215931</v>
      </c>
      <c r="FH21" s="22">
        <f t="shared" si="22"/>
        <v>63.912397422094891</v>
      </c>
      <c r="FI21" s="60">
        <f t="shared" si="23"/>
        <v>342.57906408876158</v>
      </c>
      <c r="FJ21" s="60">
        <f ca="1">AVERAGE(OFFSET($FI$3,0,0,'Données projet'!$E$16+1,1))-AVERAGE(OFFSET($H$3,0,0,'Données projet'!$E$16+1,1))</f>
        <v>455.50822833641354</v>
      </c>
      <c r="FK21" s="60">
        <f t="shared" si="48"/>
        <v>261.14722581688039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0">
        <f t="shared" si="0"/>
        <v>360.14509112992164</v>
      </c>
      <c r="S22" s="60">
        <f ca="1">AVERAGE(OFFSET($R$3,0,0,'Données projet'!$E$9+1,1))-AVERAGE(OFFSET($H$3,0,0,'Données projet'!$E$9+1,1))</f>
        <v>475.47920969424894</v>
      </c>
      <c r="T22" s="60">
        <f t="shared" si="34"/>
        <v>271.73544012419364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13.468131868131868</v>
      </c>
      <c r="AI22" s="14">
        <f>IF('Données projet'!$A$62&gt;35,AI21+AH22-AQ21,IF(A22&lt;'Données projet'!$A$62,$AF$205^A22,IF(A22='Données projet'!$A$62,'Données projet'!$B$62,AI21+AH22-AQ21)))</f>
        <v>89.580219780219778</v>
      </c>
      <c r="AJ22" s="14">
        <f>AI22*VLOOKUP('Données projet'!$B$10,Paramètres!$A$1:$I$89,3,0)*VLOOKUP('Données projet'!$B$10,Paramètres!$A$1:$I$89,5,0)</f>
        <v>53.56897142857143</v>
      </c>
      <c r="AK22" s="14">
        <f t="shared" si="35"/>
        <v>15.531731116329365</v>
      </c>
      <c r="AL22" s="22">
        <f t="shared" si="4"/>
        <v>120.35039026570223</v>
      </c>
      <c r="AM22" s="60">
        <f t="shared" si="5"/>
        <v>400.23927915459109</v>
      </c>
      <c r="AN22" s="60">
        <f ca="1">AVERAGE(OFFSET($AM$3,0,0,'Données projet'!$E$10+1,1))-AVERAGE(OFFSET($H$3,0,0,'Données projet'!$E$10+1,1))</f>
        <v>289.24721145176682</v>
      </c>
      <c r="AO22" s="60">
        <f t="shared" si="36"/>
        <v>229.06617320689003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6.2569230769230755</v>
      </c>
      <c r="BD22" s="13">
        <f>IF('Données projet'!$A$88&gt;35,BD21+BC22-BL21,IF(A22&lt;'Données projet'!$A$88,$BA$205^A22,IF(A22='Données projet'!$A$88,'Données projet'!$B$88,BD21+BC22-BL21)))</f>
        <v>42.373846153846145</v>
      </c>
      <c r="BE22" s="14">
        <f>BD22*VLOOKUP('Données projet'!$B$11,Paramètres!$A$1:$I$89,3,0)*VLOOKUP('Données projet'!$B$11,Paramètres!$A$1:$I$89,5,0)</f>
        <v>25.339559999999999</v>
      </c>
      <c r="BF22" s="14">
        <f t="shared" si="37"/>
        <v>8.0158378360400349</v>
      </c>
      <c r="BG22" s="22">
        <f t="shared" si="7"/>
        <v>58.09398456443639</v>
      </c>
      <c r="BH22" s="60">
        <f t="shared" si="8"/>
        <v>337.98287345332523</v>
      </c>
      <c r="BI22" s="60">
        <f ca="1">AVERAGE(OFFSET($BH$3,0,0,'Données projet'!$E$11+1,1))-AVERAGE(OFFSET($H$3,0,0,'Données projet'!$E$11+1,1))</f>
        <v>287.91374663515506</v>
      </c>
      <c r="BJ22" s="60">
        <f t="shared" si="38"/>
        <v>217.76240797006147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2.1</v>
      </c>
      <c r="BY22" s="13">
        <f>IF('Données projet'!$A$114&gt;35,BY21+BX22-CG21,IF(A22&lt;'Données projet'!$A$114,$BV$205^A22,IF(A22='Données projet'!$A$114,'Données projet'!$B$114,BY21+BX22-CG21)))</f>
        <v>34.840696297767764</v>
      </c>
      <c r="BZ22" s="14">
        <f>BY22*VLOOKUP('Données projet'!$B$12,Paramètres!$A$1:$I$89,3,0)*VLOOKUP('Données projet'!$B$12,Paramètres!$A$1:$I$89,5,0)</f>
        <v>31.52386201022027</v>
      </c>
      <c r="CA22" s="14">
        <f t="shared" si="39"/>
        <v>9.7218710074397983</v>
      </c>
      <c r="CB22" s="22">
        <f t="shared" si="10"/>
        <v>71.836318339091292</v>
      </c>
      <c r="CC22" s="60">
        <f t="shared" si="11"/>
        <v>351.72520722798015</v>
      </c>
      <c r="CD22" s="60">
        <f ca="1">AVERAGE(OFFSET($CC$3,0,0,'Données projet'!$E$12+1,1))-AVERAGE(OFFSET($H$3,0,0,'Données projet'!$E$12+1,1))</f>
        <v>428.8489304403459</v>
      </c>
      <c r="CE22" s="60">
        <f t="shared" si="40"/>
        <v>247.01165577562966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4.9084615384615384</v>
      </c>
      <c r="CT22" s="13">
        <f>IF('Données projet'!$A$140&gt;35,CT21+CS22-DB21,IF(A22&lt;'Données projet'!$A$140,$CQ$205^A22,IF(A22='Données projet'!$A$140,'Données projet'!$B$140,CT21+CS22-DB21)))</f>
        <v>23.610700728923604</v>
      </c>
      <c r="CU22" s="18">
        <f>CT22*VLOOKUP('Données projet'!$B$13,Paramètres!$A$1:$I$89,3,0)*VLOOKUP('Données projet'!$B$13,Paramètres!$A$1:$I$89,5,0)</f>
        <v>11.049807941136248</v>
      </c>
      <c r="CV22" s="14">
        <f t="shared" si="41"/>
        <v>3.8499962268435248</v>
      </c>
      <c r="CW22" s="22">
        <f t="shared" si="13"/>
        <v>25.950492259231435</v>
      </c>
      <c r="CX22" s="60">
        <f t="shared" si="14"/>
        <v>305.83938114812031</v>
      </c>
      <c r="CY22" s="60">
        <f ca="1">AVERAGE(OFFSET($CX$3,0,0,'Données projet'!$E$13+1,1))-AVERAGE(OFFSET($H$3,0,0,'Données projet'!$E$13+1,1))</f>
        <v>284.88646502866419</v>
      </c>
      <c r="CZ22" s="60">
        <f t="shared" si="42"/>
        <v>190.4880882944471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2.1</v>
      </c>
      <c r="DO22" s="13">
        <f>IF('Données projet'!$A$166&gt;35,DO21+DN22-DW21,IF(A22&lt;'Données projet'!$A$166,$DL$205^A22,IF(A22='Données projet'!$A$166,'Données projet'!$B$166,DO21+DN22-DW21)))</f>
        <v>34.840696297767764</v>
      </c>
      <c r="DP22" s="18">
        <f>DO22*VLOOKUP('Données projet'!$B$14,Paramètres!$A$1:$I$89,3,0)*VLOOKUP('Données projet'!$B$14,Paramètres!$A$1:$I$89,5,0)</f>
        <v>37.502525494917215</v>
      </c>
      <c r="DQ22" s="14">
        <f t="shared" si="43"/>
        <v>11.334227770598273</v>
      </c>
      <c r="DR22" s="22">
        <f t="shared" si="16"/>
        <v>85.057345270772814</v>
      </c>
      <c r="DS22" s="60">
        <f t="shared" si="17"/>
        <v>364.94623415966169</v>
      </c>
      <c r="DT22" s="60">
        <f ca="1">AVERAGE(OFFSET($DS$3,0,0,'Données projet'!$E$14+1,1))-AVERAGE(OFFSET($H$3,0,0,'Données projet'!$E$14+1,1))</f>
        <v>502.07782026233912</v>
      </c>
      <c r="DU22" s="60">
        <f t="shared" si="44"/>
        <v>285.83623046025156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11.6</v>
      </c>
      <c r="EJ22" s="13">
        <f>IF('Données projet'!$A$192&gt;35,EJ21+EI22-ER21,IF(A22&lt;'Données projet'!$A$192,$EG$205^A22,IF(A22='Données projet'!$A$192,'Données projet'!$B$192,EJ21+EI22-ER21)))</f>
        <v>83.399999999999991</v>
      </c>
      <c r="EK22" s="18">
        <f>EJ22*VLOOKUP('Données projet'!$B$15,Paramètres!$A$1:$I$89,3,0)*VLOOKUP('Données projet'!$B$15,Paramètres!$A$1:$I$89,5,0)</f>
        <v>72.858240000000009</v>
      </c>
      <c r="EL22" s="14">
        <f t="shared" si="45"/>
        <v>20.381597602335066</v>
      </c>
      <c r="EM22" s="22">
        <f t="shared" si="19"/>
        <v>162.39271715740026</v>
      </c>
      <c r="EN22" s="60">
        <f t="shared" si="20"/>
        <v>442.28160604628908</v>
      </c>
      <c r="EO22" s="60">
        <f ca="1">AVERAGE(OFFSET($EN$3,0,0,'Données projet'!$E$15+1,1))-AVERAGE(OFFSET($H$3,0,0,'Données projet'!$E$15+1,1))</f>
        <v>339.58437495284466</v>
      </c>
      <c r="EP22" s="60">
        <f t="shared" si="46"/>
        <v>371.26234252426531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2.1</v>
      </c>
      <c r="FE22" s="13">
        <f>IF('Données projet'!$A$218&gt;35,FE21+FD22-FM21,IF(A22&lt;'Données projet'!$A$218,$FB$205^A22,IF(A22='Données projet'!$A$218,'Données projet'!$B$218,FE21+FD22-FM21)))</f>
        <v>34.840696297767764</v>
      </c>
      <c r="FF22" s="18">
        <f>FE22*VLOOKUP('Données projet'!$B$16,Paramètres!$A$1:$I$89,3,0)*VLOOKUP('Données projet'!$B$16,Paramètres!$A$1:$I$89,5,0)</f>
        <v>33.697921459200977</v>
      </c>
      <c r="FG22" s="14">
        <f t="shared" si="47"/>
        <v>10.31198270984201</v>
      </c>
      <c r="FH22" s="22">
        <f t="shared" si="22"/>
        <v>76.650583094416518</v>
      </c>
      <c r="FI22" s="60">
        <f t="shared" si="23"/>
        <v>356.53947198330536</v>
      </c>
      <c r="FJ22" s="60">
        <f ca="1">AVERAGE(OFFSET($FI$3,0,0,'Données projet'!$E$16+1,1))-AVERAGE(OFFSET($H$3,0,0,'Données projet'!$E$16+1,1))</f>
        <v>455.50822833641354</v>
      </c>
      <c r="FK22" s="60">
        <f t="shared" si="48"/>
        <v>261.14722581688039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0">
        <f t="shared" si="0"/>
        <v>377.37315625071483</v>
      </c>
      <c r="S23" s="60">
        <f ca="1">AVERAGE(OFFSET($R$3,0,0,'Données projet'!$E$9+1,1))-AVERAGE(OFFSET($H$3,0,0,'Données projet'!$E$9+1,1))</f>
        <v>475.47920969424894</v>
      </c>
      <c r="T23" s="60">
        <f t="shared" si="34"/>
        <v>271.73544012419364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13.468131868131868</v>
      </c>
      <c r="AI23" s="14">
        <f>IF('Données projet'!$A$62&gt;35,AI22+AH23-AQ22,IF(A23&lt;'Données projet'!$A$62,$AF$205^A23,IF(A23='Données projet'!$A$62,'Données projet'!$B$62,AI22+AH23-AQ22)))</f>
        <v>103.04835164835164</v>
      </c>
      <c r="AJ23" s="14">
        <f>AI23*VLOOKUP('Données projet'!$B$10,Paramètres!$A$1:$I$89,3,0)*VLOOKUP('Données projet'!$B$10,Paramètres!$A$1:$I$89,5,0)</f>
        <v>61.622914285714288</v>
      </c>
      <c r="AK23" s="14">
        <f t="shared" si="35"/>
        <v>17.577953130673084</v>
      </c>
      <c r="AL23" s="22">
        <f t="shared" si="4"/>
        <v>137.94151075020798</v>
      </c>
      <c r="AM23" s="60">
        <f t="shared" si="5"/>
        <v>419.05262186131915</v>
      </c>
      <c r="AN23" s="60">
        <f ca="1">AVERAGE(OFFSET($AM$3,0,0,'Données projet'!$E$10+1,1))-AVERAGE(OFFSET($H$3,0,0,'Données projet'!$E$10+1,1))</f>
        <v>289.24721145176682</v>
      </c>
      <c r="AO23" s="60">
        <f t="shared" si="36"/>
        <v>229.06617320689003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48.630769230769225</v>
      </c>
      <c r="BB23" s="13">
        <f>VLOOKUP(A23,'Données projet'!$A$87:$I$107,9,0)</f>
        <v>6.2569230769230755</v>
      </c>
      <c r="BC23" s="13">
        <f t="array" ref="BC23">INDEX(BB:BB,MIN(IF(ISNUMBER(BB23:BB219),ROW(BB23:BB219),"")))</f>
        <v>6.2569230769230755</v>
      </c>
      <c r="BD23" s="13">
        <f>IF('Données projet'!$A$88&gt;35,BD22+BC23-BL22,IF(A23&lt;'Données projet'!$A$88,$BA$205^A23,IF(A23='Données projet'!$A$88,'Données projet'!$B$88,BD22+BC23-BL22)))</f>
        <v>48.630769230769218</v>
      </c>
      <c r="BE23" s="14">
        <f>BD23*VLOOKUP('Données projet'!$B$11,Paramètres!$A$1:$I$89,3,0)*VLOOKUP('Données projet'!$B$11,Paramètres!$A$1:$I$89,5,0)</f>
        <v>29.081199999999992</v>
      </c>
      <c r="BF23" s="14">
        <f t="shared" si="37"/>
        <v>9.0531541161689493</v>
      </c>
      <c r="BG23" s="22">
        <f t="shared" si="7"/>
        <v>66.417333418994247</v>
      </c>
      <c r="BH23" s="60">
        <f t="shared" si="8"/>
        <v>347.52844453010539</v>
      </c>
      <c r="BI23" s="60">
        <f ca="1">AVERAGE(OFFSET($BH$3,0,0,'Données projet'!$E$11+1,1))-AVERAGE(OFFSET($H$3,0,0,'Données projet'!$E$11+1,1))</f>
        <v>287.91374663515506</v>
      </c>
      <c r="BJ23" s="60">
        <f t="shared" si="38"/>
        <v>217.76240797006147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42</v>
      </c>
      <c r="BW23" s="13">
        <f>VLOOKUP(A23,'Données projet'!$A$113:$I$133,9,0)</f>
        <v>2.1</v>
      </c>
      <c r="BX23" s="13">
        <f t="array" ref="BX23">INDEX(BW:BW,MIN(IF(ISNUMBER(BW23:BW219),ROW(BW23:BW219),"")))</f>
        <v>2.1</v>
      </c>
      <c r="BY23" s="13">
        <f>IF('Données projet'!$A$114&gt;35,BY22+BX23-CG22,IF(A23&lt;'Données projet'!$A$114,$BV$205^A23,IF(A23='Données projet'!$A$114,'Données projet'!$B$114,BY22+BX23-CG22)))</f>
        <v>42</v>
      </c>
      <c r="BZ23" s="14">
        <f>BY23*VLOOKUP('Données projet'!$B$12,Paramètres!$A$1:$I$89,3,0)*VLOOKUP('Données projet'!$B$12,Paramètres!$A$1:$I$89,5,0)</f>
        <v>38.001600000000003</v>
      </c>
      <c r="CA23" s="14">
        <f t="shared" si="39"/>
        <v>11.467401227090512</v>
      </c>
      <c r="CB23" s="22">
        <f t="shared" si="10"/>
        <v>86.158510470515978</v>
      </c>
      <c r="CC23" s="60">
        <f t="shared" si="11"/>
        <v>367.26962158162712</v>
      </c>
      <c r="CD23" s="60">
        <f ca="1">AVERAGE(OFFSET($CC$3,0,0,'Données projet'!$E$12+1,1))-AVERAGE(OFFSET($H$3,0,0,'Données projet'!$E$12+1,1))</f>
        <v>428.8489304403459</v>
      </c>
      <c r="CE23" s="60">
        <f t="shared" si="40"/>
        <v>247.01165577562966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4.9084615384615384</v>
      </c>
      <c r="CT23" s="13">
        <f>IF('Données projet'!$A$140&gt;35,CT22+CS23-DB22,IF(A23&lt;'Données projet'!$A$140,$CQ$205^A23,IF(A23='Données projet'!$A$140,'Données projet'!$B$140,CT22+CS23-DB22)))</f>
        <v>27.885456896095882</v>
      </c>
      <c r="CU23" s="18">
        <f>CT23*VLOOKUP('Données projet'!$B$13,Paramètres!$A$1:$I$89,3,0)*VLOOKUP('Données projet'!$B$13,Paramètres!$A$1:$I$89,5,0)</f>
        <v>13.050393827372874</v>
      </c>
      <c r="CV23" s="14">
        <f t="shared" si="41"/>
        <v>4.459817563628576</v>
      </c>
      <c r="CW23" s="22">
        <f t="shared" si="13"/>
        <v>30.49695150599419</v>
      </c>
      <c r="CX23" s="60">
        <f t="shared" si="14"/>
        <v>311.60806261710536</v>
      </c>
      <c r="CY23" s="60">
        <f ca="1">AVERAGE(OFFSET($CX$3,0,0,'Données projet'!$E$13+1,1))-AVERAGE(OFFSET($H$3,0,0,'Données projet'!$E$13+1,1))</f>
        <v>284.88646502866419</v>
      </c>
      <c r="CZ23" s="60">
        <f t="shared" si="42"/>
        <v>190.4880882944471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42</v>
      </c>
      <c r="DM23" s="13">
        <f>VLOOKUP(A23,'Données projet'!$A$165:$I$185,9,0)</f>
        <v>2.1</v>
      </c>
      <c r="DN23" s="13">
        <f t="array" ref="DN23">INDEX(DM:DM,MIN(IF(ISNUMBER(DM23:DM219),ROW(DM23:DM219),"")))</f>
        <v>2.1</v>
      </c>
      <c r="DO23" s="13">
        <f>IF('Données projet'!$A$166&gt;35,DO22+DN23-DW22,IF(A23&lt;'Données projet'!$A$166,$DL$205^A23,IF(A23='Données projet'!$A$166,'Données projet'!$B$166,DO22+DN23-DW22)))</f>
        <v>42</v>
      </c>
      <c r="DP23" s="18">
        <f>DO23*VLOOKUP('Données projet'!$B$14,Paramètres!$A$1:$I$89,3,0)*VLOOKUP('Données projet'!$B$14,Paramètres!$A$1:$I$89,5,0)</f>
        <v>45.208799999999997</v>
      </c>
      <c r="DQ23" s="14">
        <f t="shared" si="43"/>
        <v>13.369251386406743</v>
      </c>
      <c r="DR23" s="22">
        <f t="shared" si="16"/>
        <v>102.02343949799173</v>
      </c>
      <c r="DS23" s="60">
        <f t="shared" si="17"/>
        <v>383.13455060910286</v>
      </c>
      <c r="DT23" s="60">
        <f ca="1">AVERAGE(OFFSET($DS$3,0,0,'Données projet'!$E$14+1,1))-AVERAGE(OFFSET($H$3,0,0,'Données projet'!$E$14+1,1))</f>
        <v>502.07782026233912</v>
      </c>
      <c r="DU23" s="60">
        <f t="shared" si="44"/>
        <v>285.83623046025156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95</v>
      </c>
      <c r="EH23" s="13">
        <f>VLOOKUP(A23,'Données projet'!$A$191:$I$211,9,0)</f>
        <v>11.6</v>
      </c>
      <c r="EI23" s="13">
        <f t="array" ref="EI23">INDEX(EH:EH,MIN(IF(ISNUMBER(EH23:EH219),ROW(EH23:EH219),"")))</f>
        <v>11.6</v>
      </c>
      <c r="EJ23" s="13">
        <f>IF('Données projet'!$A$192&gt;35,EJ22+EI23-ER22,IF(A23&lt;'Données projet'!$A$192,$EG$205^A23,IF(A23='Données projet'!$A$192,'Données projet'!$B$192,EJ22+EI23-ER22)))</f>
        <v>94.999999999999986</v>
      </c>
      <c r="EK23" s="18">
        <f>EJ23*VLOOKUP('Données projet'!$B$15,Paramètres!$A$1:$I$89,3,0)*VLOOKUP('Données projet'!$B$15,Paramètres!$A$1:$I$89,5,0)</f>
        <v>82.99199999999999</v>
      </c>
      <c r="EL23" s="14">
        <f t="shared" si="45"/>
        <v>22.867173045817303</v>
      </c>
      <c r="EM23" s="22">
        <f t="shared" si="19"/>
        <v>184.37139305479846</v>
      </c>
      <c r="EN23" s="60">
        <f t="shared" si="20"/>
        <v>465.48250416590963</v>
      </c>
      <c r="EO23" s="60">
        <f ca="1">AVERAGE(OFFSET($EN$3,0,0,'Données projet'!$E$15+1,1))-AVERAGE(OFFSET($H$3,0,0,'Données projet'!$E$15+1,1))</f>
        <v>339.58437495284466</v>
      </c>
      <c r="EP23" s="60">
        <f t="shared" si="46"/>
        <v>371.26234252426531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43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42</v>
      </c>
      <c r="FC23" s="13">
        <f>VLOOKUP(A23,'Données projet'!$A$217:$I$237,9,0)</f>
        <v>2.1</v>
      </c>
      <c r="FD23" s="13">
        <f t="array" ref="FD23">INDEX(FC:FC,MIN(IF(ISNUMBER(FC23:FC219),ROW(FC23:FC219),"")))</f>
        <v>2.1</v>
      </c>
      <c r="FE23" s="13">
        <f>IF('Données projet'!$A$218&gt;35,FE22+FD23-FM22,IF(A23&lt;'Données projet'!$A$218,$FB$205^A23,IF(A23='Données projet'!$A$218,'Données projet'!$B$218,FE22+FD23-FM22)))</f>
        <v>42</v>
      </c>
      <c r="FF23" s="18">
        <f>FE23*VLOOKUP('Données projet'!$B$16,Paramètres!$A$1:$I$89,3,0)*VLOOKUP('Données projet'!$B$16,Paramètres!$A$1:$I$89,5,0)</f>
        <v>40.622399999999999</v>
      </c>
      <c r="FG23" s="14">
        <f t="shared" si="47"/>
        <v>12.163465560290264</v>
      </c>
      <c r="FH23" s="22">
        <f t="shared" si="22"/>
        <v>91.935382517505545</v>
      </c>
      <c r="FI23" s="60">
        <f t="shared" si="23"/>
        <v>373.0464936286167</v>
      </c>
      <c r="FJ23" s="60">
        <f ca="1">AVERAGE(OFFSET($FI$3,0,0,'Données projet'!$E$16+1,1))-AVERAGE(OFFSET($H$3,0,0,'Données projet'!$E$16+1,1))</f>
        <v>455.50822833641354</v>
      </c>
      <c r="FK23" s="60">
        <f t="shared" si="48"/>
        <v>261.14722581688039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0">
        <f t="shared" si="0"/>
        <v>391.06825607785231</v>
      </c>
      <c r="S24" s="60">
        <f ca="1">AVERAGE(OFFSET($R$3,0,0,'Données projet'!$E$9+1,1))-AVERAGE(OFFSET($H$3,0,0,'Données projet'!$E$9+1,1))</f>
        <v>475.47920969424894</v>
      </c>
      <c r="T24" s="60">
        <f t="shared" si="34"/>
        <v>271.73544012419364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13.468131868131868</v>
      </c>
      <c r="AI24" s="14">
        <f>IF('Données projet'!$A$62&gt;35,AI23+AH24-AQ23,IF(A24&lt;'Données projet'!$A$62,$AF$205^A24,IF(A24='Données projet'!$A$62,'Données projet'!$B$62,AI23+AH24-AQ23)))</f>
        <v>116.5164835164835</v>
      </c>
      <c r="AJ24" s="14">
        <f>AI24*VLOOKUP('Données projet'!$B$10,Paramètres!$A$1:$I$89,3,0)*VLOOKUP('Données projet'!$B$10,Paramètres!$A$1:$I$89,5,0)</f>
        <v>69.676857142857145</v>
      </c>
      <c r="AK24" s="14">
        <f t="shared" si="35"/>
        <v>19.593188213653896</v>
      </c>
      <c r="AL24" s="22">
        <f t="shared" si="4"/>
        <v>155.47866232925674</v>
      </c>
      <c r="AM24" s="60">
        <f t="shared" si="5"/>
        <v>437.81199566259005</v>
      </c>
      <c r="AN24" s="60">
        <f ca="1">AVERAGE(OFFSET($AM$3,0,0,'Données projet'!$E$10+1,1))-AVERAGE(OFFSET($H$3,0,0,'Données projet'!$E$10+1,1))</f>
        <v>289.24721145176682</v>
      </c>
      <c r="AO24" s="60">
        <f t="shared" si="36"/>
        <v>229.06617320689003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8.3184615384615412</v>
      </c>
      <c r="BD24" s="13">
        <f>IF('Données projet'!$A$88&gt;35,BD23+BC24-BL23,IF(A24&lt;'Données projet'!$A$88,$BA$205^A24,IF(A24='Données projet'!$A$88,'Données projet'!$B$88,BD23+BC24-BL23)))</f>
        <v>56.949230769230759</v>
      </c>
      <c r="BE24" s="14">
        <f>BD24*VLOOKUP('Données projet'!$B$11,Paramètres!$A$1:$I$89,3,0)*VLOOKUP('Données projet'!$B$11,Paramètres!$A$1:$I$89,5,0)</f>
        <v>34.055639999999997</v>
      </c>
      <c r="BF24" s="14">
        <f t="shared" si="37"/>
        <v>10.408647625530445</v>
      </c>
      <c r="BG24" s="22">
        <f t="shared" si="7"/>
        <v>77.441967614465526</v>
      </c>
      <c r="BH24" s="60">
        <f t="shared" si="8"/>
        <v>359.77530094779883</v>
      </c>
      <c r="BI24" s="60">
        <f ca="1">AVERAGE(OFFSET($BH$3,0,0,'Données projet'!$E$11+1,1))-AVERAGE(OFFSET($H$3,0,0,'Données projet'!$E$11+1,1))</f>
        <v>287.91374663515506</v>
      </c>
      <c r="BJ24" s="60">
        <f t="shared" si="38"/>
        <v>217.76240797006147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5.6</v>
      </c>
      <c r="BY24" s="13">
        <f>IF('Données projet'!$A$114&gt;35,BY23+BX24-CG23,IF(A24&lt;'Données projet'!$A$114,$BV$205^A24,IF(A24='Données projet'!$A$114,'Données projet'!$B$114,BY23+BX24-CG23)))</f>
        <v>47.6</v>
      </c>
      <c r="BZ24" s="14">
        <f>BY24*VLOOKUP('Données projet'!$B$12,Paramètres!$A$1:$I$89,3,0)*VLOOKUP('Données projet'!$B$12,Paramètres!$A$1:$I$89,5,0)</f>
        <v>43.068480000000001</v>
      </c>
      <c r="CA24" s="14">
        <f t="shared" si="39"/>
        <v>12.808416415102187</v>
      </c>
      <c r="CB24" s="22">
        <f t="shared" si="10"/>
        <v>97.318927922969635</v>
      </c>
      <c r="CC24" s="60">
        <f t="shared" si="11"/>
        <v>379.65226125630295</v>
      </c>
      <c r="CD24" s="60">
        <f ca="1">AVERAGE(OFFSET($CC$3,0,0,'Données projet'!$E$12+1,1))-AVERAGE(OFFSET($H$3,0,0,'Données projet'!$E$12+1,1))</f>
        <v>428.8489304403459</v>
      </c>
      <c r="CE24" s="60">
        <f t="shared" si="40"/>
        <v>247.01165577562966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4.9084615384615384</v>
      </c>
      <c r="CT24" s="13">
        <f>IF('Données projet'!$A$140&gt;35,CT23+CS24-DB23,IF(A24&lt;'Données projet'!$A$140,$CQ$205^A24,IF(A24='Données projet'!$A$140,'Données projet'!$B$140,CT23+CS24-DB23)))</f>
        <v>32.934164692174789</v>
      </c>
      <c r="CU24" s="18">
        <f>CT24*VLOOKUP('Données projet'!$B$13,Paramètres!$A$1:$I$89,3,0)*VLOOKUP('Données projet'!$B$13,Paramètres!$A$1:$I$89,5,0)</f>
        <v>15.413189075937803</v>
      </c>
      <c r="CV24" s="14">
        <f t="shared" si="41"/>
        <v>5.166231738662507</v>
      </c>
      <c r="CW24" s="22">
        <f t="shared" si="13"/>
        <v>35.842491252095542</v>
      </c>
      <c r="CX24" s="60">
        <f t="shared" si="14"/>
        <v>318.17582458542887</v>
      </c>
      <c r="CY24" s="60">
        <f ca="1">AVERAGE(OFFSET($CX$3,0,0,'Données projet'!$E$13+1,1))-AVERAGE(OFFSET($H$3,0,0,'Données projet'!$E$13+1,1))</f>
        <v>284.88646502866419</v>
      </c>
      <c r="CZ24" s="60">
        <f t="shared" si="42"/>
        <v>190.4880882944471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5.6</v>
      </c>
      <c r="DO24" s="13">
        <f>IF('Données projet'!$A$166&gt;35,DO23+DN24-DW23,IF(A24&lt;'Données projet'!$A$166,$DL$205^A24,IF(A24='Données projet'!$A$166,'Données projet'!$B$166,DO23+DN24-DW23)))</f>
        <v>47.6</v>
      </c>
      <c r="DP24" s="18">
        <f>DO24*VLOOKUP('Données projet'!$B$14,Paramètres!$A$1:$I$89,3,0)*VLOOKUP('Données projet'!$B$14,Paramètres!$A$1:$I$89,5,0)</f>
        <v>51.236640000000001</v>
      </c>
      <c r="DQ24" s="14">
        <f t="shared" si="43"/>
        <v>14.932671799321549</v>
      </c>
      <c r="DR24" s="22">
        <f t="shared" si="16"/>
        <v>115.24488471715169</v>
      </c>
      <c r="DS24" s="60">
        <f t="shared" si="17"/>
        <v>397.57821805048502</v>
      </c>
      <c r="DT24" s="60">
        <f ca="1">AVERAGE(OFFSET($DS$3,0,0,'Données projet'!$E$14+1,1))-AVERAGE(OFFSET($H$3,0,0,'Données projet'!$E$14+1,1))</f>
        <v>502.07782026233912</v>
      </c>
      <c r="DU24" s="60">
        <f t="shared" si="44"/>
        <v>285.83623046025156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12.6</v>
      </c>
      <c r="EJ24" s="13">
        <f>IF('Données projet'!$A$192&gt;35,EJ23+EI24-ER23,IF(A24&lt;'Données projet'!$A$192,$EG$205^A24,IF(A24='Données projet'!$A$192,'Données projet'!$B$192,EJ23+EI24-ER23)))</f>
        <v>64.59999999999998</v>
      </c>
      <c r="EK24" s="18">
        <f>EJ24*VLOOKUP('Données projet'!$B$15,Paramètres!$A$1:$I$89,3,0)*VLOOKUP('Données projet'!$B$15,Paramètres!$A$1:$I$89,5,0)</f>
        <v>56.434559999999991</v>
      </c>
      <c r="EL24" s="14">
        <f t="shared" si="45"/>
        <v>16.26362505907256</v>
      </c>
      <c r="EM24" s="22">
        <f t="shared" si="19"/>
        <v>126.61600564455136</v>
      </c>
      <c r="EN24" s="60">
        <f t="shared" si="20"/>
        <v>408.94933897788468</v>
      </c>
      <c r="EO24" s="60">
        <f ca="1">AVERAGE(OFFSET($EN$3,0,0,'Données projet'!$E$15+1,1))-AVERAGE(OFFSET($H$3,0,0,'Données projet'!$E$15+1,1))</f>
        <v>339.58437495284466</v>
      </c>
      <c r="EP24" s="60">
        <f t="shared" si="46"/>
        <v>371.26234252426531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5.6</v>
      </c>
      <c r="FE24" s="13">
        <f>IF('Données projet'!$A$218&gt;35,FE23+FD24-FM23,IF(A24&lt;'Données projet'!$A$218,$FB$205^A24,IF(A24='Données projet'!$A$218,'Données projet'!$B$218,FE23+FD24-FM23)))</f>
        <v>47.6</v>
      </c>
      <c r="FF24" s="18">
        <f>FE24*VLOOKUP('Données projet'!$B$16,Paramètres!$A$1:$I$89,3,0)*VLOOKUP('Données projet'!$B$16,Paramètres!$A$1:$I$89,5,0)</f>
        <v>46.038720000000005</v>
      </c>
      <c r="FG24" s="14">
        <f t="shared" si="47"/>
        <v>13.585879560828786</v>
      </c>
      <c r="FH24" s="22">
        <f t="shared" si="22"/>
        <v>103.84617756844348</v>
      </c>
      <c r="FI24" s="60">
        <f t="shared" si="23"/>
        <v>386.17951090177678</v>
      </c>
      <c r="FJ24" s="60">
        <f ca="1">AVERAGE(OFFSET($FI$3,0,0,'Données projet'!$E$16+1,1))-AVERAGE(OFFSET($H$3,0,0,'Données projet'!$E$16+1,1))</f>
        <v>455.50822833641354</v>
      </c>
      <c r="FK24" s="60">
        <f t="shared" si="48"/>
        <v>261.14722581688039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0">
        <f t="shared" si="0"/>
        <v>404.72813945687091</v>
      </c>
      <c r="S25" s="60">
        <f ca="1">AVERAGE(OFFSET($R$3,0,0,'Données projet'!$E$9+1,1))-AVERAGE(OFFSET($H$3,0,0,'Données projet'!$E$9+1,1))</f>
        <v>475.47920969424894</v>
      </c>
      <c r="T25" s="60">
        <f t="shared" si="34"/>
        <v>271.73544012419364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>
        <f>VLOOKUP(A25,'Données projet'!$A$61:$I$81,2,0)</f>
        <v>129.98461538461538</v>
      </c>
      <c r="AG25" s="13">
        <f>VLOOKUP(A25,'Données projet'!$A$61:$I$81,9,0)</f>
        <v>13.468131868131868</v>
      </c>
      <c r="AH25" s="13">
        <f t="array" ref="AH25">INDEX(AG:AG,MIN(IF(ISNUMBER(AG25:AG221),ROW(AG25:AG221),"")))</f>
        <v>13.468131868131868</v>
      </c>
      <c r="AI25" s="14">
        <f>IF('Données projet'!$A$62&gt;35,AI24+AH25-AQ24,IF(A25&lt;'Données projet'!$A$62,$AF$205^A25,IF(A25='Données projet'!$A$62,'Données projet'!$B$62,AI24+AH25-AQ24)))</f>
        <v>129.98461538461538</v>
      </c>
      <c r="AJ25" s="14">
        <f>AI25*VLOOKUP('Données projet'!$B$10,Paramètres!$A$1:$I$89,3,0)*VLOOKUP('Données projet'!$B$10,Paramètres!$A$1:$I$89,5,0)</f>
        <v>77.730800000000002</v>
      </c>
      <c r="AK25" s="14">
        <f t="shared" si="35"/>
        <v>21.581427176601697</v>
      </c>
      <c r="AL25" s="22">
        <f t="shared" si="4"/>
        <v>172.96879566591463</v>
      </c>
      <c r="AM25" s="60">
        <f t="shared" si="5"/>
        <v>456.52435122147017</v>
      </c>
      <c r="AN25" s="60">
        <f ca="1">AVERAGE(OFFSET($AM$3,0,0,'Données projet'!$E$10+1,1))-AVERAGE(OFFSET($H$3,0,0,'Données projet'!$E$10+1,1))</f>
        <v>289.24721145176682</v>
      </c>
      <c r="AO25" s="60">
        <f t="shared" si="36"/>
        <v>229.06617320689003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52.746153846153838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0.5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17.856548787519642</v>
      </c>
      <c r="AX25" s="23">
        <f t="shared" si="6"/>
        <v>17.856548787519642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8.3184615384615412</v>
      </c>
      <c r="BD25" s="13">
        <f>IF('Données projet'!$A$88&gt;35,BD24+BC25-BL24,IF(A25&lt;'Données projet'!$A$88,$BA$205^A25,IF(A25='Données projet'!$A$88,'Données projet'!$B$88,BD24+BC25-BL24)))</f>
        <v>65.2676923076923</v>
      </c>
      <c r="BE25" s="14">
        <f>BD25*VLOOKUP('Données projet'!$B$11,Paramètres!$A$1:$I$89,3,0)*VLOOKUP('Données projet'!$B$11,Paramètres!$A$1:$I$89,5,0)</f>
        <v>39.030079999999998</v>
      </c>
      <c r="BF25" s="14">
        <f t="shared" si="37"/>
        <v>11.741203391238923</v>
      </c>
      <c r="BG25" s="22">
        <f t="shared" si="7"/>
        <v>88.426651906407798</v>
      </c>
      <c r="BH25" s="60">
        <f t="shared" si="8"/>
        <v>371.98220746196336</v>
      </c>
      <c r="BI25" s="60">
        <f ca="1">AVERAGE(OFFSET($BH$3,0,0,'Données projet'!$E$11+1,1))-AVERAGE(OFFSET($H$3,0,0,'Données projet'!$E$11+1,1))</f>
        <v>287.91374663515506</v>
      </c>
      <c r="BJ25" s="60">
        <f t="shared" si="38"/>
        <v>217.76240797006147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5.6</v>
      </c>
      <c r="BY25" s="13">
        <f>IF('Données projet'!$A$114&gt;35,BY24+BX25-CG24,IF(A25&lt;'Données projet'!$A$114,$BV$205^A25,IF(A25='Données projet'!$A$114,'Données projet'!$B$114,BY24+BX25-CG24)))</f>
        <v>53.2</v>
      </c>
      <c r="BZ25" s="14">
        <f>BY25*VLOOKUP('Données projet'!$B$12,Paramètres!$A$1:$I$89,3,0)*VLOOKUP('Données projet'!$B$12,Paramètres!$A$1:$I$89,5,0)</f>
        <v>48.135359999999999</v>
      </c>
      <c r="CA25" s="14">
        <f t="shared" si="39"/>
        <v>14.131148275361113</v>
      </c>
      <c r="CB25" s="22">
        <f t="shared" si="10"/>
        <v>108.4475019129206</v>
      </c>
      <c r="CC25" s="60">
        <f t="shared" si="11"/>
        <v>392.00305746847613</v>
      </c>
      <c r="CD25" s="60">
        <f ca="1">AVERAGE(OFFSET($CC$3,0,0,'Données projet'!$E$12+1,1))-AVERAGE(OFFSET($H$3,0,0,'Données projet'!$E$12+1,1))</f>
        <v>428.8489304403459</v>
      </c>
      <c r="CE25" s="60">
        <f t="shared" si="40"/>
        <v>247.01165577562966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4.9084615384615384</v>
      </c>
      <c r="CT25" s="13">
        <f>IF('Données projet'!$A$140&gt;35,CT24+CS25-DB24,IF(A25&lt;'Données projet'!$A$140,$CQ$205^A25,IF(A25='Données projet'!$A$140,'Données projet'!$B$140,CT24+CS25-DB24)))</f>
        <v>38.896949331432715</v>
      </c>
      <c r="CU25" s="18">
        <f>CT25*VLOOKUP('Données projet'!$B$13,Paramètres!$A$1:$I$89,3,0)*VLOOKUP('Données projet'!$B$13,Paramètres!$A$1:$I$89,5,0)</f>
        <v>18.20377228711051</v>
      </c>
      <c r="CV25" s="14">
        <f t="shared" si="41"/>
        <v>5.9845386042761088</v>
      </c>
      <c r="CW25" s="22">
        <f t="shared" si="13"/>
        <v>42.127974802498365</v>
      </c>
      <c r="CX25" s="60">
        <f t="shared" si="14"/>
        <v>325.68353035805393</v>
      </c>
      <c r="CY25" s="60">
        <f ca="1">AVERAGE(OFFSET($CX$3,0,0,'Données projet'!$E$13+1,1))-AVERAGE(OFFSET($H$3,0,0,'Données projet'!$E$13+1,1))</f>
        <v>284.88646502866419</v>
      </c>
      <c r="CZ25" s="60">
        <f t="shared" si="42"/>
        <v>190.4880882944471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5.6</v>
      </c>
      <c r="DO25" s="13">
        <f>IF('Données projet'!$A$166&gt;35,DO24+DN25-DW24,IF(A25&lt;'Données projet'!$A$166,$DL$205^A25,IF(A25='Données projet'!$A$166,'Données projet'!$B$166,DO24+DN25-DW24)))</f>
        <v>53.2</v>
      </c>
      <c r="DP25" s="18">
        <f>DO25*VLOOKUP('Données projet'!$B$14,Paramètres!$A$1:$I$89,3,0)*VLOOKUP('Données projet'!$B$14,Paramètres!$A$1:$I$89,5,0)</f>
        <v>57.264479999999999</v>
      </c>
      <c r="DQ25" s="14">
        <f t="shared" si="43"/>
        <v>16.474776623807379</v>
      </c>
      <c r="DR25" s="22">
        <f t="shared" si="16"/>
        <v>128.42920528646451</v>
      </c>
      <c r="DS25" s="60">
        <f t="shared" si="17"/>
        <v>411.98476084202002</v>
      </c>
      <c r="DT25" s="60">
        <f ca="1">AVERAGE(OFFSET($DS$3,0,0,'Données projet'!$E$14+1,1))-AVERAGE(OFFSET($H$3,0,0,'Données projet'!$E$14+1,1))</f>
        <v>502.07782026233912</v>
      </c>
      <c r="DU25" s="60">
        <f t="shared" si="44"/>
        <v>285.83623046025156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12.6</v>
      </c>
      <c r="EJ25" s="13">
        <f>IF('Données projet'!$A$192&gt;35,EJ24+EI25-ER24,IF(A25&lt;'Données projet'!$A$192,$EG$205^A25,IF(A25='Données projet'!$A$192,'Données projet'!$B$192,EJ24+EI25-ER24)))</f>
        <v>77.199999999999974</v>
      </c>
      <c r="EK25" s="18">
        <f>EJ25*VLOOKUP('Données projet'!$B$15,Paramètres!$A$1:$I$89,3,0)*VLOOKUP('Données projet'!$B$15,Paramètres!$A$1:$I$89,5,0)</f>
        <v>67.441919999999996</v>
      </c>
      <c r="EL25" s="14">
        <f t="shared" si="45"/>
        <v>19.036826299015036</v>
      </c>
      <c r="EM25" s="22">
        <f t="shared" si="19"/>
        <v>150.61714980411784</v>
      </c>
      <c r="EN25" s="60">
        <f t="shared" si="20"/>
        <v>434.17270535967339</v>
      </c>
      <c r="EO25" s="60">
        <f ca="1">AVERAGE(OFFSET($EN$3,0,0,'Données projet'!$E$15+1,1))-AVERAGE(OFFSET($H$3,0,0,'Données projet'!$E$15+1,1))</f>
        <v>339.58437495284466</v>
      </c>
      <c r="EP25" s="60">
        <f t="shared" si="46"/>
        <v>371.26234252426531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5.6</v>
      </c>
      <c r="FE25" s="13">
        <f>IF('Données projet'!$A$218&gt;35,FE24+FD25-FM24,IF(A25&lt;'Données projet'!$A$218,$FB$205^A25,IF(A25='Données projet'!$A$218,'Données projet'!$B$218,FE24+FD25-FM24)))</f>
        <v>53.2</v>
      </c>
      <c r="FF25" s="18">
        <f>FE25*VLOOKUP('Données projet'!$B$16,Paramètres!$A$1:$I$89,3,0)*VLOOKUP('Données projet'!$B$16,Paramètres!$A$1:$I$89,5,0)</f>
        <v>51.455040000000004</v>
      </c>
      <c r="FG25" s="14">
        <f t="shared" si="47"/>
        <v>14.988900446655085</v>
      </c>
      <c r="FH25" s="22">
        <f t="shared" si="22"/>
        <v>115.72319627792427</v>
      </c>
      <c r="FI25" s="60">
        <f t="shared" si="23"/>
        <v>399.27875183347982</v>
      </c>
      <c r="FJ25" s="60">
        <f ca="1">AVERAGE(OFFSET($FI$3,0,0,'Données projet'!$E$16+1,1))-AVERAGE(OFFSET($H$3,0,0,'Données projet'!$E$16+1,1))</f>
        <v>455.50822833641354</v>
      </c>
      <c r="FK25" s="60">
        <f t="shared" si="48"/>
        <v>261.14722581688039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0">
        <f t="shared" si="0"/>
        <v>418.35693573662502</v>
      </c>
      <c r="S26" s="60">
        <f ca="1">AVERAGE(OFFSET($R$3,0,0,'Données projet'!$E$9+1,1))-AVERAGE(OFFSET($H$3,0,0,'Données projet'!$E$9+1,1))</f>
        <v>475.47920969424894</v>
      </c>
      <c r="T26" s="60">
        <f t="shared" si="34"/>
        <v>271.73544012419364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11.242307692307683</v>
      </c>
      <c r="AI26" s="14">
        <f>IF('Données projet'!$A$62&gt;35,AI25+AH26-AQ25,IF(A26&lt;'Données projet'!$A$62,$AF$205^A26,IF(A26='Données projet'!$A$62,'Données projet'!$B$62,AI25+AH26-AQ25)))</f>
        <v>88.480769230769226</v>
      </c>
      <c r="AJ26" s="14">
        <f>AI26*VLOOKUP('Données projet'!$B$10,Paramètres!$A$1:$I$89,3,0)*VLOOKUP('Données projet'!$B$10,Paramètres!$A$1:$I$89,5,0)</f>
        <v>52.911499999999997</v>
      </c>
      <c r="AK26" s="14">
        <f t="shared" si="35"/>
        <v>15.363172606616901</v>
      </c>
      <c r="AL26" s="22">
        <f t="shared" si="4"/>
        <v>118.91172145652443</v>
      </c>
      <c r="AM26" s="60">
        <f t="shared" si="5"/>
        <v>403.68949923430222</v>
      </c>
      <c r="AN26" s="60">
        <f ca="1">AVERAGE(OFFSET($AM$3,0,0,'Données projet'!$E$10+1,1))-AVERAGE(OFFSET($H$3,0,0,'Données projet'!$E$10+1,1))</f>
        <v>289.24721145176682</v>
      </c>
      <c r="AO26" s="60">
        <f t="shared" si="36"/>
        <v>229.06617320689003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12.626486736243564</v>
      </c>
      <c r="AX26" s="23">
        <f t="shared" si="6"/>
        <v>12.626486736243564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8.3184615384615412</v>
      </c>
      <c r="BD26" s="13">
        <f>IF('Données projet'!$A$88&gt;35,BD25+BC26-BL25,IF(A26&lt;'Données projet'!$A$88,$BA$205^A26,IF(A26='Données projet'!$A$88,'Données projet'!$B$88,BD25+BC26-BL25)))</f>
        <v>73.586153846153849</v>
      </c>
      <c r="BE26" s="14">
        <f>BD26*VLOOKUP('Données projet'!$B$11,Paramètres!$A$1:$I$89,3,0)*VLOOKUP('Données projet'!$B$11,Paramètres!$A$1:$I$89,5,0)</f>
        <v>44.004520000000007</v>
      </c>
      <c r="BF26" s="14">
        <f t="shared" si="37"/>
        <v>13.054079962174448</v>
      </c>
      <c r="BG26" s="22">
        <f t="shared" si="7"/>
        <v>99.377061600787158</v>
      </c>
      <c r="BH26" s="60">
        <f t="shared" si="8"/>
        <v>384.15483937856493</v>
      </c>
      <c r="BI26" s="60">
        <f ca="1">AVERAGE(OFFSET($BH$3,0,0,'Données projet'!$E$11+1,1))-AVERAGE(OFFSET($H$3,0,0,'Données projet'!$E$11+1,1))</f>
        <v>287.91374663515506</v>
      </c>
      <c r="BJ26" s="60">
        <f t="shared" si="38"/>
        <v>217.76240797006147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5.6</v>
      </c>
      <c r="BY26" s="13">
        <f>IF('Données projet'!$A$114&gt;35,BY25+BX26-CG25,IF(A26&lt;'Données projet'!$A$114,$BV$205^A26,IF(A26='Données projet'!$A$114,'Données projet'!$B$114,BY25+BX26-CG25)))</f>
        <v>58.800000000000004</v>
      </c>
      <c r="BZ26" s="14">
        <f>BY26*VLOOKUP('Données projet'!$B$12,Paramètres!$A$1:$I$89,3,0)*VLOOKUP('Données projet'!$B$12,Paramètres!$A$1:$I$89,5,0)</f>
        <v>53.202240000000003</v>
      </c>
      <c r="CA26" s="14">
        <f t="shared" si="39"/>
        <v>15.437740642425908</v>
      </c>
      <c r="CB26" s="22">
        <f t="shared" si="10"/>
        <v>119.54796628555846</v>
      </c>
      <c r="CC26" s="60">
        <f t="shared" si="11"/>
        <v>404.32574406333623</v>
      </c>
      <c r="CD26" s="60">
        <f ca="1">AVERAGE(OFFSET($CC$3,0,0,'Données projet'!$E$12+1,1))-AVERAGE(OFFSET($H$3,0,0,'Données projet'!$E$12+1,1))</f>
        <v>428.8489304403459</v>
      </c>
      <c r="CE26" s="60">
        <f t="shared" si="40"/>
        <v>247.01165577562966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4.9084615384615384</v>
      </c>
      <c r="CT26" s="13">
        <f>IF('Données projet'!$A$140&gt;35,CT25+CS26-DB25,IF(A26&lt;'Données projet'!$A$140,$CQ$205^A26,IF(A26='Données projet'!$A$140,'Données projet'!$B$140,CT25+CS26-DB25)))</f>
        <v>45.939305928458197</v>
      </c>
      <c r="CU26" s="18">
        <f>CT26*VLOOKUP('Données projet'!$B$13,Paramètres!$A$1:$I$89,3,0)*VLOOKUP('Données projet'!$B$13,Paramètres!$A$1:$I$89,5,0)</f>
        <v>21.499595174518436</v>
      </c>
      <c r="CV26" s="14">
        <f t="shared" si="41"/>
        <v>6.9324614376170377</v>
      </c>
      <c r="CW26" s="22">
        <f t="shared" si="13"/>
        <v>49.51916526613595</v>
      </c>
      <c r="CX26" s="60">
        <f t="shared" si="14"/>
        <v>334.2969430439137</v>
      </c>
      <c r="CY26" s="60">
        <f ca="1">AVERAGE(OFFSET($CX$3,0,0,'Données projet'!$E$13+1,1))-AVERAGE(OFFSET($H$3,0,0,'Données projet'!$E$13+1,1))</f>
        <v>284.88646502866419</v>
      </c>
      <c r="CZ26" s="60">
        <f t="shared" si="42"/>
        <v>190.4880882944471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5.6</v>
      </c>
      <c r="DO26" s="13">
        <f>IF('Données projet'!$A$166&gt;35,DO25+DN26-DW25,IF(A26&lt;'Données projet'!$A$166,$DL$205^A26,IF(A26='Données projet'!$A$166,'Données projet'!$B$166,DO25+DN26-DW25)))</f>
        <v>58.800000000000004</v>
      </c>
      <c r="DP26" s="18">
        <f>DO26*VLOOKUP('Données projet'!$B$14,Paramètres!$A$1:$I$89,3,0)*VLOOKUP('Données projet'!$B$14,Paramètres!$A$1:$I$89,5,0)</f>
        <v>63.292320000000004</v>
      </c>
      <c r="DQ26" s="14">
        <f t="shared" si="43"/>
        <v>17.998065245956816</v>
      </c>
      <c r="DR26" s="22">
        <f t="shared" si="16"/>
        <v>141.58075430337479</v>
      </c>
      <c r="DS26" s="60">
        <f t="shared" si="17"/>
        <v>426.35853208115259</v>
      </c>
      <c r="DT26" s="60">
        <f ca="1">AVERAGE(OFFSET($DS$3,0,0,'Données projet'!$E$14+1,1))-AVERAGE(OFFSET($H$3,0,0,'Données projet'!$E$14+1,1))</f>
        <v>502.07782026233912</v>
      </c>
      <c r="DU26" s="60">
        <f t="shared" si="44"/>
        <v>285.83623046025156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12.6</v>
      </c>
      <c r="EJ26" s="13">
        <f>IF('Données projet'!$A$192&gt;35,EJ25+EI26-ER25,IF(A26&lt;'Données projet'!$A$192,$EG$205^A26,IF(A26='Données projet'!$A$192,'Données projet'!$B$192,EJ25+EI26-ER25)))</f>
        <v>89.799999999999969</v>
      </c>
      <c r="EK26" s="18">
        <f>EJ26*VLOOKUP('Données projet'!$B$15,Paramètres!$A$1:$I$89,3,0)*VLOOKUP('Données projet'!$B$15,Paramètres!$A$1:$I$89,5,0)</f>
        <v>78.449279999999987</v>
      </c>
      <c r="EL26" s="14">
        <f t="shared" si="45"/>
        <v>21.757594161482565</v>
      </c>
      <c r="EM26" s="22">
        <f t="shared" si="19"/>
        <v>174.52697249791541</v>
      </c>
      <c r="EN26" s="60">
        <f t="shared" si="20"/>
        <v>459.30475027569321</v>
      </c>
      <c r="EO26" s="60">
        <f ca="1">AVERAGE(OFFSET($EN$3,0,0,'Données projet'!$E$15+1,1))-AVERAGE(OFFSET($H$3,0,0,'Données projet'!$E$15+1,1))</f>
        <v>339.58437495284466</v>
      </c>
      <c r="EP26" s="60">
        <f t="shared" si="46"/>
        <v>371.26234252426531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5.6</v>
      </c>
      <c r="FE26" s="13">
        <f>IF('Données projet'!$A$218&gt;35,FE25+FD26-FM25,IF(A26&lt;'Données projet'!$A$218,$FB$205^A26,IF(A26='Données projet'!$A$218,'Données projet'!$B$218,FE25+FD26-FM25)))</f>
        <v>58.800000000000004</v>
      </c>
      <c r="FF26" s="18">
        <f>FE26*VLOOKUP('Données projet'!$B$16,Paramètres!$A$1:$I$89,3,0)*VLOOKUP('Données projet'!$B$16,Paramètres!$A$1:$I$89,5,0)</f>
        <v>56.87136000000001</v>
      </c>
      <c r="FG26" s="14">
        <f t="shared" si="47"/>
        <v>16.374802181791551</v>
      </c>
      <c r="FH26" s="22">
        <f t="shared" si="22"/>
        <v>127.57039913328697</v>
      </c>
      <c r="FI26" s="60">
        <f t="shared" si="23"/>
        <v>412.34817691106474</v>
      </c>
      <c r="FJ26" s="60">
        <f ca="1">AVERAGE(OFFSET($FI$3,0,0,'Données projet'!$E$16+1,1))-AVERAGE(OFFSET($H$3,0,0,'Données projet'!$E$16+1,1))</f>
        <v>455.50822833641354</v>
      </c>
      <c r="FK26" s="60">
        <f t="shared" si="48"/>
        <v>261.14722581688039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0">
        <f t="shared" si="0"/>
        <v>431.95794243077449</v>
      </c>
      <c r="S27" s="60">
        <f ca="1">AVERAGE(OFFSET($R$3,0,0,'Données projet'!$E$9+1,1))-AVERAGE(OFFSET($H$3,0,0,'Données projet'!$E$9+1,1))</f>
        <v>475.47920969424894</v>
      </c>
      <c r="T27" s="60">
        <f t="shared" si="34"/>
        <v>271.73544012419364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>
        <f>VLOOKUP(A27,'Données projet'!$A$61:$I$81,2,0)</f>
        <v>99.723076923076903</v>
      </c>
      <c r="AG27" s="13">
        <f>VLOOKUP(A27,'Données projet'!$A$61:$I$81,9,0)</f>
        <v>11.242307692307683</v>
      </c>
      <c r="AH27" s="13">
        <f t="array" ref="AH27">INDEX(AG:AG,MIN(IF(ISNUMBER(AG27:AG223),ROW(AG27:AG223),"")))</f>
        <v>11.242307692307683</v>
      </c>
      <c r="AI27" s="14">
        <f>IF('Données projet'!$A$62&gt;35,AI26+AH27-AQ26,IF(A27&lt;'Données projet'!$A$62,$AF$205^A27,IF(A27='Données projet'!$A$62,'Données projet'!$B$62,AI26+AH27-AQ26)))</f>
        <v>99.723076923076917</v>
      </c>
      <c r="AJ27" s="14">
        <f>AI27*VLOOKUP('Données projet'!$B$10,Paramètres!$A$1:$I$89,3,0)*VLOOKUP('Données projet'!$B$10,Paramètres!$A$1:$I$89,5,0)</f>
        <v>59.634400000000007</v>
      </c>
      <c r="AK27" s="14">
        <f t="shared" si="35"/>
        <v>17.075801006767037</v>
      </c>
      <c r="AL27" s="22">
        <f t="shared" si="4"/>
        <v>133.60360008678595</v>
      </c>
      <c r="AM27" s="60">
        <f t="shared" si="5"/>
        <v>419.60360008678595</v>
      </c>
      <c r="AN27" s="60">
        <f ca="1">AVERAGE(OFFSET($AM$3,0,0,'Données projet'!$E$10+1,1))-AVERAGE(OFFSET($H$3,0,0,'Données projet'!$E$10+1,1))</f>
        <v>289.24721145176682</v>
      </c>
      <c r="AO27" s="60">
        <f t="shared" si="36"/>
        <v>229.06617320689003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8.928274393759823</v>
      </c>
      <c r="AX27" s="23">
        <f t="shared" si="6"/>
        <v>8.928274393759823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8.3184615384615412</v>
      </c>
      <c r="BD27" s="13">
        <f>IF('Données projet'!$A$88&gt;35,BD26+BC27-BL26,IF(A27&lt;'Données projet'!$A$88,$BA$205^A27,IF(A27='Données projet'!$A$88,'Données projet'!$B$88,BD26+BC27-BL26)))</f>
        <v>81.904615384615397</v>
      </c>
      <c r="BE27" s="14">
        <f>BD27*VLOOKUP('Données projet'!$B$11,Paramètres!$A$1:$I$89,3,0)*VLOOKUP('Données projet'!$B$11,Paramètres!$A$1:$I$89,5,0)</f>
        <v>48.978960000000008</v>
      </c>
      <c r="BF27" s="14">
        <f t="shared" si="37"/>
        <v>14.349755832591496</v>
      </c>
      <c r="BG27" s="22">
        <f t="shared" si="7"/>
        <v>110.29751340843019</v>
      </c>
      <c r="BH27" s="60">
        <f t="shared" si="8"/>
        <v>396.29751340843018</v>
      </c>
      <c r="BI27" s="60">
        <f ca="1">AVERAGE(OFFSET($BH$3,0,0,'Données projet'!$E$11+1,1))-AVERAGE(OFFSET($H$3,0,0,'Données projet'!$E$11+1,1))</f>
        <v>287.91374663515506</v>
      </c>
      <c r="BJ27" s="60">
        <f t="shared" si="38"/>
        <v>217.76240797006147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5.6</v>
      </c>
      <c r="BY27" s="13">
        <f>IF('Données projet'!$A$114&gt;35,BY26+BX27-CG26,IF(A27&lt;'Données projet'!$A$114,$BV$205^A27,IF(A27='Données projet'!$A$114,'Données projet'!$B$114,BY26+BX27-CG26)))</f>
        <v>64.400000000000006</v>
      </c>
      <c r="BZ27" s="14">
        <f>BY27*VLOOKUP('Données projet'!$B$12,Paramètres!$A$1:$I$89,3,0)*VLOOKUP('Données projet'!$B$12,Paramètres!$A$1:$I$89,5,0)</f>
        <v>58.269120000000008</v>
      </c>
      <c r="CA27" s="14">
        <f t="shared" si="39"/>
        <v>16.729905486873804</v>
      </c>
      <c r="CB27" s="22">
        <f t="shared" si="10"/>
        <v>130.62330272297189</v>
      </c>
      <c r="CC27" s="60">
        <f t="shared" si="11"/>
        <v>416.62330272297186</v>
      </c>
      <c r="CD27" s="60">
        <f ca="1">AVERAGE(OFFSET($CC$3,0,0,'Données projet'!$E$12+1,1))-AVERAGE(OFFSET($H$3,0,0,'Données projet'!$E$12+1,1))</f>
        <v>428.8489304403459</v>
      </c>
      <c r="CE27" s="60">
        <f t="shared" si="40"/>
        <v>247.01165577562966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4.9084615384615384</v>
      </c>
      <c r="CT27" s="13">
        <f>IF('Données projet'!$A$140&gt;35,CT26+CS27-DB26,IF(A27&lt;'Données projet'!$A$140,$CQ$205^A27,IF(A27='Données projet'!$A$140,'Données projet'!$B$140,CT26+CS27-DB26)))</f>
        <v>54.256692760299323</v>
      </c>
      <c r="CU27" s="18">
        <f>CT27*VLOOKUP('Données projet'!$B$13,Paramètres!$A$1:$I$89,3,0)*VLOOKUP('Données projet'!$B$13,Paramètres!$A$1:$I$89,5,0)</f>
        <v>25.392132211820083</v>
      </c>
      <c r="CV27" s="14">
        <f t="shared" si="41"/>
        <v>8.0305307997692346</v>
      </c>
      <c r="CW27" s="22">
        <f t="shared" si="13"/>
        <v>58.211138078518069</v>
      </c>
      <c r="CX27" s="60">
        <f t="shared" si="14"/>
        <v>344.21113807851805</v>
      </c>
      <c r="CY27" s="60">
        <f ca="1">AVERAGE(OFFSET($CX$3,0,0,'Données projet'!$E$13+1,1))-AVERAGE(OFFSET($H$3,0,0,'Données projet'!$E$13+1,1))</f>
        <v>284.88646502866419</v>
      </c>
      <c r="CZ27" s="60">
        <f t="shared" si="42"/>
        <v>190.4880882944471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5.6</v>
      </c>
      <c r="DO27" s="13">
        <f>IF('Données projet'!$A$166&gt;35,DO26+DN27-DW26,IF(A27&lt;'Données projet'!$A$166,$DL$205^A27,IF(A27='Données projet'!$A$166,'Données projet'!$B$166,DO26+DN27-DW26)))</f>
        <v>64.400000000000006</v>
      </c>
      <c r="DP27" s="18">
        <f>DO27*VLOOKUP('Données projet'!$B$14,Paramètres!$A$1:$I$89,3,0)*VLOOKUP('Données projet'!$B$14,Paramètres!$A$1:$I$89,5,0)</f>
        <v>69.320160000000001</v>
      </c>
      <c r="DQ27" s="14">
        <f t="shared" si="43"/>
        <v>19.50453356393022</v>
      </c>
      <c r="DR27" s="22">
        <f t="shared" si="16"/>
        <v>154.70300795717847</v>
      </c>
      <c r="DS27" s="60">
        <f t="shared" si="17"/>
        <v>440.70300795717844</v>
      </c>
      <c r="DT27" s="60">
        <f ca="1">AVERAGE(OFFSET($DS$3,0,0,'Données projet'!$E$14+1,1))-AVERAGE(OFFSET($H$3,0,0,'Données projet'!$E$14+1,1))</f>
        <v>502.07782026233912</v>
      </c>
      <c r="DU27" s="60">
        <f t="shared" si="44"/>
        <v>285.83623046025156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12.6</v>
      </c>
      <c r="EJ27" s="13">
        <f>IF('Données projet'!$A$192&gt;35,EJ26+EI27-ER26,IF(A27&lt;'Données projet'!$A$192,$EG$205^A27,IF(A27='Données projet'!$A$192,'Données projet'!$B$192,EJ26+EI27-ER26)))</f>
        <v>102.39999999999996</v>
      </c>
      <c r="EK27" s="18">
        <f>EJ27*VLOOKUP('Données projet'!$B$15,Paramètres!$A$1:$I$89,3,0)*VLOOKUP('Données projet'!$B$15,Paramètres!$A$1:$I$89,5,0)</f>
        <v>89.456639999999979</v>
      </c>
      <c r="EL27" s="14">
        <f t="shared" si="45"/>
        <v>24.434133496437102</v>
      </c>
      <c r="EM27" s="22">
        <f t="shared" si="19"/>
        <v>198.3597638396279</v>
      </c>
      <c r="EN27" s="60">
        <f t="shared" si="20"/>
        <v>484.35976383962793</v>
      </c>
      <c r="EO27" s="60">
        <f ca="1">AVERAGE(OFFSET($EN$3,0,0,'Données projet'!$E$15+1,1))-AVERAGE(OFFSET($H$3,0,0,'Données projet'!$E$15+1,1))</f>
        <v>339.58437495284466</v>
      </c>
      <c r="EP27" s="60">
        <f t="shared" si="46"/>
        <v>371.26234252426531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5.6</v>
      </c>
      <c r="FE27" s="13">
        <f>IF('Données projet'!$A$218&gt;35,FE26+FD27-FM26,IF(A27&lt;'Données projet'!$A$218,$FB$205^A27,IF(A27='Données projet'!$A$218,'Données projet'!$B$218,FE26+FD27-FM26)))</f>
        <v>64.400000000000006</v>
      </c>
      <c r="FF27" s="18">
        <f>FE27*VLOOKUP('Données projet'!$B$16,Paramètres!$A$1:$I$89,3,0)*VLOOKUP('Données projet'!$B$16,Paramètres!$A$1:$I$89,5,0)</f>
        <v>62.287680000000009</v>
      </c>
      <c r="FG27" s="14">
        <f t="shared" si="47"/>
        <v>17.745400652396182</v>
      </c>
      <c r="FH27" s="22">
        <f t="shared" si="22"/>
        <v>139.39094880292336</v>
      </c>
      <c r="FI27" s="60">
        <f t="shared" si="23"/>
        <v>425.39094880292339</v>
      </c>
      <c r="FJ27" s="60">
        <f ca="1">AVERAGE(OFFSET($FI$3,0,0,'Données projet'!$E$16+1,1))-AVERAGE(OFFSET($H$3,0,0,'Données projet'!$E$16+1,1))</f>
        <v>455.50822833641354</v>
      </c>
      <c r="FK27" s="60">
        <f t="shared" si="48"/>
        <v>261.14722581688039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0">
        <f t="shared" si="0"/>
        <v>445.53385078478129</v>
      </c>
      <c r="S28" s="60">
        <f ca="1">AVERAGE(OFFSET($R$3,0,0,'Données projet'!$E$9+1,1))-AVERAGE(OFFSET($H$3,0,0,'Données projet'!$E$9+1,1))</f>
        <v>475.47920969424894</v>
      </c>
      <c r="T28" s="60">
        <f t="shared" si="34"/>
        <v>271.73544012419364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13.664102564102569</v>
      </c>
      <c r="AI28" s="14">
        <f>IF('Données projet'!$A$62&gt;35,AI27+AH28-AQ27,IF(A28&lt;'Données projet'!$A$62,$AF$205^A28,IF(A28='Données projet'!$A$62,'Données projet'!$B$62,AI27+AH28-AQ27)))</f>
        <v>113.38717948717948</v>
      </c>
      <c r="AJ28" s="14">
        <f>AI28*VLOOKUP('Données projet'!$B$10,Paramètres!$A$1:$I$89,3,0)*VLOOKUP('Données projet'!$B$10,Paramètres!$A$1:$I$89,5,0)</f>
        <v>67.805533333333329</v>
      </c>
      <c r="AK28" s="14">
        <f t="shared" si="35"/>
        <v>19.12748805046628</v>
      </c>
      <c r="AL28" s="22">
        <f t="shared" si="4"/>
        <v>151.40834557678431</v>
      </c>
      <c r="AM28" s="60">
        <f t="shared" si="5"/>
        <v>438.63056779900654</v>
      </c>
      <c r="AN28" s="60">
        <f ca="1">AVERAGE(OFFSET($AM$3,0,0,'Données projet'!$E$10+1,1))-AVERAGE(OFFSET($H$3,0,0,'Données projet'!$E$10+1,1))</f>
        <v>289.24721145176682</v>
      </c>
      <c r="AO28" s="60">
        <f t="shared" si="36"/>
        <v>229.06617320689003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6.3132433681217828</v>
      </c>
      <c r="AX28" s="23">
        <f t="shared" si="6"/>
        <v>6.3132433681217828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90.223076923076931</v>
      </c>
      <c r="BB28" s="13">
        <f>VLOOKUP(A28,'Données projet'!$A$87:$I$107,9,0)</f>
        <v>8.3184615384615412</v>
      </c>
      <c r="BC28" s="13">
        <f t="array" ref="BC28">INDEX(BB:BB,MIN(IF(ISNUMBER(BB28:BB224),ROW(BB28:BB224),"")))</f>
        <v>8.3184615384615412</v>
      </c>
      <c r="BD28" s="13">
        <f>IF('Données projet'!$A$88&gt;35,BD27+BC28-BL27,IF(A28&lt;'Données projet'!$A$88,$BA$205^A28,IF(A28='Données projet'!$A$88,'Données projet'!$B$88,BD27+BC28-BL27)))</f>
        <v>90.223076923076945</v>
      </c>
      <c r="BE28" s="14">
        <f>BD28*VLOOKUP('Données projet'!$B$11,Paramètres!$A$1:$I$89,3,0)*VLOOKUP('Données projet'!$B$11,Paramètres!$A$1:$I$89,5,0)</f>
        <v>53.953400000000016</v>
      </c>
      <c r="BF28" s="14">
        <f t="shared" si="37"/>
        <v>15.630176867527169</v>
      </c>
      <c r="BG28" s="22">
        <f t="shared" si="7"/>
        <v>121.19139637760985</v>
      </c>
      <c r="BH28" s="60">
        <f t="shared" si="8"/>
        <v>408.41361859983209</v>
      </c>
      <c r="BI28" s="60">
        <f ca="1">AVERAGE(OFFSET($BH$3,0,0,'Données projet'!$E$11+1,1))-AVERAGE(OFFSET($H$3,0,0,'Données projet'!$E$11+1,1))</f>
        <v>287.91374663515506</v>
      </c>
      <c r="BJ28" s="60">
        <f t="shared" si="38"/>
        <v>217.76240797006147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70</v>
      </c>
      <c r="BW28" s="13">
        <f>VLOOKUP(A28,'Données projet'!$A$113:$I$133,9,0)</f>
        <v>5.6</v>
      </c>
      <c r="BX28" s="13">
        <f t="array" ref="BX28">INDEX(BW:BW,MIN(IF(ISNUMBER(BW28:BW224),ROW(BW28:BW224),"")))</f>
        <v>5.6</v>
      </c>
      <c r="BY28" s="13">
        <f>IF('Données projet'!$A$114&gt;35,BY27+BX28-CG27,IF(A28&lt;'Données projet'!$A$114,$BV$205^A28,IF(A28='Données projet'!$A$114,'Données projet'!$B$114,BY27+BX28-CG27)))</f>
        <v>70</v>
      </c>
      <c r="BZ28" s="14">
        <f>BY28*VLOOKUP('Données projet'!$B$12,Paramètres!$A$1:$I$89,3,0)*VLOOKUP('Données projet'!$B$12,Paramètres!$A$1:$I$89,5,0)</f>
        <v>63.335999999999991</v>
      </c>
      <c r="CA28" s="14">
        <f t="shared" si="39"/>
        <v>18.009040022946227</v>
      </c>
      <c r="CB28" s="22">
        <f t="shared" si="10"/>
        <v>141.67594470663133</v>
      </c>
      <c r="CC28" s="60">
        <f t="shared" si="11"/>
        <v>428.89816692885358</v>
      </c>
      <c r="CD28" s="60">
        <f ca="1">AVERAGE(OFFSET($CC$3,0,0,'Données projet'!$E$12+1,1))-AVERAGE(OFFSET($H$3,0,0,'Données projet'!$E$12+1,1))</f>
        <v>428.8489304403459</v>
      </c>
      <c r="CE28" s="60">
        <f t="shared" si="40"/>
        <v>247.01165577562966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4.9084615384615384</v>
      </c>
      <c r="CT28" s="13">
        <f>IF('Données projet'!$A$140&gt;35,CT27+CS28-DB27,IF(A28&lt;'Données projet'!$A$140,$CQ$205^A28,IF(A28='Données projet'!$A$140,'Données projet'!$B$140,CT27+CS28-DB27)))</f>
        <v>64.079956146266369</v>
      </c>
      <c r="CU28" s="18">
        <f>CT28*VLOOKUP('Données projet'!$B$13,Paramètres!$A$1:$I$89,3,0)*VLOOKUP('Données projet'!$B$13,Paramètres!$A$1:$I$89,5,0)</f>
        <v>29.98941947645266</v>
      </c>
      <c r="CV28" s="14">
        <f t="shared" si="41"/>
        <v>9.3025291963556676</v>
      </c>
      <c r="CW28" s="22">
        <f t="shared" si="13"/>
        <v>68.433477271807831</v>
      </c>
      <c r="CX28" s="60">
        <f t="shared" si="14"/>
        <v>355.65569949403005</v>
      </c>
      <c r="CY28" s="60">
        <f ca="1">AVERAGE(OFFSET($CX$3,0,0,'Données projet'!$E$13+1,1))-AVERAGE(OFFSET($H$3,0,0,'Données projet'!$E$13+1,1))</f>
        <v>284.88646502866419</v>
      </c>
      <c r="CZ28" s="60">
        <f t="shared" si="42"/>
        <v>190.4880882944471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70</v>
      </c>
      <c r="DM28" s="13">
        <f>VLOOKUP(A28,'Données projet'!$A$165:$I$185,9,0)</f>
        <v>5.6</v>
      </c>
      <c r="DN28" s="13">
        <f t="array" ref="DN28">INDEX(DM:DM,MIN(IF(ISNUMBER(DM28:DM224),ROW(DM28:DM224),"")))</f>
        <v>5.6</v>
      </c>
      <c r="DO28" s="13">
        <f>IF('Données projet'!$A$166&gt;35,DO27+DN28-DW27,IF(A28&lt;'Données projet'!$A$166,$DL$205^A28,IF(A28='Données projet'!$A$166,'Données projet'!$B$166,DO27+DN28-DW27)))</f>
        <v>70</v>
      </c>
      <c r="DP28" s="18">
        <f>DO28*VLOOKUP('Données projet'!$B$14,Paramètres!$A$1:$I$89,3,0)*VLOOKUP('Données projet'!$B$14,Paramètres!$A$1:$I$89,5,0)</f>
        <v>75.347999999999999</v>
      </c>
      <c r="DQ28" s="14">
        <f t="shared" si="43"/>
        <v>20.99581051771704</v>
      </c>
      <c r="DR28" s="22">
        <f t="shared" si="16"/>
        <v>167.79880331835713</v>
      </c>
      <c r="DS28" s="60">
        <f t="shared" si="17"/>
        <v>455.02102554057933</v>
      </c>
      <c r="DT28" s="60">
        <f ca="1">AVERAGE(OFFSET($DS$3,0,0,'Données projet'!$E$14+1,1))-AVERAGE(OFFSET($H$3,0,0,'Données projet'!$E$14+1,1))</f>
        <v>502.07782026233912</v>
      </c>
      <c r="DU28" s="60">
        <f t="shared" si="44"/>
        <v>285.83623046025156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115</v>
      </c>
      <c r="EH28" s="13">
        <f>VLOOKUP(A28,'Données projet'!$A$191:$I$211,9,0)</f>
        <v>12.6</v>
      </c>
      <c r="EI28" s="13">
        <f t="array" ref="EI28">INDEX(EH:EH,MIN(IF(ISNUMBER(EH28:EH224),ROW(EH28:EH224),"")))</f>
        <v>12.6</v>
      </c>
      <c r="EJ28" s="13">
        <f>IF('Données projet'!$A$192&gt;35,EJ27+EI28-ER27,IF(A28&lt;'Données projet'!$A$192,$EG$205^A28,IF(A28='Données projet'!$A$192,'Données projet'!$B$192,EJ27+EI28-ER27)))</f>
        <v>114.99999999999996</v>
      </c>
      <c r="EK28" s="18">
        <f>EJ28*VLOOKUP('Données projet'!$B$15,Paramètres!$A$1:$I$89,3,0)*VLOOKUP('Données projet'!$B$15,Paramètres!$A$1:$I$89,5,0)</f>
        <v>100.46399999999997</v>
      </c>
      <c r="EL28" s="14">
        <f t="shared" si="45"/>
        <v>27.072509349827456</v>
      </c>
      <c r="EM28" s="22">
        <f t="shared" si="19"/>
        <v>222.12608711761609</v>
      </c>
      <c r="EN28" s="60">
        <f t="shared" si="20"/>
        <v>509.34830933983835</v>
      </c>
      <c r="EO28" s="60">
        <f ca="1">AVERAGE(OFFSET($EN$3,0,0,'Données projet'!$E$15+1,1))-AVERAGE(OFFSET($H$3,0,0,'Données projet'!$E$15+1,1))</f>
        <v>339.58437495284466</v>
      </c>
      <c r="EP28" s="60">
        <f t="shared" si="46"/>
        <v>371.26234252426531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70</v>
      </c>
      <c r="FC28" s="13">
        <f>VLOOKUP(A28,'Données projet'!$A$217:$I$237,9,0)</f>
        <v>5.6</v>
      </c>
      <c r="FD28" s="13">
        <f t="array" ref="FD28">INDEX(FC:FC,MIN(IF(ISNUMBER(FC28:FC224),ROW(FC28:FC224),"")))</f>
        <v>5.6</v>
      </c>
      <c r="FE28" s="13">
        <f>IF('Données projet'!$A$218&gt;35,FE27+FD28-FM27,IF(A28&lt;'Données projet'!$A$218,$FB$205^A28,IF(A28='Données projet'!$A$218,'Données projet'!$B$218,FE27+FD28-FM27)))</f>
        <v>70</v>
      </c>
      <c r="FF28" s="18">
        <f>FE28*VLOOKUP('Données projet'!$B$16,Paramètres!$A$1:$I$89,3,0)*VLOOKUP('Données projet'!$B$16,Paramètres!$A$1:$I$89,5,0)</f>
        <v>67.703999999999994</v>
      </c>
      <c r="FG28" s="14">
        <f t="shared" si="47"/>
        <v>19.102177882771514</v>
      </c>
      <c r="FH28" s="22">
        <f t="shared" si="22"/>
        <v>151.18742647916039</v>
      </c>
      <c r="FI28" s="60">
        <f t="shared" si="23"/>
        <v>438.40964870138259</v>
      </c>
      <c r="FJ28" s="60">
        <f ca="1">AVERAGE(OFFSET($FI$3,0,0,'Données projet'!$E$16+1,1))-AVERAGE(OFFSET($H$3,0,0,'Données projet'!$E$16+1,1))</f>
        <v>455.50822833641354</v>
      </c>
      <c r="FK28" s="60">
        <f t="shared" si="48"/>
        <v>261.14722581688039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78.078000000000003</v>
      </c>
      <c r="P29" s="14">
        <f t="shared" si="33"/>
        <v>21.666582091642084</v>
      </c>
      <c r="Q29" s="22">
        <f t="shared" si="2"/>
        <v>173.72181380960993</v>
      </c>
      <c r="R29" s="60">
        <f t="shared" si="0"/>
        <v>462.16625825405436</v>
      </c>
      <c r="S29" s="60">
        <f ca="1">AVERAGE(OFFSET($R$3,0,0,'Données projet'!$E$9+1,1))-AVERAGE(OFFSET($H$3,0,0,'Données projet'!$E$9+1,1))</f>
        <v>475.47920969424894</v>
      </c>
      <c r="T29" s="60">
        <f t="shared" si="34"/>
        <v>271.73544012419364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13.664102564102569</v>
      </c>
      <c r="AI29" s="14">
        <f>IF('Données projet'!$A$62&gt;35,AI28+AH29-AQ28,IF(A29&lt;'Données projet'!$A$62,$AF$205^A29,IF(A29='Données projet'!$A$62,'Données projet'!$B$62,AI28+AH29-AQ28)))</f>
        <v>127.05128205128204</v>
      </c>
      <c r="AJ29" s="14">
        <f>AI29*VLOOKUP('Données projet'!$B$10,Paramètres!$A$1:$I$89,3,0)*VLOOKUP('Données projet'!$B$10,Paramètres!$A$1:$I$89,5,0)</f>
        <v>75.976666666666659</v>
      </c>
      <c r="AK29" s="14">
        <f t="shared" si="35"/>
        <v>21.150523503463145</v>
      </c>
      <c r="AL29" s="22">
        <f t="shared" si="4"/>
        <v>169.16318954630938</v>
      </c>
      <c r="AM29" s="60">
        <f t="shared" si="5"/>
        <v>457.60763399075381</v>
      </c>
      <c r="AN29" s="60">
        <f ca="1">AVERAGE(OFFSET($AM$3,0,0,'Données projet'!$E$10+1,1))-AVERAGE(OFFSET($H$3,0,0,'Données projet'!$E$10+1,1))</f>
        <v>289.24721145176682</v>
      </c>
      <c r="AO29" s="60">
        <f t="shared" si="36"/>
        <v>229.06617320689003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4.4641371968799124</v>
      </c>
      <c r="AX29" s="23">
        <f t="shared" si="6"/>
        <v>4.4641371968799124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9.2061538461538444</v>
      </c>
      <c r="BD29" s="13">
        <f>IF('Données projet'!$A$88&gt;35,BD28+BC29-BL28,IF(A29&lt;'Données projet'!$A$88,$BA$205^A29,IF(A29='Données projet'!$A$88,'Données projet'!$B$88,BD28+BC29-BL28)))</f>
        <v>99.429230769230784</v>
      </c>
      <c r="BE29" s="14">
        <f>BD29*VLOOKUP('Données projet'!$B$11,Paramètres!$A$1:$I$89,3,0)*VLOOKUP('Données projet'!$B$11,Paramètres!$A$1:$I$89,5,0)</f>
        <v>59.458680000000015</v>
      </c>
      <c r="BF29" s="14">
        <f t="shared" si="37"/>
        <v>17.03133422624343</v>
      </c>
      <c r="BG29" s="22">
        <f t="shared" si="7"/>
        <v>133.22010811070734</v>
      </c>
      <c r="BH29" s="60">
        <f t="shared" si="8"/>
        <v>421.66455255515177</v>
      </c>
      <c r="BI29" s="60">
        <f ca="1">AVERAGE(OFFSET($BH$3,0,0,'Données projet'!$E$11+1,1))-AVERAGE(OFFSET($H$3,0,0,'Données projet'!$E$11+1,1))</f>
        <v>287.91374663515506</v>
      </c>
      <c r="BJ29" s="60">
        <f t="shared" si="38"/>
        <v>217.76240797006147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7</v>
      </c>
      <c r="BY29" s="13">
        <f>IF('Données projet'!$A$114&gt;35,BY28+BX29-CG28,IF(A29&lt;'Données projet'!$A$114,$BV$205^A29,IF(A29='Données projet'!$A$114,'Données projet'!$B$114,BY28+BX29-CG28)))</f>
        <v>77</v>
      </c>
      <c r="BZ29" s="14">
        <f>BY29*VLOOKUP('Données projet'!$B$12,Paramètres!$A$1:$I$89,3,0)*VLOOKUP('Données projet'!$B$12,Paramètres!$A$1:$I$89,5,0)</f>
        <v>69.669600000000003</v>
      </c>
      <c r="CA29" s="14">
        <f t="shared" si="39"/>
        <v>19.591385027476957</v>
      </c>
      <c r="CB29" s="22">
        <f t="shared" si="10"/>
        <v>155.46288225618903</v>
      </c>
      <c r="CC29" s="60">
        <f t="shared" si="11"/>
        <v>443.90732670063346</v>
      </c>
      <c r="CD29" s="60">
        <f ca="1">AVERAGE(OFFSET($CC$3,0,0,'Données projet'!$E$12+1,1))-AVERAGE(OFFSET($H$3,0,0,'Données projet'!$E$12+1,1))</f>
        <v>428.8489304403459</v>
      </c>
      <c r="CE29" s="60">
        <f t="shared" si="40"/>
        <v>247.01165577562966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4.9084615384615384</v>
      </c>
      <c r="CT29" s="13">
        <f>IF('Données projet'!$A$140&gt;35,CT28+CS29-DB28,IF(A29&lt;'Données projet'!$A$140,$CQ$205^A29,IF(A29='Données projet'!$A$140,'Données projet'!$B$140,CT28+CS29-DB28)))</f>
        <v>75.681737511137769</v>
      </c>
      <c r="CU29" s="18">
        <f>CT29*VLOOKUP('Données projet'!$B$13,Paramètres!$A$1:$I$89,3,0)*VLOOKUP('Données projet'!$B$13,Paramètres!$A$1:$I$89,5,0)</f>
        <v>35.419053155212474</v>
      </c>
      <c r="CV29" s="14">
        <f t="shared" si="41"/>
        <v>10.776006170294048</v>
      </c>
      <c r="CW29" s="22">
        <f t="shared" si="13"/>
        <v>80.456394991923858</v>
      </c>
      <c r="CX29" s="60">
        <f t="shared" si="14"/>
        <v>368.9008394363683</v>
      </c>
      <c r="CY29" s="60">
        <f ca="1">AVERAGE(OFFSET($CX$3,0,0,'Données projet'!$E$13+1,1))-AVERAGE(OFFSET($H$3,0,0,'Données projet'!$E$13+1,1))</f>
        <v>284.88646502866419</v>
      </c>
      <c r="CZ29" s="60">
        <f t="shared" si="42"/>
        <v>190.4880882944471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77</v>
      </c>
      <c r="DP29" s="18">
        <f>DO29*VLOOKUP('Données projet'!$B$14,Paramètres!$A$1:$I$89,3,0)*VLOOKUP('Données projet'!$B$14,Paramètres!$A$1:$I$89,5,0)</f>
        <v>82.882799999999989</v>
      </c>
      <c r="DQ29" s="14">
        <f t="shared" si="43"/>
        <v>22.840584911380041</v>
      </c>
      <c r="DR29" s="22">
        <f t="shared" si="16"/>
        <v>184.1348953873202</v>
      </c>
      <c r="DS29" s="60">
        <f t="shared" si="17"/>
        <v>472.57933983176463</v>
      </c>
      <c r="DT29" s="60">
        <f ca="1">AVERAGE(OFFSET($DS$3,0,0,'Données projet'!$E$14+1,1))-AVERAGE(OFFSET($H$3,0,0,'Données projet'!$E$14+1,1))</f>
        <v>502.07782026233912</v>
      </c>
      <c r="DU29" s="60">
        <f t="shared" si="44"/>
        <v>285.83623046025156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12</v>
      </c>
      <c r="EJ29" s="13">
        <f>IF('Données projet'!$A$192&gt;35,EJ28+EI29-ER28,IF(A29&lt;'Données projet'!$A$192,$EG$205^A29,IF(A29='Données projet'!$A$192,'Données projet'!$B$192,EJ28+EI29-ER28)))</f>
        <v>126.99999999999996</v>
      </c>
      <c r="EK29" s="18">
        <f>EJ29*VLOOKUP('Données projet'!$B$15,Paramètres!$A$1:$I$89,3,0)*VLOOKUP('Données projet'!$B$15,Paramètres!$A$1:$I$89,5,0)</f>
        <v>110.94719999999997</v>
      </c>
      <c r="EL29" s="14">
        <f t="shared" si="45"/>
        <v>29.554040795615606</v>
      </c>
      <c r="EM29" s="22">
        <f t="shared" si="19"/>
        <v>244.70632771903044</v>
      </c>
      <c r="EN29" s="60">
        <f t="shared" si="20"/>
        <v>533.15077216347493</v>
      </c>
      <c r="EO29" s="60">
        <f ca="1">AVERAGE(OFFSET($EN$3,0,0,'Données projet'!$E$15+1,1))-AVERAGE(OFFSET($H$3,0,0,'Données projet'!$E$15+1,1))</f>
        <v>339.58437495284466</v>
      </c>
      <c r="EP29" s="60">
        <f t="shared" si="46"/>
        <v>371.26234252426531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</v>
      </c>
      <c r="FE29" s="13">
        <f>IF('Données projet'!$A$218&gt;35,FE28+FD29-FM28,IF(A29&lt;'Données projet'!$A$218,$FB$205^A29,IF(A29='Données projet'!$A$218,'Données projet'!$B$218,FE28+FD29-FM28)))</f>
        <v>77</v>
      </c>
      <c r="FF29" s="18">
        <f>FE29*VLOOKUP('Données projet'!$B$16,Paramètres!$A$1:$I$89,3,0)*VLOOKUP('Données projet'!$B$16,Paramètres!$A$1:$I$89,5,0)</f>
        <v>74.474400000000003</v>
      </c>
      <c r="FG29" s="14">
        <f t="shared" si="47"/>
        <v>20.780570274034375</v>
      </c>
      <c r="FH29" s="22">
        <f t="shared" si="22"/>
        <v>165.90240656060988</v>
      </c>
      <c r="FI29" s="60">
        <f t="shared" si="23"/>
        <v>454.3468510050543</v>
      </c>
      <c r="FJ29" s="60">
        <f ca="1">AVERAGE(OFFSET($FI$3,0,0,'Données projet'!$E$16+1,1))-AVERAGE(OFFSET($H$3,0,0,'Données projet'!$E$16+1,1))</f>
        <v>455.50822833641354</v>
      </c>
      <c r="FK29" s="60">
        <f t="shared" si="48"/>
        <v>261.14722581688039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85.176000000000002</v>
      </c>
      <c r="P30" s="14">
        <f t="shared" si="33"/>
        <v>23.398088487656441</v>
      </c>
      <c r="Q30" s="22">
        <f t="shared" si="2"/>
        <v>189.09987078266829</v>
      </c>
      <c r="R30" s="60">
        <f t="shared" si="0"/>
        <v>478.76653744933498</v>
      </c>
      <c r="S30" s="60">
        <f ca="1">AVERAGE(OFFSET($R$3,0,0,'Données projet'!$E$9+1,1))-AVERAGE(OFFSET($H$3,0,0,'Données projet'!$E$9+1,1))</f>
        <v>475.47920969424894</v>
      </c>
      <c r="T30" s="60">
        <f t="shared" si="34"/>
        <v>271.73544012419364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>
        <f>VLOOKUP(A30,'Données projet'!$A$61:$I$81,2,0)</f>
        <v>140.71538461538461</v>
      </c>
      <c r="AG30" s="13">
        <f>VLOOKUP(A30,'Données projet'!$A$61:$I$81,9,0)</f>
        <v>13.664102564102569</v>
      </c>
      <c r="AH30" s="13">
        <f t="array" ref="AH30">INDEX(AG:AG,MIN(IF(ISNUMBER(AG30:AG226),ROW(AG30:AG226),"")))</f>
        <v>13.664102564102569</v>
      </c>
      <c r="AI30" s="14">
        <f>IF('Données projet'!$A$62&gt;35,AI29+AH30-AQ29,IF(A30&lt;'Données projet'!$A$62,$AF$205^A30,IF(A30='Données projet'!$A$62,'Données projet'!$B$62,AI29+AH30-AQ29)))</f>
        <v>140.71538461538461</v>
      </c>
      <c r="AJ30" s="14">
        <f>AI30*VLOOKUP('Données projet'!$B$10,Paramètres!$A$1:$I$89,3,0)*VLOOKUP('Données projet'!$B$10,Paramètres!$A$1:$I$89,5,0)</f>
        <v>84.147799999999989</v>
      </c>
      <c r="AK30" s="14">
        <f t="shared" si="35"/>
        <v>23.148340019013887</v>
      </c>
      <c r="AL30" s="22">
        <f t="shared" si="4"/>
        <v>186.87411053311584</v>
      </c>
      <c r="AM30" s="60">
        <f t="shared" si="5"/>
        <v>476.5407771997825</v>
      </c>
      <c r="AN30" s="60">
        <f ca="1">AVERAGE(OFFSET($AM$3,0,0,'Données projet'!$E$10+1,1))-AVERAGE(OFFSET($H$3,0,0,'Données projet'!$E$10+1,1))</f>
        <v>289.24721145176682</v>
      </c>
      <c r="AO30" s="60">
        <f t="shared" si="36"/>
        <v>229.06617320689003</v>
      </c>
      <c r="AP30" s="16">
        <f>IF(ISNA(VLOOKUP(A30,'Données projet'!$A$61:$I$81,3,0)),0,VLOOKUP(A30,'Données projet'!$A$61:$I$81,3,0))</f>
        <v>2</v>
      </c>
      <c r="AQ30" s="16">
        <f>IF(ISNA(VLOOKUP(A30,'Données projet'!$A$61:$I$81,4,0)),0,VLOOKUP(A30,'Données projet'!$A$61:$I$81,4,0))</f>
        <v>34.646153846153844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9.0000000000000011E-2</v>
      </c>
      <c r="AT30" s="17">
        <f>IF(ISNA(VLOOKUP(A30,'Données projet'!$A$61:$I$81,7,0)),0%,VLOOKUP(A30,'Données projet'!$A$61:$I$81,7,0))</f>
        <v>0.4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2.463846919168271</v>
      </c>
      <c r="AW30" s="23">
        <f>EXP(-LN(2)/2)*AW29+(1-EXP(-LN(2)/2))/(LN(2)/2)*AQ30*AT30*VLOOKUP('Données projet'!$B$10,Paramètres!$A$1:$I$89,3,0)*0.475*44/12</f>
        <v>12.539838337289824</v>
      </c>
      <c r="AX30" s="23">
        <f t="shared" si="6"/>
        <v>15.003685256458095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9.2061538461538444</v>
      </c>
      <c r="BD30" s="13">
        <f>IF('Données projet'!$A$88&gt;35,BD29+BC30-BL29,IF(A30&lt;'Données projet'!$A$88,$BA$205^A30,IF(A30='Données projet'!$A$88,'Données projet'!$B$88,BD29+BC30-BL29)))</f>
        <v>108.63538461538462</v>
      </c>
      <c r="BE30" s="14">
        <f>BD30*VLOOKUP('Données projet'!$B$11,Paramètres!$A$1:$I$89,3,0)*VLOOKUP('Données projet'!$B$11,Paramètres!$A$1:$I$89,5,0)</f>
        <v>64.96396</v>
      </c>
      <c r="BF30" s="14">
        <f t="shared" si="37"/>
        <v>18.417449057593839</v>
      </c>
      <c r="BG30" s="22">
        <f t="shared" si="7"/>
        <v>145.22262077530925</v>
      </c>
      <c r="BH30" s="60">
        <f t="shared" si="8"/>
        <v>434.88928744197597</v>
      </c>
      <c r="BI30" s="60">
        <f ca="1">AVERAGE(OFFSET($BH$3,0,0,'Données projet'!$E$11+1,1))-AVERAGE(OFFSET($H$3,0,0,'Données projet'!$E$11+1,1))</f>
        <v>287.91374663515506</v>
      </c>
      <c r="BJ30" s="60">
        <f t="shared" si="38"/>
        <v>217.76240797006147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7</v>
      </c>
      <c r="BY30" s="13">
        <f>IF('Données projet'!$A$114&gt;35,BY29+BX30-CG29,IF(A30&lt;'Données projet'!$A$114,$BV$205^A30,IF(A30='Données projet'!$A$114,'Données projet'!$B$114,BY29+BX30-CG29)))</f>
        <v>84</v>
      </c>
      <c r="BZ30" s="14">
        <f>BY30*VLOOKUP('Données projet'!$B$12,Paramètres!$A$1:$I$89,3,0)*VLOOKUP('Données projet'!$B$12,Paramètres!$A$1:$I$89,5,0)</f>
        <v>76.003200000000007</v>
      </c>
      <c r="CA30" s="14">
        <f t="shared" si="39"/>
        <v>21.157049992000456</v>
      </c>
      <c r="CB30" s="22">
        <f t="shared" si="10"/>
        <v>169.22076873606747</v>
      </c>
      <c r="CC30" s="60">
        <f t="shared" si="11"/>
        <v>458.88743540273413</v>
      </c>
      <c r="CD30" s="60">
        <f ca="1">AVERAGE(OFFSET($CC$3,0,0,'Données projet'!$E$12+1,1))-AVERAGE(OFFSET($H$3,0,0,'Données projet'!$E$12+1,1))</f>
        <v>428.8489304403459</v>
      </c>
      <c r="CE30" s="60">
        <f t="shared" si="40"/>
        <v>247.01165577562966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4.9084615384615384</v>
      </c>
      <c r="CT30" s="13">
        <f>IF('Données projet'!$A$140&gt;35,CT29+CS30-DB29,IF(A30&lt;'Données projet'!$A$140,$CQ$205^A30,IF(A30='Données projet'!$A$140,'Données projet'!$B$140,CT29+CS30-DB29)))</f>
        <v>89.384040457688172</v>
      </c>
      <c r="CU30" s="18">
        <f>CT30*VLOOKUP('Données projet'!$B$13,Paramètres!$A$1:$I$89,3,0)*VLOOKUP('Données projet'!$B$13,Paramètres!$A$1:$I$89,5,0)</f>
        <v>41.831730934198063</v>
      </c>
      <c r="CV30" s="14">
        <f t="shared" si="41"/>
        <v>12.482874982828019</v>
      </c>
      <c r="CW30" s="22">
        <f t="shared" si="13"/>
        <v>94.597938638820423</v>
      </c>
      <c r="CX30" s="60">
        <f t="shared" si="14"/>
        <v>384.26460530548712</v>
      </c>
      <c r="CY30" s="60">
        <f ca="1">AVERAGE(OFFSET($CX$3,0,0,'Données projet'!$E$13+1,1))-AVERAGE(OFFSET($H$3,0,0,'Données projet'!$E$13+1,1))</f>
        <v>284.88646502866419</v>
      </c>
      <c r="CZ30" s="60">
        <f t="shared" si="42"/>
        <v>190.4880882944471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84</v>
      </c>
      <c r="DP30" s="18">
        <f>DO30*VLOOKUP('Données projet'!$B$14,Paramètres!$A$1:$I$89,3,0)*VLOOKUP('Données projet'!$B$14,Paramètres!$A$1:$I$89,5,0)</f>
        <v>90.417599999999993</v>
      </c>
      <c r="DQ30" s="14">
        <f t="shared" si="43"/>
        <v>24.665912907068826</v>
      </c>
      <c r="DR30" s="22">
        <f t="shared" si="16"/>
        <v>200.43711831314488</v>
      </c>
      <c r="DS30" s="60">
        <f t="shared" si="17"/>
        <v>490.10378497981156</v>
      </c>
      <c r="DT30" s="60">
        <f ca="1">AVERAGE(OFFSET($DS$3,0,0,'Données projet'!$E$14+1,1))-AVERAGE(OFFSET($H$3,0,0,'Données projet'!$E$14+1,1))</f>
        <v>502.07782026233912</v>
      </c>
      <c r="DU30" s="60">
        <f t="shared" si="44"/>
        <v>285.83623046025156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12</v>
      </c>
      <c r="EJ30" s="13">
        <f>IF('Données projet'!$A$192&gt;35,EJ29+EI30-ER29,IF(A30&lt;'Données projet'!$A$192,$EG$205^A30,IF(A30='Données projet'!$A$192,'Données projet'!$B$192,EJ29+EI30-ER29)))</f>
        <v>138.99999999999994</v>
      </c>
      <c r="EK30" s="18">
        <f>EJ30*VLOOKUP('Données projet'!$B$15,Paramètres!$A$1:$I$89,3,0)*VLOOKUP('Données projet'!$B$15,Paramètres!$A$1:$I$89,5,0)</f>
        <v>121.43039999999996</v>
      </c>
      <c r="EL30" s="14">
        <f t="shared" si="45"/>
        <v>32.008386179504456</v>
      </c>
      <c r="EM30" s="22">
        <f t="shared" si="19"/>
        <v>267.23921926263682</v>
      </c>
      <c r="EN30" s="60">
        <f t="shared" si="20"/>
        <v>556.90588592930351</v>
      </c>
      <c r="EO30" s="60">
        <f ca="1">AVERAGE(OFFSET($EN$3,0,0,'Données projet'!$E$15+1,1))-AVERAGE(OFFSET($H$3,0,0,'Données projet'!$E$15+1,1))</f>
        <v>339.58437495284466</v>
      </c>
      <c r="EP30" s="60">
        <f t="shared" si="46"/>
        <v>371.26234252426531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</v>
      </c>
      <c r="FE30" s="13">
        <f>IF('Données projet'!$A$218&gt;35,FE29+FD30-FM29,IF(A30&lt;'Données projet'!$A$218,$FB$205^A30,IF(A30='Données projet'!$A$218,'Données projet'!$B$218,FE29+FD30-FM29)))</f>
        <v>84</v>
      </c>
      <c r="FF30" s="18">
        <f>FE30*VLOOKUP('Données projet'!$B$16,Paramètres!$A$1:$I$89,3,0)*VLOOKUP('Données projet'!$B$16,Paramètres!$A$1:$I$89,5,0)</f>
        <v>81.244799999999998</v>
      </c>
      <c r="FG30" s="14">
        <f t="shared" si="47"/>
        <v>22.441270156928962</v>
      </c>
      <c r="FH30" s="22">
        <f t="shared" si="22"/>
        <v>180.58657218998462</v>
      </c>
      <c r="FI30" s="60">
        <f t="shared" si="23"/>
        <v>470.25323885665131</v>
      </c>
      <c r="FJ30" s="60">
        <f ca="1">AVERAGE(OFFSET($FI$3,0,0,'Données projet'!$E$16+1,1))-AVERAGE(OFFSET($H$3,0,0,'Données projet'!$E$16+1,1))</f>
        <v>455.50822833641354</v>
      </c>
      <c r="FK30" s="60">
        <f t="shared" si="48"/>
        <v>261.14722581688039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92.274000000000001</v>
      </c>
      <c r="P31" s="14">
        <f t="shared" si="33"/>
        <v>25.112860036087575</v>
      </c>
      <c r="Q31" s="22">
        <f t="shared" si="2"/>
        <v>204.4487812295192</v>
      </c>
      <c r="R31" s="60">
        <f t="shared" si="0"/>
        <v>495.33767011840803</v>
      </c>
      <c r="S31" s="60">
        <f ca="1">AVERAGE(OFFSET($R$3,0,0,'Données projet'!$E$9+1,1))-AVERAGE(OFFSET($H$3,0,0,'Données projet'!$E$9+1,1))</f>
        <v>475.47920969424894</v>
      </c>
      <c r="T31" s="60">
        <f t="shared" si="34"/>
        <v>271.73544012419364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12.971794871794875</v>
      </c>
      <c r="AI31" s="14">
        <f>IF('Données projet'!$A$62&gt;35,AI30+AH31-AQ30,IF(A31&lt;'Données projet'!$A$62,$AF$205^A31,IF(A31='Données projet'!$A$62,'Données projet'!$B$62,AI30+AH31-AQ30)))</f>
        <v>119.04102564102564</v>
      </c>
      <c r="AJ31" s="14">
        <f>AI31*VLOOKUP('Données projet'!$B$10,Paramètres!$A$1:$I$89,3,0)*VLOOKUP('Données projet'!$B$10,Paramètres!$A$1:$I$89,5,0)</f>
        <v>71.18653333333333</v>
      </c>
      <c r="AK31" s="14">
        <f t="shared" si="35"/>
        <v>19.967826748678</v>
      </c>
      <c r="AL31" s="22">
        <f t="shared" si="4"/>
        <v>158.76051047616974</v>
      </c>
      <c r="AM31" s="60">
        <f t="shared" si="5"/>
        <v>449.64939936505857</v>
      </c>
      <c r="AN31" s="60">
        <f ca="1">AVERAGE(OFFSET($AM$3,0,0,'Données projet'!$E$10+1,1))-AVERAGE(OFFSET($H$3,0,0,'Données projet'!$E$10+1,1))</f>
        <v>289.24721145176682</v>
      </c>
      <c r="AO31" s="60">
        <f t="shared" si="36"/>
        <v>229.06617320689003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2.3964728955955366</v>
      </c>
      <c r="AW31" s="23">
        <f>EXP(-LN(2)/2)*AW30+(1-EXP(-LN(2)/2))/(LN(2)/2)*AQ31*AT31*VLOOKUP('Données projet'!$B$10,Paramètres!$A$1:$I$89,3,0)*0.475*44/12</f>
        <v>8.8670047232806759</v>
      </c>
      <c r="AX31" s="23">
        <f t="shared" si="6"/>
        <v>11.263477618876212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9.2061538461538444</v>
      </c>
      <c r="BD31" s="13">
        <f>IF('Données projet'!$A$88&gt;35,BD30+BC31-BL30,IF(A31&lt;'Données projet'!$A$88,$BA$205^A31,IF(A31='Données projet'!$A$88,'Données projet'!$B$88,BD30+BC31-BL30)))</f>
        <v>117.84153846153846</v>
      </c>
      <c r="BE31" s="14">
        <f>BD31*VLOOKUP('Données projet'!$B$11,Paramètres!$A$1:$I$89,3,0)*VLOOKUP('Données projet'!$B$11,Paramètres!$A$1:$I$89,5,0)</f>
        <v>70.469239999999999</v>
      </c>
      <c r="BF31" s="14">
        <f t="shared" si="37"/>
        <v>19.789941051979458</v>
      </c>
      <c r="BG31" s="22">
        <f t="shared" si="7"/>
        <v>157.2014069988642</v>
      </c>
      <c r="BH31" s="60">
        <f t="shared" si="8"/>
        <v>448.09029588775309</v>
      </c>
      <c r="BI31" s="60">
        <f ca="1">AVERAGE(OFFSET($BH$3,0,0,'Données projet'!$E$11+1,1))-AVERAGE(OFFSET($H$3,0,0,'Données projet'!$E$11+1,1))</f>
        <v>287.91374663515506</v>
      </c>
      <c r="BJ31" s="60">
        <f t="shared" si="38"/>
        <v>217.76240797006147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7</v>
      </c>
      <c r="BY31" s="13">
        <f>IF('Données projet'!$A$114&gt;35,BY30+BX31-CG30,IF(A31&lt;'Données projet'!$A$114,$BV$205^A31,IF(A31='Données projet'!$A$114,'Données projet'!$B$114,BY30+BX31-CG30)))</f>
        <v>91</v>
      </c>
      <c r="BZ31" s="14">
        <f>BY31*VLOOKUP('Données projet'!$B$12,Paramètres!$A$1:$I$89,3,0)*VLOOKUP('Données projet'!$B$12,Paramètres!$A$1:$I$89,5,0)</f>
        <v>82.336799999999997</v>
      </c>
      <c r="CA31" s="14">
        <f t="shared" si="39"/>
        <v>22.707582950885364</v>
      </c>
      <c r="CB31" s="22">
        <f t="shared" si="10"/>
        <v>182.95230030612535</v>
      </c>
      <c r="CC31" s="60">
        <f t="shared" si="11"/>
        <v>473.84118919501418</v>
      </c>
      <c r="CD31" s="60">
        <f ca="1">AVERAGE(OFFSET($CC$3,0,0,'Données projet'!$E$12+1,1))-AVERAGE(OFFSET($H$3,0,0,'Données projet'!$E$12+1,1))</f>
        <v>428.8489304403459</v>
      </c>
      <c r="CE31" s="60">
        <f t="shared" si="40"/>
        <v>247.01165577562966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4.9084615384615384</v>
      </c>
      <c r="CT31" s="13">
        <f>IF('Données projet'!$A$140&gt;35,CT30+CS31-DB30,IF(A31&lt;'Données projet'!$A$140,$CQ$205^A31,IF(A31='Données projet'!$A$140,'Données projet'!$B$140,CT30+CS31-DB30)))</f>
        <v>105.56716787013318</v>
      </c>
      <c r="CU31" s="18">
        <f>CT31*VLOOKUP('Données projet'!$B$13,Paramètres!$A$1:$I$89,3,0)*VLOOKUP('Données projet'!$B$13,Paramètres!$A$1:$I$89,5,0)</f>
        <v>49.405434563222322</v>
      </c>
      <c r="CV31" s="14">
        <f t="shared" si="41"/>
        <v>14.46010380603388</v>
      </c>
      <c r="CW31" s="22">
        <f t="shared" si="13"/>
        <v>111.23247932645454</v>
      </c>
      <c r="CX31" s="60">
        <f t="shared" si="14"/>
        <v>402.12136821534341</v>
      </c>
      <c r="CY31" s="60">
        <f ca="1">AVERAGE(OFFSET($CX$3,0,0,'Données projet'!$E$13+1,1))-AVERAGE(OFFSET($H$3,0,0,'Données projet'!$E$13+1,1))</f>
        <v>284.88646502866419</v>
      </c>
      <c r="CZ31" s="60">
        <f t="shared" si="42"/>
        <v>190.4880882944471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91</v>
      </c>
      <c r="DP31" s="18">
        <f>DO31*VLOOKUP('Données projet'!$B$14,Paramètres!$A$1:$I$89,3,0)*VLOOKUP('Données projet'!$B$14,Paramètres!$A$1:$I$89,5,0)</f>
        <v>97.952399999999997</v>
      </c>
      <c r="DQ31" s="14">
        <f t="shared" si="43"/>
        <v>26.473599278177087</v>
      </c>
      <c r="DR31" s="22">
        <f t="shared" si="16"/>
        <v>216.70861540949173</v>
      </c>
      <c r="DS31" s="60">
        <f t="shared" si="17"/>
        <v>507.59750429838061</v>
      </c>
      <c r="DT31" s="60">
        <f ca="1">AVERAGE(OFFSET($DS$3,0,0,'Données projet'!$E$14+1,1))-AVERAGE(OFFSET($H$3,0,0,'Données projet'!$E$14+1,1))</f>
        <v>502.07782026233912</v>
      </c>
      <c r="DU31" s="60">
        <f t="shared" si="44"/>
        <v>285.83623046025156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12</v>
      </c>
      <c r="EJ31" s="13">
        <f>IF('Données projet'!$A$192&gt;35,EJ30+EI31-ER30,IF(A31&lt;'Données projet'!$A$192,$EG$205^A31,IF(A31='Données projet'!$A$192,'Données projet'!$B$192,EJ30+EI31-ER30)))</f>
        <v>150.99999999999994</v>
      </c>
      <c r="EK31" s="18">
        <f>EJ31*VLOOKUP('Données projet'!$B$15,Paramètres!$A$1:$I$89,3,0)*VLOOKUP('Données projet'!$B$15,Paramètres!$A$1:$I$89,5,0)</f>
        <v>131.91359999999997</v>
      </c>
      <c r="EL31" s="14">
        <f t="shared" si="45"/>
        <v>34.438159352115974</v>
      </c>
      <c r="EM31" s="22">
        <f t="shared" si="19"/>
        <v>289.72931420493524</v>
      </c>
      <c r="EN31" s="60">
        <f t="shared" si="20"/>
        <v>580.61820309382415</v>
      </c>
      <c r="EO31" s="60">
        <f ca="1">AVERAGE(OFFSET($EN$3,0,0,'Données projet'!$E$15+1,1))-AVERAGE(OFFSET($H$3,0,0,'Données projet'!$E$15+1,1))</f>
        <v>339.58437495284466</v>
      </c>
      <c r="EP31" s="60">
        <f t="shared" si="46"/>
        <v>371.26234252426531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</v>
      </c>
      <c r="FE31" s="13">
        <f>IF('Données projet'!$A$218&gt;35,FE30+FD31-FM30,IF(A31&lt;'Données projet'!$A$218,$FB$205^A31,IF(A31='Données projet'!$A$218,'Données projet'!$B$218,FE30+FD31-FM30)))</f>
        <v>91</v>
      </c>
      <c r="FF31" s="18">
        <f>FE31*VLOOKUP('Données projet'!$B$16,Paramètres!$A$1:$I$89,3,0)*VLOOKUP('Données projet'!$B$16,Paramètres!$A$1:$I$89,5,0)</f>
        <v>88.015200000000007</v>
      </c>
      <c r="FG31" s="14">
        <f t="shared" si="47"/>
        <v>24.085919530575829</v>
      </c>
      <c r="FH31" s="22">
        <f t="shared" si="22"/>
        <v>195.24278318241954</v>
      </c>
      <c r="FI31" s="60">
        <f t="shared" si="23"/>
        <v>486.1316720713084</v>
      </c>
      <c r="FJ31" s="60">
        <f ca="1">AVERAGE(OFFSET($FI$3,0,0,'Données projet'!$E$16+1,1))-AVERAGE(OFFSET($H$3,0,0,'Données projet'!$E$16+1,1))</f>
        <v>455.50822833641354</v>
      </c>
      <c r="FK31" s="60">
        <f t="shared" si="48"/>
        <v>261.14722581688039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99.372000000000014</v>
      </c>
      <c r="P32" s="14">
        <f t="shared" si="33"/>
        <v>26.812330397327713</v>
      </c>
      <c r="Q32" s="22">
        <f t="shared" si="2"/>
        <v>219.7710421086791</v>
      </c>
      <c r="R32" s="60">
        <f t="shared" si="0"/>
        <v>511.88215321979021</v>
      </c>
      <c r="S32" s="60">
        <f ca="1">AVERAGE(OFFSET($R$3,0,0,'Données projet'!$E$9+1,1))-AVERAGE(OFFSET($H$3,0,0,'Données projet'!$E$9+1,1))</f>
        <v>475.47920969424894</v>
      </c>
      <c r="T32" s="60">
        <f t="shared" si="34"/>
        <v>271.73544012419364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12.971794871794875</v>
      </c>
      <c r="AI32" s="14">
        <f>IF('Données projet'!$A$62&gt;35,AI31+AH32-AQ31,IF(A32&lt;'Données projet'!$A$62,$AF$205^A32,IF(A32='Données projet'!$A$62,'Données projet'!$B$62,AI31+AH32-AQ31)))</f>
        <v>132.01282051282053</v>
      </c>
      <c r="AJ32" s="14">
        <f>AI32*VLOOKUP('Données projet'!$B$10,Paramètres!$A$1:$I$89,3,0)*VLOOKUP('Données projet'!$B$10,Paramètres!$A$1:$I$89,5,0)</f>
        <v>78.943666666666687</v>
      </c>
      <c r="AK32" s="14">
        <f t="shared" si="35"/>
        <v>21.878705672057283</v>
      </c>
      <c r="AL32" s="22">
        <f t="shared" si="4"/>
        <v>175.59896515661092</v>
      </c>
      <c r="AM32" s="60">
        <f t="shared" si="5"/>
        <v>467.71007626772206</v>
      </c>
      <c r="AN32" s="60">
        <f ca="1">AVERAGE(OFFSET($AM$3,0,0,'Données projet'!$E$10+1,1))-AVERAGE(OFFSET($H$3,0,0,'Données projet'!$E$10+1,1))</f>
        <v>289.24721145176682</v>
      </c>
      <c r="AO32" s="60">
        <f t="shared" si="36"/>
        <v>229.06617320689003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2.3309412182404441</v>
      </c>
      <c r="AW32" s="23">
        <f>EXP(-LN(2)/2)*AW31+(1-EXP(-LN(2)/2))/(LN(2)/2)*AQ32*AT32*VLOOKUP('Données projet'!$B$10,Paramètres!$A$1:$I$89,3,0)*0.475*44/12</f>
        <v>6.2699191686449129</v>
      </c>
      <c r="AX32" s="23">
        <f t="shared" si="6"/>
        <v>8.6008603868853566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9.2061538461538444</v>
      </c>
      <c r="BD32" s="13">
        <f>IF('Données projet'!$A$88&gt;35,BD31+BC32-BL31,IF(A32&lt;'Données projet'!$A$88,$BA$205^A32,IF(A32='Données projet'!$A$88,'Données projet'!$B$88,BD31+BC32-BL31)))</f>
        <v>127.0476923076923</v>
      </c>
      <c r="BE32" s="14">
        <f>BD32*VLOOKUP('Données projet'!$B$11,Paramètres!$A$1:$I$89,3,0)*VLOOKUP('Données projet'!$B$11,Paramètres!$A$1:$I$89,5,0)</f>
        <v>75.974519999999998</v>
      </c>
      <c r="BF32" s="14">
        <f t="shared" si="37"/>
        <v>21.149995469424425</v>
      </c>
      <c r="BG32" s="22">
        <f t="shared" si="7"/>
        <v>169.15853110924755</v>
      </c>
      <c r="BH32" s="60">
        <f t="shared" si="8"/>
        <v>461.26964222035872</v>
      </c>
      <c r="BI32" s="60">
        <f ca="1">AVERAGE(OFFSET($BH$3,0,0,'Données projet'!$E$11+1,1))-AVERAGE(OFFSET($H$3,0,0,'Données projet'!$E$11+1,1))</f>
        <v>287.91374663515506</v>
      </c>
      <c r="BJ32" s="60">
        <f t="shared" si="38"/>
        <v>217.76240797006147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7</v>
      </c>
      <c r="BY32" s="13">
        <f>IF('Données projet'!$A$114&gt;35,BY31+BX32-CG31,IF(A32&lt;'Données projet'!$A$114,$BV$205^A32,IF(A32='Données projet'!$A$114,'Données projet'!$B$114,BY31+BX32-CG31)))</f>
        <v>98</v>
      </c>
      <c r="BZ32" s="14">
        <f>BY32*VLOOKUP('Données projet'!$B$12,Paramètres!$A$1:$I$89,3,0)*VLOOKUP('Données projet'!$B$12,Paramètres!$A$1:$I$89,5,0)</f>
        <v>88.670400000000001</v>
      </c>
      <c r="CA32" s="14">
        <f t="shared" si="39"/>
        <v>24.244280250395512</v>
      </c>
      <c r="CB32" s="22">
        <f t="shared" si="10"/>
        <v>196.65973476943884</v>
      </c>
      <c r="CC32" s="60">
        <f t="shared" si="11"/>
        <v>488.77084588054998</v>
      </c>
      <c r="CD32" s="60">
        <f ca="1">AVERAGE(OFFSET($CC$3,0,0,'Données projet'!$E$12+1,1))-AVERAGE(OFFSET($H$3,0,0,'Données projet'!$E$12+1,1))</f>
        <v>428.8489304403459</v>
      </c>
      <c r="CE32" s="60">
        <f t="shared" si="40"/>
        <v>247.01165577562966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4.9084615384615384</v>
      </c>
      <c r="CT32" s="13">
        <f>IF('Données projet'!$A$140&gt;35,CT31+CS32-DB31,IF(A32&lt;'Données projet'!$A$140,$CQ$205^A32,IF(A32='Données projet'!$A$140,'Données projet'!$B$140,CT31+CS32-DB31)))</f>
        <v>124.68027709483918</v>
      </c>
      <c r="CU32" s="18">
        <f>CT32*VLOOKUP('Données projet'!$B$13,Paramètres!$A$1:$I$89,3,0)*VLOOKUP('Données projet'!$B$13,Paramètres!$A$1:$I$89,5,0)</f>
        <v>58.350369680384738</v>
      </c>
      <c r="CV32" s="14">
        <f t="shared" si="41"/>
        <v>16.750516396977062</v>
      </c>
      <c r="CW32" s="22">
        <f t="shared" si="13"/>
        <v>130.80070991807179</v>
      </c>
      <c r="CX32" s="60">
        <f t="shared" si="14"/>
        <v>422.91182102918293</v>
      </c>
      <c r="CY32" s="60">
        <f ca="1">AVERAGE(OFFSET($CX$3,0,0,'Données projet'!$E$13+1,1))-AVERAGE(OFFSET($H$3,0,0,'Données projet'!$E$13+1,1))</f>
        <v>284.88646502866419</v>
      </c>
      <c r="CZ32" s="60">
        <f t="shared" si="42"/>
        <v>190.4880882944471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98</v>
      </c>
      <c r="DP32" s="18">
        <f>DO32*VLOOKUP('Données projet'!$B$14,Paramètres!$A$1:$I$89,3,0)*VLOOKUP('Données projet'!$B$14,Paramètres!$A$1:$I$89,5,0)</f>
        <v>105.48719999999999</v>
      </c>
      <c r="DQ32" s="14">
        <f t="shared" si="43"/>
        <v>28.265155367923839</v>
      </c>
      <c r="DR32" s="22">
        <f t="shared" si="16"/>
        <v>232.95201893246733</v>
      </c>
      <c r="DS32" s="60">
        <f t="shared" si="17"/>
        <v>525.06313004357844</v>
      </c>
      <c r="DT32" s="60">
        <f ca="1">AVERAGE(OFFSET($DS$3,0,0,'Données projet'!$E$14+1,1))-AVERAGE(OFFSET($H$3,0,0,'Données projet'!$E$14+1,1))</f>
        <v>502.07782026233912</v>
      </c>
      <c r="DU32" s="60">
        <f t="shared" si="44"/>
        <v>285.83623046025156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12</v>
      </c>
      <c r="EJ32" s="13">
        <f>IF('Données projet'!$A$192&gt;35,EJ31+EI32-ER31,IF(A32&lt;'Données projet'!$A$192,$EG$205^A32,IF(A32='Données projet'!$A$192,'Données projet'!$B$192,EJ31+EI32-ER31)))</f>
        <v>162.99999999999994</v>
      </c>
      <c r="EK32" s="18">
        <f>EJ32*VLOOKUP('Données projet'!$B$15,Paramètres!$A$1:$I$89,3,0)*VLOOKUP('Données projet'!$B$15,Paramètres!$A$1:$I$89,5,0)</f>
        <v>142.39679999999996</v>
      </c>
      <c r="EL32" s="14">
        <f t="shared" si="45"/>
        <v>36.84553508447695</v>
      </c>
      <c r="EM32" s="22">
        <f t="shared" si="19"/>
        <v>312.18040027213061</v>
      </c>
      <c r="EN32" s="60">
        <f t="shared" si="20"/>
        <v>604.29151138324175</v>
      </c>
      <c r="EO32" s="60">
        <f ca="1">AVERAGE(OFFSET($EN$3,0,0,'Données projet'!$E$15+1,1))-AVERAGE(OFFSET($H$3,0,0,'Données projet'!$E$15+1,1))</f>
        <v>339.58437495284466</v>
      </c>
      <c r="EP32" s="60">
        <f t="shared" si="46"/>
        <v>371.26234252426531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</v>
      </c>
      <c r="FE32" s="13">
        <f>IF('Données projet'!$A$218&gt;35,FE31+FD32-FM31,IF(A32&lt;'Données projet'!$A$218,$FB$205^A32,IF(A32='Données projet'!$A$218,'Données projet'!$B$218,FE31+FD32-FM31)))</f>
        <v>98</v>
      </c>
      <c r="FF32" s="18">
        <f>FE32*VLOOKUP('Données projet'!$B$16,Paramètres!$A$1:$I$89,3,0)*VLOOKUP('Données projet'!$B$16,Paramètres!$A$1:$I$89,5,0)</f>
        <v>94.785600000000002</v>
      </c>
      <c r="FG32" s="14">
        <f t="shared" si="47"/>
        <v>25.715893428674526</v>
      </c>
      <c r="FH32" s="22">
        <f t="shared" si="22"/>
        <v>209.87343438827483</v>
      </c>
      <c r="FI32" s="60">
        <f t="shared" si="23"/>
        <v>501.98454549938594</v>
      </c>
      <c r="FJ32" s="60">
        <f ca="1">AVERAGE(OFFSET($FI$3,0,0,'Données projet'!$E$16+1,1))-AVERAGE(OFFSET($H$3,0,0,'Données projet'!$E$16+1,1))</f>
        <v>455.50822833641354</v>
      </c>
      <c r="FK32" s="60">
        <f t="shared" si="48"/>
        <v>261.14722581688039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106.47</v>
      </c>
      <c r="P33" s="14">
        <f t="shared" si="33"/>
        <v>28.49771681771891</v>
      </c>
      <c r="Q33" s="22">
        <f t="shared" si="2"/>
        <v>235.06877345752704</v>
      </c>
      <c r="R33" s="60">
        <f t="shared" si="0"/>
        <v>528.40210679086033</v>
      </c>
      <c r="S33" s="60">
        <f ca="1">AVERAGE(OFFSET($R$3,0,0,'Données projet'!$E$9+1,1))-AVERAGE(OFFSET($H$3,0,0,'Données projet'!$E$9+1,1))</f>
        <v>475.47920969424894</v>
      </c>
      <c r="T33" s="60">
        <f t="shared" si="34"/>
        <v>271.73544012419364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144.98461538461538</v>
      </c>
      <c r="AG33" s="13">
        <f>VLOOKUP(A33,'Données projet'!$A$61:$I$81,9,0)</f>
        <v>12.971794871794875</v>
      </c>
      <c r="AH33" s="13">
        <f t="array" ref="AH33">INDEX(AG:AG,MIN(IF(ISNUMBER(AG33:AG229),ROW(AG33:AG229),"")))</f>
        <v>12.971794871794875</v>
      </c>
      <c r="AI33" s="14">
        <f>IF('Données projet'!$A$62&gt;35,AI32+AH33-AQ32,IF(A33&lt;'Données projet'!$A$62,$AF$205^A33,IF(A33='Données projet'!$A$62,'Données projet'!$B$62,AI32+AH33-AQ32)))</f>
        <v>144.98461538461541</v>
      </c>
      <c r="AJ33" s="14">
        <f>AI33*VLOOKUP('Données projet'!$B$10,Paramètres!$A$1:$I$89,3,0)*VLOOKUP('Données projet'!$B$10,Paramètres!$A$1:$I$89,5,0)</f>
        <v>86.700800000000029</v>
      </c>
      <c r="AK33" s="14">
        <f t="shared" si="35"/>
        <v>23.767816195343574</v>
      </c>
      <c r="AL33" s="22">
        <f t="shared" si="4"/>
        <v>192.39950654022343</v>
      </c>
      <c r="AM33" s="60">
        <f t="shared" si="5"/>
        <v>485.73283987355671</v>
      </c>
      <c r="AN33" s="60">
        <f ca="1">AVERAGE(OFFSET($AM$3,0,0,'Données projet'!$E$10+1,1))-AVERAGE(OFFSET($H$3,0,0,'Données projet'!$E$10+1,1))</f>
        <v>289.24721145176682</v>
      </c>
      <c r="AO33" s="60">
        <f t="shared" si="36"/>
        <v>229.06617320689003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2.267201508048788</v>
      </c>
      <c r="AW33" s="23">
        <f>EXP(-LN(2)/2)*AW32+(1-EXP(-LN(2)/2))/(LN(2)/2)*AQ33*AT33*VLOOKUP('Données projet'!$B$10,Paramètres!$A$1:$I$89,3,0)*0.475*44/12</f>
        <v>4.4335023616403388</v>
      </c>
      <c r="AX33" s="23">
        <f t="shared" si="6"/>
        <v>6.7007038696891268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136.25384615384615</v>
      </c>
      <c r="BB33" s="13">
        <f>VLOOKUP(A33,'Données projet'!$A$87:$I$107,9,0)</f>
        <v>9.2061538461538444</v>
      </c>
      <c r="BC33" s="13">
        <f t="array" ref="BC33">INDEX(BB:BB,MIN(IF(ISNUMBER(BB33:BB229),ROW(BB33:BB229),"")))</f>
        <v>9.2061538461538444</v>
      </c>
      <c r="BD33" s="13">
        <f>IF('Données projet'!$A$88&gt;35,BD32+BC33-BL32,IF(A33&lt;'Données projet'!$A$88,$BA$205^A33,IF(A33='Données projet'!$A$88,'Données projet'!$B$88,BD32+BC33-BL32)))</f>
        <v>136.25384615384615</v>
      </c>
      <c r="BE33" s="14">
        <f>BD33*VLOOKUP('Données projet'!$B$11,Paramètres!$A$1:$I$89,3,0)*VLOOKUP('Données projet'!$B$11,Paramètres!$A$1:$I$89,5,0)</f>
        <v>81.479799999999997</v>
      </c>
      <c r="BF33" s="14">
        <f t="shared" si="37"/>
        <v>22.498616059365453</v>
      </c>
      <c r="BG33" s="22">
        <f t="shared" si="7"/>
        <v>181.09574130339482</v>
      </c>
      <c r="BH33" s="60">
        <f t="shared" si="8"/>
        <v>474.42907463672816</v>
      </c>
      <c r="BI33" s="60">
        <f ca="1">AVERAGE(OFFSET($BH$3,0,0,'Données projet'!$E$11+1,1))-AVERAGE(OFFSET($H$3,0,0,'Données projet'!$E$11+1,1))</f>
        <v>287.91374663515506</v>
      </c>
      <c r="BJ33" s="60">
        <f t="shared" si="38"/>
        <v>217.76240797006147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105</v>
      </c>
      <c r="BW33" s="13">
        <f>VLOOKUP(A33,'Données projet'!$A$113:$I$133,9,0)</f>
        <v>7</v>
      </c>
      <c r="BX33" s="13">
        <f t="array" ref="BX33">INDEX(BW:BW,MIN(IF(ISNUMBER(BW33:BW229),ROW(BW33:BW229),"")))</f>
        <v>7</v>
      </c>
      <c r="BY33" s="13">
        <f>IF('Données projet'!$A$114&gt;35,BY32+BX33-CG32,IF(A33&lt;'Données projet'!$A$114,$BV$205^A33,IF(A33='Données projet'!$A$114,'Données projet'!$B$114,BY32+BX33-CG32)))</f>
        <v>105</v>
      </c>
      <c r="BZ33" s="14">
        <f>BY33*VLOOKUP('Données projet'!$B$12,Paramètres!$A$1:$I$89,3,0)*VLOOKUP('Données projet'!$B$12,Paramètres!$A$1:$I$89,5,0)</f>
        <v>95.004000000000005</v>
      </c>
      <c r="CA33" s="14">
        <f t="shared" si="39"/>
        <v>25.768242550600785</v>
      </c>
      <c r="CB33" s="22">
        <f t="shared" si="10"/>
        <v>210.34498910896306</v>
      </c>
      <c r="CC33" s="60">
        <f t="shared" si="11"/>
        <v>503.67832244229635</v>
      </c>
      <c r="CD33" s="60">
        <f ca="1">AVERAGE(OFFSET($CC$3,0,0,'Données projet'!$E$12+1,1))-AVERAGE(OFFSET($H$3,0,0,'Données projet'!$E$12+1,1))</f>
        <v>428.8489304403459</v>
      </c>
      <c r="CE33" s="60">
        <f t="shared" si="40"/>
        <v>247.01165577562966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29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147.25384615384615</v>
      </c>
      <c r="CR33" s="13">
        <f>VLOOKUP(A33,'Données projet'!$A$139:$I$159,9,0)</f>
        <v>4.9084615384615384</v>
      </c>
      <c r="CS33" s="13">
        <f t="array" ref="CS33">INDEX(CR:CR,MIN(IF(ISNUMBER(CR33:CR229),ROW(CR33:CR229),"")))</f>
        <v>4.9084615384615384</v>
      </c>
      <c r="CT33" s="13">
        <f>IF('Données projet'!$A$140&gt;35,CT32+CS33-DB32,IF(A33&lt;'Données projet'!$A$140,$CQ$205^A33,IF(A33='Données projet'!$A$140,'Données projet'!$B$140,CT32+CS33-DB32)))</f>
        <v>147.25384615384615</v>
      </c>
      <c r="CU33" s="18">
        <f>CT33*VLOOKUP('Données projet'!$B$13,Paramètres!$A$1:$I$89,3,0)*VLOOKUP('Données projet'!$B$13,Paramètres!$A$1:$I$89,5,0)</f>
        <v>68.9148</v>
      </c>
      <c r="CV33" s="14">
        <f t="shared" si="41"/>
        <v>19.403719594897876</v>
      </c>
      <c r="CW33" s="22">
        <f t="shared" si="13"/>
        <v>153.82142162778047</v>
      </c>
      <c r="CX33" s="60">
        <f t="shared" si="14"/>
        <v>447.15475496111378</v>
      </c>
      <c r="CY33" s="60">
        <f ca="1">AVERAGE(OFFSET($CX$3,0,0,'Données projet'!$E$13+1,1))-AVERAGE(OFFSET($H$3,0,0,'Données projet'!$E$13+1,1))</f>
        <v>284.88646502866419</v>
      </c>
      <c r="CZ33" s="60">
        <f t="shared" si="42"/>
        <v>190.4880882944471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105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105</v>
      </c>
      <c r="DP33" s="18">
        <f>DO33*VLOOKUP('Données projet'!$B$14,Paramètres!$A$1:$I$89,3,0)*VLOOKUP('Données projet'!$B$14,Paramètres!$A$1:$I$89,5,0)</f>
        <v>113.02199999999999</v>
      </c>
      <c r="DQ33" s="14">
        <f t="shared" si="43"/>
        <v>30.041864379091852</v>
      </c>
      <c r="DR33" s="22">
        <f t="shared" si="16"/>
        <v>249.16956379358496</v>
      </c>
      <c r="DS33" s="60">
        <f t="shared" si="17"/>
        <v>542.50289712691824</v>
      </c>
      <c r="DT33" s="60">
        <f ca="1">AVERAGE(OFFSET($DS$3,0,0,'Données projet'!$E$14+1,1))-AVERAGE(OFFSET($H$3,0,0,'Données projet'!$E$14+1,1))</f>
        <v>502.07782026233912</v>
      </c>
      <c r="DU33" s="60">
        <f t="shared" si="44"/>
        <v>285.83623046025156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29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175</v>
      </c>
      <c r="EH33" s="13">
        <f>VLOOKUP(A33,'Données projet'!$A$191:$I$211,9,0)</f>
        <v>12</v>
      </c>
      <c r="EI33" s="13">
        <f t="array" ref="EI33">INDEX(EH:EH,MIN(IF(ISNUMBER(EH33:EH229),ROW(EH33:EH229),"")))</f>
        <v>12</v>
      </c>
      <c r="EJ33" s="13">
        <f>IF('Données projet'!$A$192&gt;35,EJ32+EI33-ER32,IF(A33&lt;'Données projet'!$A$192,$EG$205^A33,IF(A33='Données projet'!$A$192,'Données projet'!$B$192,EJ32+EI33-ER32)))</f>
        <v>174.99999999999994</v>
      </c>
      <c r="EK33" s="18">
        <f>EJ33*VLOOKUP('Données projet'!$B$15,Paramètres!$A$1:$I$89,3,0)*VLOOKUP('Données projet'!$B$15,Paramètres!$A$1:$I$89,5,0)</f>
        <v>152.87999999999997</v>
      </c>
      <c r="EL33" s="14">
        <f t="shared" si="45"/>
        <v>39.232349774697852</v>
      </c>
      <c r="EM33" s="22">
        <f t="shared" si="19"/>
        <v>334.59567585759868</v>
      </c>
      <c r="EN33" s="60">
        <f t="shared" si="20"/>
        <v>627.92900919093199</v>
      </c>
      <c r="EO33" s="60">
        <f ca="1">AVERAGE(OFFSET($EN$3,0,0,'Données projet'!$E$15+1,1))-AVERAGE(OFFSET($H$3,0,0,'Données projet'!$E$15+1,1))</f>
        <v>339.58437495284466</v>
      </c>
      <c r="EP33" s="60">
        <f t="shared" si="46"/>
        <v>371.26234252426531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56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105</v>
      </c>
      <c r="FC33" s="13">
        <f>VLOOKUP(A33,'Données projet'!$A$217:$I$237,9,0)</f>
        <v>7</v>
      </c>
      <c r="FD33" s="13">
        <f t="array" ref="FD33">INDEX(FC:FC,MIN(IF(ISNUMBER(FC33:FC229),ROW(FC33:FC229),"")))</f>
        <v>7</v>
      </c>
      <c r="FE33" s="13">
        <f>IF('Données projet'!$A$218&gt;35,FE32+FD33-FM32,IF(A33&lt;'Données projet'!$A$218,$FB$205^A33,IF(A33='Données projet'!$A$218,'Données projet'!$B$218,FE32+FD33-FM32)))</f>
        <v>105</v>
      </c>
      <c r="FF33" s="18">
        <f>FE33*VLOOKUP('Données projet'!$B$16,Paramètres!$A$1:$I$89,3,0)*VLOOKUP('Données projet'!$B$16,Paramètres!$A$1:$I$89,5,0)</f>
        <v>101.556</v>
      </c>
      <c r="FG33" s="14">
        <f t="shared" si="47"/>
        <v>27.332359320696909</v>
      </c>
      <c r="FH33" s="22">
        <f t="shared" si="22"/>
        <v>224.48055915021379</v>
      </c>
      <c r="FI33" s="60">
        <f t="shared" si="23"/>
        <v>517.81389248354708</v>
      </c>
      <c r="FJ33" s="60">
        <f ca="1">AVERAGE(OFFSET($FI$3,0,0,'Données projet'!$E$16+1,1))-AVERAGE(OFFSET($H$3,0,0,'Données projet'!$E$16+1,1))</f>
        <v>455.50822833641354</v>
      </c>
      <c r="FK33" s="60">
        <f t="shared" si="48"/>
        <v>261.14722581688039</v>
      </c>
      <c r="FL33" s="16">
        <f>IF(ISNA(VLOOKUP(A33,'Données projet'!$A$217:$I$237,3,0)),0,VLOOKUP(A33,'Données projet'!$A$217:$I$237,3,0))</f>
        <v>1</v>
      </c>
      <c r="FM33" s="16">
        <f>IF(ISNA(VLOOKUP(A33,'Données projet'!$A$217:$I$237,4,0)),0,VLOOKUP(A33,'Données projet'!$A$217:$I$237,4,0))</f>
        <v>29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85.176000000000002</v>
      </c>
      <c r="P34" s="14">
        <f t="shared" si="33"/>
        <v>23.398088487656441</v>
      </c>
      <c r="Q34" s="22">
        <f t="shared" si="2"/>
        <v>189.09987078266829</v>
      </c>
      <c r="R34" s="60">
        <f t="shared" si="0"/>
        <v>482.4332041160016</v>
      </c>
      <c r="S34" s="60">
        <f ca="1">AVERAGE(OFFSET($R$3,0,0,'Données projet'!$E$9+1,1))-AVERAGE(OFFSET($H$3,0,0,'Données projet'!$E$9+1,1))</f>
        <v>475.47920969424894</v>
      </c>
      <c r="T34" s="60">
        <f t="shared" si="34"/>
        <v>271.73544012419364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12.971794871794865</v>
      </c>
      <c r="AI34" s="14">
        <f>IF('Données projet'!$A$62&gt;35,AI33+AH34-AQ33,IF(A34&lt;'Données projet'!$A$62,$AF$205^A34,IF(A34='Données projet'!$A$62,'Données projet'!$B$62,AI33+AH34-AQ33)))</f>
        <v>157.95641025641027</v>
      </c>
      <c r="AJ34" s="14">
        <f>AI34*VLOOKUP('Données projet'!$B$10,Paramètres!$A$1:$I$89,3,0)*VLOOKUP('Données projet'!$B$10,Paramètres!$A$1:$I$89,5,0)</f>
        <v>94.457933333333344</v>
      </c>
      <c r="AK34" s="14">
        <f t="shared" si="35"/>
        <v>25.637327417415943</v>
      </c>
      <c r="AL34" s="22">
        <f t="shared" si="4"/>
        <v>209.16591247422164</v>
      </c>
      <c r="AM34" s="60">
        <f t="shared" si="5"/>
        <v>502.49924580755498</v>
      </c>
      <c r="AN34" s="60">
        <f ca="1">AVERAGE(OFFSET($AM$3,0,0,'Données projet'!$E$10+1,1))-AVERAGE(OFFSET($H$3,0,0,'Données projet'!$E$10+1,1))</f>
        <v>289.24721145176682</v>
      </c>
      <c r="AO34" s="60">
        <f t="shared" si="36"/>
        <v>229.06617320689003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2.2052047635842484</v>
      </c>
      <c r="AW34" s="23">
        <f>EXP(-LN(2)/2)*AW33+(1-EXP(-LN(2)/2))/(LN(2)/2)*AQ34*AT34*VLOOKUP('Données projet'!$B$10,Paramètres!$A$1:$I$89,3,0)*0.475*44/12</f>
        <v>3.1349595843224569</v>
      </c>
      <c r="AX34" s="23">
        <f t="shared" si="6"/>
        <v>5.3401643479067058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9.667692307692306</v>
      </c>
      <c r="BD34" s="13">
        <f>IF('Données projet'!$A$88&gt;35,BD33+BC34-BL33,IF(A34&lt;'Données projet'!$A$88,$BA$205^A34,IF(A34='Données projet'!$A$88,'Données projet'!$B$88,BD33+BC34-BL33)))</f>
        <v>145.92153846153846</v>
      </c>
      <c r="BE34" s="14">
        <f>BD34*VLOOKUP('Données projet'!$B$11,Paramètres!$A$1:$I$89,3,0)*VLOOKUP('Données projet'!$B$11,Paramètres!$A$1:$I$89,5,0)</f>
        <v>87.261080000000007</v>
      </c>
      <c r="BF34" s="14">
        <f t="shared" si="37"/>
        <v>23.903480010051169</v>
      </c>
      <c r="BG34" s="22">
        <f t="shared" si="7"/>
        <v>193.61160868417244</v>
      </c>
      <c r="BH34" s="60">
        <f t="shared" si="8"/>
        <v>486.94494201750575</v>
      </c>
      <c r="BI34" s="60">
        <f ca="1">AVERAGE(OFFSET($BH$3,0,0,'Données projet'!$E$11+1,1))-AVERAGE(OFFSET($H$3,0,0,'Données projet'!$E$11+1,1))</f>
        <v>287.91374663515506</v>
      </c>
      <c r="BJ34" s="60">
        <f t="shared" si="38"/>
        <v>217.76240797006147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</v>
      </c>
      <c r="BY34" s="13">
        <f>IF('Données projet'!$A$114&gt;35,BY33+BX34-CG33,IF(A34&lt;'Données projet'!$A$114,$BV$205^A34,IF(A34='Données projet'!$A$114,'Données projet'!$B$114,BY33+BX34-CG33)))</f>
        <v>84</v>
      </c>
      <c r="BZ34" s="14">
        <f>BY34*VLOOKUP('Données projet'!$B$12,Paramètres!$A$1:$I$89,3,0)*VLOOKUP('Données projet'!$B$12,Paramètres!$A$1:$I$89,5,0)</f>
        <v>76.003200000000007</v>
      </c>
      <c r="CA34" s="14">
        <f t="shared" si="39"/>
        <v>21.157049992000456</v>
      </c>
      <c r="CB34" s="22">
        <f t="shared" si="10"/>
        <v>169.22076873606747</v>
      </c>
      <c r="CC34" s="60">
        <f t="shared" si="11"/>
        <v>462.55410206940076</v>
      </c>
      <c r="CD34" s="60">
        <f ca="1">AVERAGE(OFFSET($CC$3,0,0,'Données projet'!$E$12+1,1))-AVERAGE(OFFSET($H$3,0,0,'Données projet'!$E$12+1,1))</f>
        <v>428.8489304403459</v>
      </c>
      <c r="CE34" s="60">
        <f t="shared" si="40"/>
        <v>247.01165577562966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10.576153846153847</v>
      </c>
      <c r="CT34" s="13">
        <f>IF('Données projet'!$A$140&gt;35,CT33+CS34-DB33,IF(A34&lt;'Données projet'!$A$140,$CQ$205^A34,IF(A34='Données projet'!$A$140,'Données projet'!$B$140,CT33+CS34-DB33)))</f>
        <v>157.83000000000001</v>
      </c>
      <c r="CU34" s="18">
        <f>CT34*VLOOKUP('Données projet'!$B$13,Paramètres!$A$1:$I$89,3,0)*VLOOKUP('Données projet'!$B$13,Paramètres!$A$1:$I$89,5,0)</f>
        <v>73.864440000000002</v>
      </c>
      <c r="CV34" s="14">
        <f t="shared" si="41"/>
        <v>20.630112334337497</v>
      </c>
      <c r="CW34" s="22">
        <f t="shared" si="13"/>
        <v>164.57801198230447</v>
      </c>
      <c r="CX34" s="60">
        <f t="shared" si="14"/>
        <v>457.91134531563779</v>
      </c>
      <c r="CY34" s="60">
        <f ca="1">AVERAGE(OFFSET($CX$3,0,0,'Données projet'!$E$13+1,1))-AVERAGE(OFFSET($H$3,0,0,'Données projet'!$E$13+1,1))</f>
        <v>284.88646502866419</v>
      </c>
      <c r="CZ34" s="60">
        <f t="shared" si="42"/>
        <v>190.4880882944471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</v>
      </c>
      <c r="DO34" s="13">
        <f>IF('Données projet'!$A$166&gt;35,DO33+DN34-DW33,IF(A34&lt;'Données projet'!$A$166,$DL$205^A34,IF(A34='Données projet'!$A$166,'Données projet'!$B$166,DO33+DN34-DW33)))</f>
        <v>84</v>
      </c>
      <c r="DP34" s="18">
        <f>DO34*VLOOKUP('Données projet'!$B$14,Paramètres!$A$1:$I$89,3,0)*VLOOKUP('Données projet'!$B$14,Paramètres!$A$1:$I$89,5,0)</f>
        <v>90.417599999999993</v>
      </c>
      <c r="DQ34" s="14">
        <f t="shared" si="43"/>
        <v>24.665912907068826</v>
      </c>
      <c r="DR34" s="22">
        <f t="shared" si="16"/>
        <v>200.43711831314488</v>
      </c>
      <c r="DS34" s="60">
        <f t="shared" si="17"/>
        <v>493.77045164647819</v>
      </c>
      <c r="DT34" s="60">
        <f ca="1">AVERAGE(OFFSET($DS$3,0,0,'Données projet'!$E$14+1,1))-AVERAGE(OFFSET($H$3,0,0,'Données projet'!$E$14+1,1))</f>
        <v>502.07782026233912</v>
      </c>
      <c r="DU34" s="60">
        <f t="shared" si="44"/>
        <v>285.83623046025156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10.6</v>
      </c>
      <c r="EJ34" s="13">
        <f>IF('Données projet'!$A$192&gt;35,EJ33+EI34-ER33,IF(A34&lt;'Données projet'!$A$192,$EG$205^A34,IF(A34='Données projet'!$A$192,'Données projet'!$B$192,EJ33+EI34-ER33)))</f>
        <v>129.59999999999994</v>
      </c>
      <c r="EK34" s="18">
        <f>EJ34*VLOOKUP('Données projet'!$B$15,Paramètres!$A$1:$I$89,3,0)*VLOOKUP('Données projet'!$B$15,Paramètres!$A$1:$I$89,5,0)</f>
        <v>113.21855999999995</v>
      </c>
      <c r="EL34" s="14">
        <f t="shared" si="45"/>
        <v>30.088024911766361</v>
      </c>
      <c r="EM34" s="22">
        <f t="shared" si="19"/>
        <v>249.59230205465971</v>
      </c>
      <c r="EN34" s="60">
        <f t="shared" si="20"/>
        <v>542.925635387993</v>
      </c>
      <c r="EO34" s="60">
        <f ca="1">AVERAGE(OFFSET($EN$3,0,0,'Données projet'!$E$15+1,1))-AVERAGE(OFFSET($H$3,0,0,'Données projet'!$E$15+1,1))</f>
        <v>339.58437495284466</v>
      </c>
      <c r="EP34" s="60">
        <f t="shared" si="46"/>
        <v>371.26234252426531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</v>
      </c>
      <c r="FE34" s="13">
        <f>IF('Données projet'!$A$218&gt;35,FE33+FD34-FM33,IF(A34&lt;'Données projet'!$A$218,$FB$205^A34,IF(A34='Données projet'!$A$218,'Données projet'!$B$218,FE33+FD34-FM33)))</f>
        <v>84</v>
      </c>
      <c r="FF34" s="18">
        <f>FE34*VLOOKUP('Données projet'!$B$16,Paramètres!$A$1:$I$89,3,0)*VLOOKUP('Données projet'!$B$16,Paramètres!$A$1:$I$89,5,0)</f>
        <v>81.244799999999998</v>
      </c>
      <c r="FG34" s="14">
        <f t="shared" si="47"/>
        <v>22.441270156928962</v>
      </c>
      <c r="FH34" s="22">
        <f t="shared" si="22"/>
        <v>180.58657218998462</v>
      </c>
      <c r="FI34" s="60">
        <f t="shared" si="23"/>
        <v>473.91990552331794</v>
      </c>
      <c r="FJ34" s="60">
        <f ca="1">AVERAGE(OFFSET($FI$3,0,0,'Données projet'!$E$16+1,1))-AVERAGE(OFFSET($H$3,0,0,'Données projet'!$E$16+1,1))</f>
        <v>455.50822833641354</v>
      </c>
      <c r="FK34" s="60">
        <f t="shared" si="48"/>
        <v>261.14722581688039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93.288000000000011</v>
      </c>
      <c r="P35" s="14">
        <f t="shared" si="33"/>
        <v>25.356547829040977</v>
      </c>
      <c r="Q35" s="22">
        <f t="shared" ref="Q35:Q66" si="53">(O35+P35)*0.475*44/12</f>
        <v>206.63925413557971</v>
      </c>
      <c r="R35" s="60">
        <f t="shared" si="0"/>
        <v>499.97258746891305</v>
      </c>
      <c r="S35" s="60">
        <f ca="1">AVERAGE(OFFSET($R$3,0,0,'Données projet'!$E$9+1,1))-AVERAGE(OFFSET($H$3,0,0,'Données projet'!$E$9+1,1))</f>
        <v>475.47920969424894</v>
      </c>
      <c r="T35" s="60">
        <f t="shared" si="34"/>
        <v>271.73544012419364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12.971794871794865</v>
      </c>
      <c r="AI35" s="14">
        <f>IF('Données projet'!$A$62&gt;35,AI34+AH35-AQ34,IF(A35&lt;'Données projet'!$A$62,$AF$205^A35,IF(A35='Données projet'!$A$62,'Données projet'!$B$62,AI34+AH35-AQ34)))</f>
        <v>170.92820512820512</v>
      </c>
      <c r="AJ35" s="14">
        <f>AI35*VLOOKUP('Données projet'!$B$10,Paramètres!$A$1:$I$89,3,0)*VLOOKUP('Données projet'!$B$10,Paramètres!$A$1:$I$89,5,0)</f>
        <v>102.21506666666667</v>
      </c>
      <c r="AK35" s="14">
        <f t="shared" si="35"/>
        <v>27.489031873505194</v>
      </c>
      <c r="AL35" s="22">
        <f t="shared" si="4"/>
        <v>225.90130495746598</v>
      </c>
      <c r="AM35" s="60">
        <f t="shared" si="5"/>
        <v>519.23463829079924</v>
      </c>
      <c r="AN35" s="60">
        <f ca="1">AVERAGE(OFFSET($AM$3,0,0,'Données projet'!$E$10+1,1))-AVERAGE(OFFSET($H$3,0,0,'Données projet'!$E$10+1,1))</f>
        <v>289.24721145176682</v>
      </c>
      <c r="AO35" s="60">
        <f t="shared" si="36"/>
        <v>229.06617320689003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2.1449033233573589</v>
      </c>
      <c r="AW35" s="23">
        <f>EXP(-LN(2)/2)*AW34+(1-EXP(-LN(2)/2))/(LN(2)/2)*AQ35*AT35*VLOOKUP('Données projet'!$B$10,Paramètres!$A$1:$I$89,3,0)*0.475*44/12</f>
        <v>2.2167511808201699</v>
      </c>
      <c r="AX35" s="23">
        <f t="shared" si="6"/>
        <v>4.3616545041775288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9.667692307692306</v>
      </c>
      <c r="BD35" s="13">
        <f>IF('Données projet'!$A$88&gt;35,BD34+BC35-BL34,IF(A35&lt;'Données projet'!$A$88,$BA$205^A35,IF(A35='Données projet'!$A$88,'Données projet'!$B$88,BD34+BC35-BL34)))</f>
        <v>155.58923076923077</v>
      </c>
      <c r="BE35" s="14">
        <f>BD35*VLOOKUP('Données projet'!$B$11,Paramètres!$A$1:$I$89,3,0)*VLOOKUP('Données projet'!$B$11,Paramètres!$A$1:$I$89,5,0)</f>
        <v>93.042360000000002</v>
      </c>
      <c r="BF35" s="14">
        <f t="shared" si="37"/>
        <v>25.297543244756408</v>
      </c>
      <c r="BG35" s="22">
        <f t="shared" si="7"/>
        <v>206.10866481795074</v>
      </c>
      <c r="BH35" s="60">
        <f t="shared" si="8"/>
        <v>499.44199815128405</v>
      </c>
      <c r="BI35" s="60">
        <f ca="1">AVERAGE(OFFSET($BH$3,0,0,'Données projet'!$E$11+1,1))-AVERAGE(OFFSET($H$3,0,0,'Données projet'!$E$11+1,1))</f>
        <v>287.91374663515506</v>
      </c>
      <c r="BJ35" s="60">
        <f t="shared" si="38"/>
        <v>217.76240797006147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</v>
      </c>
      <c r="BY35" s="13">
        <f>IF('Données projet'!$A$114&gt;35,BY34+BX35-CG34,IF(A35&lt;'Données projet'!$A$114,$BV$205^A35,IF(A35='Données projet'!$A$114,'Données projet'!$B$114,BY34+BX35-CG34)))</f>
        <v>92</v>
      </c>
      <c r="BZ35" s="14">
        <f>BY35*VLOOKUP('Données projet'!$B$12,Paramètres!$A$1:$I$89,3,0)*VLOOKUP('Données projet'!$B$12,Paramètres!$A$1:$I$89,5,0)</f>
        <v>83.241600000000005</v>
      </c>
      <c r="CA35" s="14">
        <f t="shared" si="39"/>
        <v>22.927930643846508</v>
      </c>
      <c r="CB35" s="22">
        <f t="shared" si="10"/>
        <v>184.91193253803269</v>
      </c>
      <c r="CC35" s="60">
        <f t="shared" si="11"/>
        <v>478.24526587136597</v>
      </c>
      <c r="CD35" s="60">
        <f ca="1">AVERAGE(OFFSET($CC$3,0,0,'Données projet'!$E$12+1,1))-AVERAGE(OFFSET($H$3,0,0,'Données projet'!$E$12+1,1))</f>
        <v>428.8489304403459</v>
      </c>
      <c r="CE35" s="60">
        <f t="shared" si="40"/>
        <v>247.01165577562966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10.576153846153847</v>
      </c>
      <c r="CT35" s="13">
        <f>IF('Données projet'!$A$140&gt;35,CT34+CS35-DB34,IF(A35&lt;'Données projet'!$A$140,$CQ$205^A35,IF(A35='Données projet'!$A$140,'Données projet'!$B$140,CT34+CS35-DB34)))</f>
        <v>168.40615384615387</v>
      </c>
      <c r="CU35" s="18">
        <f>CT35*VLOOKUP('Données projet'!$B$13,Paramètres!$A$1:$I$89,3,0)*VLOOKUP('Données projet'!$B$13,Paramètres!$A$1:$I$89,5,0)</f>
        <v>78.814080000000018</v>
      </c>
      <c r="CV35" s="14">
        <f t="shared" si="41"/>
        <v>21.846968964366972</v>
      </c>
      <c r="CW35" s="22">
        <f t="shared" si="13"/>
        <v>175.31799361293915</v>
      </c>
      <c r="CX35" s="60">
        <f t="shared" si="14"/>
        <v>468.65132694627243</v>
      </c>
      <c r="CY35" s="60">
        <f ca="1">AVERAGE(OFFSET($CX$3,0,0,'Données projet'!$E$13+1,1))-AVERAGE(OFFSET($H$3,0,0,'Données projet'!$E$13+1,1))</f>
        <v>284.88646502866419</v>
      </c>
      <c r="CZ35" s="60">
        <f t="shared" si="42"/>
        <v>190.4880882944471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</v>
      </c>
      <c r="DO35" s="13">
        <f>IF('Données projet'!$A$166&gt;35,DO34+DN35-DW34,IF(A35&lt;'Données projet'!$A$166,$DL$205^A35,IF(A35='Données projet'!$A$166,'Données projet'!$B$166,DO34+DN35-DW34)))</f>
        <v>92</v>
      </c>
      <c r="DP35" s="18">
        <f>DO35*VLOOKUP('Données projet'!$B$14,Paramètres!$A$1:$I$89,3,0)*VLOOKUP('Données projet'!$B$14,Paramètres!$A$1:$I$89,5,0)</f>
        <v>99.028800000000004</v>
      </c>
      <c r="DQ35" s="14">
        <f t="shared" si="43"/>
        <v>26.730491283721712</v>
      </c>
      <c r="DR35" s="22">
        <f t="shared" si="16"/>
        <v>219.03076565248196</v>
      </c>
      <c r="DS35" s="60">
        <f t="shared" si="17"/>
        <v>512.3640989858153</v>
      </c>
      <c r="DT35" s="60">
        <f ca="1">AVERAGE(OFFSET($DS$3,0,0,'Données projet'!$E$14+1,1))-AVERAGE(OFFSET($H$3,0,0,'Données projet'!$E$14+1,1))</f>
        <v>502.07782026233912</v>
      </c>
      <c r="DU35" s="60">
        <f t="shared" si="44"/>
        <v>285.83623046025156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10.6</v>
      </c>
      <c r="EJ35" s="13">
        <f>IF('Données projet'!$A$192&gt;35,EJ34+EI35-ER34,IF(A35&lt;'Données projet'!$A$192,$EG$205^A35,IF(A35='Données projet'!$A$192,'Données projet'!$B$192,EJ34+EI35-ER34)))</f>
        <v>140.19999999999993</v>
      </c>
      <c r="EK35" s="18">
        <f>EJ35*VLOOKUP('Données projet'!$B$15,Paramètres!$A$1:$I$89,3,0)*VLOOKUP('Données projet'!$B$15,Paramètres!$A$1:$I$89,5,0)</f>
        <v>122.47871999999997</v>
      </c>
      <c r="EL35" s="14">
        <f t="shared" si="45"/>
        <v>32.252430308903975</v>
      </c>
      <c r="EM35" s="22">
        <f t="shared" si="19"/>
        <v>269.49008678800766</v>
      </c>
      <c r="EN35" s="60">
        <f t="shared" si="20"/>
        <v>562.82342012134097</v>
      </c>
      <c r="EO35" s="60">
        <f ca="1">AVERAGE(OFFSET($EN$3,0,0,'Données projet'!$E$15+1,1))-AVERAGE(OFFSET($H$3,0,0,'Données projet'!$E$15+1,1))</f>
        <v>339.58437495284466</v>
      </c>
      <c r="EP35" s="60">
        <f t="shared" si="46"/>
        <v>371.26234252426531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</v>
      </c>
      <c r="FE35" s="13">
        <f>IF('Données projet'!$A$218&gt;35,FE34+FD35-FM34,IF(A35&lt;'Données projet'!$A$218,$FB$205^A35,IF(A35='Données projet'!$A$218,'Données projet'!$B$218,FE34+FD35-FM34)))</f>
        <v>92</v>
      </c>
      <c r="FF35" s="18">
        <f>FE35*VLOOKUP('Données projet'!$B$16,Paramètres!$A$1:$I$89,3,0)*VLOOKUP('Données projet'!$B$16,Paramètres!$A$1:$I$89,5,0)</f>
        <v>88.982399999999998</v>
      </c>
      <c r="FG35" s="14">
        <f t="shared" si="47"/>
        <v>24.31964219550628</v>
      </c>
      <c r="FH35" s="22">
        <f t="shared" si="22"/>
        <v>197.3343901571734</v>
      </c>
      <c r="FI35" s="60">
        <f t="shared" si="23"/>
        <v>490.66772349050672</v>
      </c>
      <c r="FJ35" s="60">
        <f ca="1">AVERAGE(OFFSET($FI$3,0,0,'Données projet'!$E$16+1,1))-AVERAGE(OFFSET($H$3,0,0,'Données projet'!$E$16+1,1))</f>
        <v>455.50822833641354</v>
      </c>
      <c r="FK35" s="60">
        <f t="shared" si="48"/>
        <v>261.14722581688039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101.4</v>
      </c>
      <c r="P36" s="14">
        <f t="shared" si="33"/>
        <v>27.295257887453797</v>
      </c>
      <c r="Q36" s="22">
        <f t="shared" si="53"/>
        <v>224.14424082064872</v>
      </c>
      <c r="R36" s="60">
        <f t="shared" si="0"/>
        <v>517.477574153982</v>
      </c>
      <c r="S36" s="60">
        <f ca="1">AVERAGE(OFFSET($R$3,0,0,'Données projet'!$E$9+1,1))-AVERAGE(OFFSET($H$3,0,0,'Données projet'!$E$9+1,1))</f>
        <v>475.47920969424894</v>
      </c>
      <c r="T36" s="60">
        <f t="shared" si="34"/>
        <v>271.73544012419364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183.89999999999998</v>
      </c>
      <c r="AG36" s="13">
        <f>VLOOKUP(A36,'Données projet'!$A$61:$I$81,9,0)</f>
        <v>12.971794871794865</v>
      </c>
      <c r="AH36" s="13">
        <f t="array" ref="AH36">INDEX(AG:AG,MIN(IF(ISNUMBER(AG36:AG232),ROW(AG36:AG232),"")))</f>
        <v>12.971794871794865</v>
      </c>
      <c r="AI36" s="14">
        <f>IF('Données projet'!$A$62&gt;35,AI35+AH36-AQ35,IF(A36&lt;'Données projet'!$A$62,$AF$205^A36,IF(A36='Données projet'!$A$62,'Données projet'!$B$62,AI35+AH36-AQ35)))</f>
        <v>183.89999999999998</v>
      </c>
      <c r="AJ36" s="14">
        <f>AI36*VLOOKUP('Données projet'!$B$10,Paramètres!$A$1:$I$89,3,0)*VLOOKUP('Données projet'!$B$10,Paramètres!$A$1:$I$89,5,0)</f>
        <v>109.9722</v>
      </c>
      <c r="AK36" s="14">
        <f t="shared" si="35"/>
        <v>29.324434579377328</v>
      </c>
      <c r="AL36" s="22">
        <f t="shared" si="4"/>
        <v>242.60830522574884</v>
      </c>
      <c r="AM36" s="60">
        <f t="shared" si="5"/>
        <v>535.94163855908209</v>
      </c>
      <c r="AN36" s="60">
        <f ca="1">AVERAGE(OFFSET($AM$3,0,0,'Données projet'!$E$10+1,1))-AVERAGE(OFFSET($H$3,0,0,'Données projet'!$E$10+1,1))</f>
        <v>289.24721145176682</v>
      </c>
      <c r="AO36" s="60">
        <f t="shared" si="36"/>
        <v>229.06617320689003</v>
      </c>
      <c r="AP36" s="16">
        <f>IF(ISNA(VLOOKUP(A36,'Données projet'!$A$61:$I$81,3,0)),0,VLOOKUP(A36,'Données projet'!$A$61:$I$81,3,0))</f>
        <v>3</v>
      </c>
      <c r="AQ36" s="16">
        <f>IF(ISNA(VLOOKUP(A36,'Données projet'!$A$61:$I$81,4,0)),0,VLOOKUP(A36,'Données projet'!$A$61:$I$81,4,0))</f>
        <v>43.007692307692302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2.0862508291845883</v>
      </c>
      <c r="AW36" s="23">
        <f>EXP(-LN(2)/2)*AW35+(1-EXP(-LN(2)/2))/(LN(2)/2)*AQ36*AT36*VLOOKUP('Données projet'!$B$10,Paramètres!$A$1:$I$89,3,0)*0.475*44/12</f>
        <v>1.5674797921612289</v>
      </c>
      <c r="AX36" s="23">
        <f t="shared" si="6"/>
        <v>3.6537306213458169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9.667692307692306</v>
      </c>
      <c r="BD36" s="13">
        <f>IF('Données projet'!$A$88&gt;35,BD35+BC36-BL35,IF(A36&lt;'Données projet'!$A$88,$BA$205^A36,IF(A36='Données projet'!$A$88,'Données projet'!$B$88,BD35+BC36-BL35)))</f>
        <v>165.25692307692307</v>
      </c>
      <c r="BE36" s="14">
        <f>BD36*VLOOKUP('Données projet'!$B$11,Paramètres!$A$1:$I$89,3,0)*VLOOKUP('Données projet'!$B$11,Paramètres!$A$1:$I$89,5,0)</f>
        <v>98.823639999999997</v>
      </c>
      <c r="BF36" s="14">
        <f t="shared" si="37"/>
        <v>26.681553282902549</v>
      </c>
      <c r="BG36" s="22">
        <f t="shared" si="7"/>
        <v>218.58821163438859</v>
      </c>
      <c r="BH36" s="60">
        <f t="shared" si="8"/>
        <v>511.9215449677219</v>
      </c>
      <c r="BI36" s="60">
        <f ca="1">AVERAGE(OFFSET($BH$3,0,0,'Données projet'!$E$11+1,1))-AVERAGE(OFFSET($H$3,0,0,'Données projet'!$E$11+1,1))</f>
        <v>287.91374663515506</v>
      </c>
      <c r="BJ36" s="60">
        <f t="shared" si="38"/>
        <v>217.76240797006147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</v>
      </c>
      <c r="BY36" s="13">
        <f>IF('Données projet'!$A$114&gt;35,BY35+BX36-CG35,IF(A36&lt;'Données projet'!$A$114,$BV$205^A36,IF(A36='Données projet'!$A$114,'Données projet'!$B$114,BY35+BX36-CG35)))</f>
        <v>100</v>
      </c>
      <c r="BZ36" s="14">
        <f>BY36*VLOOKUP('Données projet'!$B$12,Paramètres!$A$1:$I$89,3,0)*VLOOKUP('Données projet'!$B$12,Paramètres!$A$1:$I$89,5,0)</f>
        <v>90.47999999999999</v>
      </c>
      <c r="CA36" s="14">
        <f t="shared" si="39"/>
        <v>24.680953573367994</v>
      </c>
      <c r="CB36" s="22">
        <f t="shared" si="10"/>
        <v>200.57199414028256</v>
      </c>
      <c r="CC36" s="60">
        <f t="shared" si="11"/>
        <v>493.9053274736159</v>
      </c>
      <c r="CD36" s="60">
        <f ca="1">AVERAGE(OFFSET($CC$3,0,0,'Données projet'!$E$12+1,1))-AVERAGE(OFFSET($H$3,0,0,'Données projet'!$E$12+1,1))</f>
        <v>428.8489304403459</v>
      </c>
      <c r="CE36" s="60">
        <f t="shared" si="40"/>
        <v>247.01165577562966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10.576153846153847</v>
      </c>
      <c r="CT36" s="13">
        <f>IF('Données projet'!$A$140&gt;35,CT35+CS36-DB35,IF(A36&lt;'Données projet'!$A$140,$CQ$205^A36,IF(A36='Données projet'!$A$140,'Données projet'!$B$140,CT35+CS36-DB35)))</f>
        <v>178.98230769230773</v>
      </c>
      <c r="CU36" s="18">
        <f>CT36*VLOOKUP('Données projet'!$B$13,Paramètres!$A$1:$I$89,3,0)*VLOOKUP('Données projet'!$B$13,Paramètres!$A$1:$I$89,5,0)</f>
        <v>83.763720000000006</v>
      </c>
      <c r="CV36" s="14">
        <f t="shared" si="41"/>
        <v>23.05495654284816</v>
      </c>
      <c r="CW36" s="22">
        <f t="shared" si="13"/>
        <v>186.04252831212725</v>
      </c>
      <c r="CX36" s="60">
        <f t="shared" si="14"/>
        <v>479.37586164546053</v>
      </c>
      <c r="CY36" s="60">
        <f ca="1">AVERAGE(OFFSET($CX$3,0,0,'Données projet'!$E$13+1,1))-AVERAGE(OFFSET($H$3,0,0,'Données projet'!$E$13+1,1))</f>
        <v>284.88646502866419</v>
      </c>
      <c r="CZ36" s="60">
        <f t="shared" si="42"/>
        <v>190.4880882944471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</v>
      </c>
      <c r="DO36" s="13">
        <f>IF('Données projet'!$A$166&gt;35,DO35+DN36-DW35,IF(A36&lt;'Données projet'!$A$166,$DL$205^A36,IF(A36='Données projet'!$A$166,'Données projet'!$B$166,DO35+DN36-DW35)))</f>
        <v>100</v>
      </c>
      <c r="DP36" s="18">
        <f>DO36*VLOOKUP('Données projet'!$B$14,Paramètres!$A$1:$I$89,3,0)*VLOOKUP('Données projet'!$B$14,Paramètres!$A$1:$I$89,5,0)</f>
        <v>107.64</v>
      </c>
      <c r="DQ36" s="14">
        <f t="shared" si="43"/>
        <v>28.774250263353583</v>
      </c>
      <c r="DR36" s="22">
        <f t="shared" si="16"/>
        <v>237.58815254200749</v>
      </c>
      <c r="DS36" s="60">
        <f t="shared" si="17"/>
        <v>530.92148587534075</v>
      </c>
      <c r="DT36" s="60">
        <f ca="1">AVERAGE(OFFSET($DS$3,0,0,'Données projet'!$E$14+1,1))-AVERAGE(OFFSET($H$3,0,0,'Données projet'!$E$14+1,1))</f>
        <v>502.07782026233912</v>
      </c>
      <c r="DU36" s="60">
        <f t="shared" si="44"/>
        <v>285.83623046025156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10.6</v>
      </c>
      <c r="EJ36" s="13">
        <f>IF('Données projet'!$A$192&gt;35,EJ35+EI36-ER35,IF(A36&lt;'Données projet'!$A$192,$EG$205^A36,IF(A36='Données projet'!$A$192,'Données projet'!$B$192,EJ35+EI36-ER35)))</f>
        <v>150.79999999999993</v>
      </c>
      <c r="EK36" s="18">
        <f>EJ36*VLOOKUP('Données projet'!$B$15,Paramètres!$A$1:$I$89,3,0)*VLOOKUP('Données projet'!$B$15,Paramètres!$A$1:$I$89,5,0)</f>
        <v>131.73887999999994</v>
      </c>
      <c r="EL36" s="14">
        <f t="shared" si="45"/>
        <v>34.397852193895829</v>
      </c>
      <c r="EM36" s="22">
        <f t="shared" si="19"/>
        <v>289.35480857103511</v>
      </c>
      <c r="EN36" s="60">
        <f t="shared" si="20"/>
        <v>582.68814190436842</v>
      </c>
      <c r="EO36" s="60">
        <f ca="1">AVERAGE(OFFSET($EN$3,0,0,'Données projet'!$E$15+1,1))-AVERAGE(OFFSET($H$3,0,0,'Données projet'!$E$15+1,1))</f>
        <v>339.58437495284466</v>
      </c>
      <c r="EP36" s="60">
        <f t="shared" si="46"/>
        <v>371.26234252426531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</v>
      </c>
      <c r="FE36" s="13">
        <f>IF('Données projet'!$A$218&gt;35,FE35+FD36-FM35,IF(A36&lt;'Données projet'!$A$218,$FB$205^A36,IF(A36='Données projet'!$A$218,'Données projet'!$B$218,FE35+FD36-FM35)))</f>
        <v>100</v>
      </c>
      <c r="FF36" s="18">
        <f>FE36*VLOOKUP('Données projet'!$B$16,Paramètres!$A$1:$I$89,3,0)*VLOOKUP('Données projet'!$B$16,Paramètres!$A$1:$I$89,5,0)</f>
        <v>96.72</v>
      </c>
      <c r="FG36" s="14">
        <f t="shared" si="47"/>
        <v>26.179072558792139</v>
      </c>
      <c r="FH36" s="22">
        <f t="shared" si="22"/>
        <v>214.04921803989632</v>
      </c>
      <c r="FI36" s="60">
        <f t="shared" si="23"/>
        <v>507.3825513732296</v>
      </c>
      <c r="FJ36" s="60">
        <f ca="1">AVERAGE(OFFSET($FI$3,0,0,'Données projet'!$E$16+1,1))-AVERAGE(OFFSET($H$3,0,0,'Données projet'!$E$16+1,1))</f>
        <v>455.50822833641354</v>
      </c>
      <c r="FK36" s="60">
        <f t="shared" si="48"/>
        <v>261.14722581688039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109.51200000000001</v>
      </c>
      <c r="P37" s="14">
        <f t="shared" si="33"/>
        <v>29.215978230632555</v>
      </c>
      <c r="Q37" s="22">
        <f t="shared" si="53"/>
        <v>241.61789541835174</v>
      </c>
      <c r="R37" s="60">
        <f t="shared" si="0"/>
        <v>534.95122875168499</v>
      </c>
      <c r="S37" s="60">
        <f ca="1">AVERAGE(OFFSET($R$3,0,0,'Données projet'!$E$9+1,1))-AVERAGE(OFFSET($H$3,0,0,'Données projet'!$E$9+1,1))</f>
        <v>475.47920969424894</v>
      </c>
      <c r="T37" s="60">
        <f t="shared" si="34"/>
        <v>271.73544012419364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12.74038461538462</v>
      </c>
      <c r="AI37" s="14">
        <f>IF('Données projet'!$A$62&gt;35,AI36+AH37-AQ36,IF(A37&lt;'Données projet'!$A$62,$AF$205^A37,IF(A37='Données projet'!$A$62,'Données projet'!$B$62,AI36+AH37-AQ36)))</f>
        <v>153.63269230769228</v>
      </c>
      <c r="AJ37" s="14">
        <f>AI37*VLOOKUP('Données projet'!$B$10,Paramètres!$A$1:$I$89,3,0)*VLOOKUP('Données projet'!$B$10,Paramètres!$A$1:$I$89,5,0)</f>
        <v>91.872349999999997</v>
      </c>
      <c r="AK37" s="14">
        <f t="shared" si="35"/>
        <v>25.016248165039102</v>
      </c>
      <c r="AL37" s="22">
        <f t="shared" si="4"/>
        <v>203.58097513744312</v>
      </c>
      <c r="AM37" s="60">
        <f t="shared" si="5"/>
        <v>496.9143084707764</v>
      </c>
      <c r="AN37" s="60">
        <f ca="1">AVERAGE(OFFSET($AM$3,0,0,'Données projet'!$E$10+1,1))-AVERAGE(OFFSET($H$3,0,0,'Données projet'!$E$10+1,1))</f>
        <v>289.24721145176682</v>
      </c>
      <c r="AO37" s="60">
        <f t="shared" si="36"/>
        <v>229.06617320689003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2.0292021905493729</v>
      </c>
      <c r="AW37" s="23">
        <f>EXP(-LN(2)/2)*AW36+(1-EXP(-LN(2)/2))/(LN(2)/2)*AQ37*AT37*VLOOKUP('Données projet'!$B$10,Paramètres!$A$1:$I$89,3,0)*0.475*44/12</f>
        <v>1.1083755904100852</v>
      </c>
      <c r="AX37" s="23">
        <f t="shared" si="6"/>
        <v>3.1375777809594583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9.667692307692306</v>
      </c>
      <c r="BD37" s="13">
        <f>IF('Données projet'!$A$88&gt;35,BD36+BC37-BL36,IF(A37&lt;'Données projet'!$A$88,$BA$205^A37,IF(A37='Données projet'!$A$88,'Données projet'!$B$88,BD36+BC37-BL36)))</f>
        <v>174.92461538461538</v>
      </c>
      <c r="BE37" s="14">
        <f>BD37*VLOOKUP('Données projet'!$B$11,Paramètres!$A$1:$I$89,3,0)*VLOOKUP('Données projet'!$B$11,Paramètres!$A$1:$I$89,5,0)</f>
        <v>104.60492000000001</v>
      </c>
      <c r="BF37" s="14">
        <f t="shared" si="37"/>
        <v>28.056165242075178</v>
      </c>
      <c r="BG37" s="22">
        <f t="shared" si="7"/>
        <v>231.05139012994758</v>
      </c>
      <c r="BH37" s="60">
        <f t="shared" si="8"/>
        <v>524.38472346328092</v>
      </c>
      <c r="BI37" s="60">
        <f ca="1">AVERAGE(OFFSET($BH$3,0,0,'Données projet'!$E$11+1,1))-AVERAGE(OFFSET($H$3,0,0,'Données projet'!$E$11+1,1))</f>
        <v>287.91374663515506</v>
      </c>
      <c r="BJ37" s="60">
        <f t="shared" si="38"/>
        <v>217.76240797006147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</v>
      </c>
      <c r="BY37" s="13">
        <f>IF('Données projet'!$A$114&gt;35,BY36+BX37-CG36,IF(A37&lt;'Données projet'!$A$114,$BV$205^A37,IF(A37='Données projet'!$A$114,'Données projet'!$B$114,BY36+BX37-CG36)))</f>
        <v>108</v>
      </c>
      <c r="BZ37" s="14">
        <f>BY37*VLOOKUP('Données projet'!$B$12,Paramètres!$A$1:$I$89,3,0)*VLOOKUP('Données projet'!$B$12,Paramètres!$A$1:$I$89,5,0)</f>
        <v>97.718399999999988</v>
      </c>
      <c r="CA37" s="14">
        <f t="shared" si="39"/>
        <v>26.417709819192194</v>
      </c>
      <c r="CB37" s="22">
        <f t="shared" si="10"/>
        <v>216.20372460175972</v>
      </c>
      <c r="CC37" s="60">
        <f t="shared" si="11"/>
        <v>509.537057935093</v>
      </c>
      <c r="CD37" s="60">
        <f ca="1">AVERAGE(OFFSET($CC$3,0,0,'Données projet'!$E$12+1,1))-AVERAGE(OFFSET($H$3,0,0,'Données projet'!$E$12+1,1))</f>
        <v>428.8489304403459</v>
      </c>
      <c r="CE37" s="60">
        <f t="shared" si="40"/>
        <v>247.01165577562966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10.576153846153847</v>
      </c>
      <c r="CT37" s="13">
        <f>IF('Données projet'!$A$140&gt;35,CT36+CS37-DB36,IF(A37&lt;'Données projet'!$A$140,$CQ$205^A37,IF(A37='Données projet'!$A$140,'Données projet'!$B$140,CT36+CS37-DB36)))</f>
        <v>189.55846153846159</v>
      </c>
      <c r="CU37" s="18">
        <f>CT37*VLOOKUP('Données projet'!$B$13,Paramètres!$A$1:$I$89,3,0)*VLOOKUP('Données projet'!$B$13,Paramètres!$A$1:$I$89,5,0)</f>
        <v>88.713360000000023</v>
      </c>
      <c r="CV37" s="14">
        <f t="shared" si="41"/>
        <v>24.254658840590928</v>
      </c>
      <c r="CW37" s="22">
        <f t="shared" si="13"/>
        <v>196.75263281402923</v>
      </c>
      <c r="CX37" s="60">
        <f t="shared" si="14"/>
        <v>490.08596614736257</v>
      </c>
      <c r="CY37" s="60">
        <f ca="1">AVERAGE(OFFSET($CX$3,0,0,'Données projet'!$E$13+1,1))-AVERAGE(OFFSET($H$3,0,0,'Données projet'!$E$13+1,1))</f>
        <v>284.88646502866419</v>
      </c>
      <c r="CZ37" s="60">
        <f t="shared" si="42"/>
        <v>190.4880882944471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</v>
      </c>
      <c r="DO37" s="13">
        <f>IF('Données projet'!$A$166&gt;35,DO36+DN37-DW36,IF(A37&lt;'Données projet'!$A$166,$DL$205^A37,IF(A37='Données projet'!$A$166,'Données projet'!$B$166,DO36+DN37-DW36)))</f>
        <v>108</v>
      </c>
      <c r="DP37" s="18">
        <f>DO37*VLOOKUP('Données projet'!$B$14,Paramètres!$A$1:$I$89,3,0)*VLOOKUP('Données projet'!$B$14,Paramètres!$A$1:$I$89,5,0)</f>
        <v>116.2512</v>
      </c>
      <c r="DQ37" s="14">
        <f t="shared" si="43"/>
        <v>30.799044755804328</v>
      </c>
      <c r="DR37" s="22">
        <f t="shared" si="16"/>
        <v>256.1125096163592</v>
      </c>
      <c r="DS37" s="60">
        <f t="shared" si="17"/>
        <v>549.44584294969252</v>
      </c>
      <c r="DT37" s="60">
        <f ca="1">AVERAGE(OFFSET($DS$3,0,0,'Données projet'!$E$14+1,1))-AVERAGE(OFFSET($H$3,0,0,'Données projet'!$E$14+1,1))</f>
        <v>502.07782026233912</v>
      </c>
      <c r="DU37" s="60">
        <f t="shared" si="44"/>
        <v>285.83623046025156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10.6</v>
      </c>
      <c r="EJ37" s="13">
        <f>IF('Données projet'!$A$192&gt;35,EJ36+EI37-ER36,IF(A37&lt;'Données projet'!$A$192,$EG$205^A37,IF(A37='Données projet'!$A$192,'Données projet'!$B$192,EJ36+EI37-ER36)))</f>
        <v>161.39999999999992</v>
      </c>
      <c r="EK37" s="18">
        <f>EJ37*VLOOKUP('Données projet'!$B$15,Paramètres!$A$1:$I$89,3,0)*VLOOKUP('Données projet'!$B$15,Paramètres!$A$1:$I$89,5,0)</f>
        <v>140.99903999999995</v>
      </c>
      <c r="EL37" s="14">
        <f t="shared" si="45"/>
        <v>36.525776729948824</v>
      </c>
      <c r="EM37" s="22">
        <f t="shared" si="19"/>
        <v>309.18905580466077</v>
      </c>
      <c r="EN37" s="60">
        <f t="shared" si="20"/>
        <v>602.52238913799408</v>
      </c>
      <c r="EO37" s="60">
        <f ca="1">AVERAGE(OFFSET($EN$3,0,0,'Données projet'!$E$15+1,1))-AVERAGE(OFFSET($H$3,0,0,'Données projet'!$E$15+1,1))</f>
        <v>339.58437495284466</v>
      </c>
      <c r="EP37" s="60">
        <f t="shared" si="46"/>
        <v>371.26234252426531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</v>
      </c>
      <c r="FE37" s="13">
        <f>IF('Données projet'!$A$218&gt;35,FE36+FD37-FM36,IF(A37&lt;'Données projet'!$A$218,$FB$205^A37,IF(A37='Données projet'!$A$218,'Données projet'!$B$218,FE36+FD37-FM36)))</f>
        <v>108</v>
      </c>
      <c r="FF37" s="18">
        <f>FE37*VLOOKUP('Données projet'!$B$16,Paramètres!$A$1:$I$89,3,0)*VLOOKUP('Données projet'!$B$16,Paramètres!$A$1:$I$89,5,0)</f>
        <v>104.4576</v>
      </c>
      <c r="FG37" s="14">
        <f t="shared" si="47"/>
        <v>28.021248860498272</v>
      </c>
      <c r="FH37" s="22">
        <f t="shared" si="22"/>
        <v>230.73399509870114</v>
      </c>
      <c r="FI37" s="60">
        <f t="shared" si="23"/>
        <v>524.0673284320344</v>
      </c>
      <c r="FJ37" s="60">
        <f ca="1">AVERAGE(OFFSET($FI$3,0,0,'Données projet'!$E$16+1,1))-AVERAGE(OFFSET($H$3,0,0,'Données projet'!$E$16+1,1))</f>
        <v>455.50822833641354</v>
      </c>
      <c r="FK37" s="60">
        <f t="shared" si="48"/>
        <v>261.14722581688039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117.62400000000001</v>
      </c>
      <c r="P38" s="14">
        <f t="shared" si="33"/>
        <v>31.120192961985413</v>
      </c>
      <c r="Q38" s="22">
        <f t="shared" si="53"/>
        <v>259.06280274212457</v>
      </c>
      <c r="R38" s="60">
        <f t="shared" si="0"/>
        <v>552.39613607545789</v>
      </c>
      <c r="S38" s="60">
        <f ca="1">AVERAGE(OFFSET($R$3,0,0,'Données projet'!$E$9+1,1))-AVERAGE(OFFSET($H$3,0,0,'Données projet'!$E$9+1,1))</f>
        <v>475.47920969424894</v>
      </c>
      <c r="T38" s="60">
        <f t="shared" si="34"/>
        <v>271.73544012419364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12.74038461538462</v>
      </c>
      <c r="AI38" s="14">
        <f>IF('Données projet'!$A$62&gt;35,AI37+AH38-AQ37,IF(A38&lt;'Données projet'!$A$62,$AF$205^A38,IF(A38='Données projet'!$A$62,'Données projet'!$B$62,AI37+AH38-AQ37)))</f>
        <v>166.37307692307689</v>
      </c>
      <c r="AJ38" s="14">
        <f>AI38*VLOOKUP('Données projet'!$B$10,Paramètres!$A$1:$I$89,3,0)*VLOOKUP('Données projet'!$B$10,Paramètres!$A$1:$I$89,5,0)</f>
        <v>99.491099999999989</v>
      </c>
      <c r="AK38" s="14">
        <f t="shared" si="35"/>
        <v>26.84072316435665</v>
      </c>
      <c r="AL38" s="22">
        <f t="shared" si="4"/>
        <v>220.02792534458783</v>
      </c>
      <c r="AM38" s="60">
        <f t="shared" si="5"/>
        <v>513.36125867792111</v>
      </c>
      <c r="AN38" s="60">
        <f ca="1">AVERAGE(OFFSET($AM$3,0,0,'Données projet'!$E$10+1,1))-AVERAGE(OFFSET($H$3,0,0,'Données projet'!$E$10+1,1))</f>
        <v>289.24721145176682</v>
      </c>
      <c r="AO38" s="60">
        <f t="shared" si="36"/>
        <v>229.06617320689003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1.973713549937695</v>
      </c>
      <c r="AW38" s="23">
        <f>EXP(-LN(2)/2)*AW37+(1-EXP(-LN(2)/2))/(LN(2)/2)*AQ38*AT38*VLOOKUP('Données projet'!$B$10,Paramètres!$A$1:$I$89,3,0)*0.475*44/12</f>
        <v>0.78373989608061456</v>
      </c>
      <c r="AX38" s="23">
        <f t="shared" si="6"/>
        <v>2.7574534460183093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184.59230769230768</v>
      </c>
      <c r="BB38" s="13">
        <f>VLOOKUP(A38,'Données projet'!$A$87:$I$107,9,0)</f>
        <v>9.667692307692306</v>
      </c>
      <c r="BC38" s="13">
        <f t="array" ref="BC38">INDEX(BB:BB,MIN(IF(ISNUMBER(BB38:BB234),ROW(BB38:BB234),"")))</f>
        <v>9.667692307692306</v>
      </c>
      <c r="BD38" s="13">
        <f>IF('Données projet'!$A$88&gt;35,BD37+BC38-BL37,IF(A38&lt;'Données projet'!$A$88,$BA$205^A38,IF(A38='Données projet'!$A$88,'Données projet'!$B$88,BD37+BC38-BL37)))</f>
        <v>184.59230769230768</v>
      </c>
      <c r="BE38" s="14">
        <f>BD38*VLOOKUP('Données projet'!$B$11,Paramètres!$A$1:$I$89,3,0)*VLOOKUP('Données projet'!$B$11,Paramètres!$A$1:$I$89,5,0)</f>
        <v>110.3862</v>
      </c>
      <c r="BF38" s="14">
        <f t="shared" si="37"/>
        <v>29.421957736267377</v>
      </c>
      <c r="BG38" s="22">
        <f t="shared" si="7"/>
        <v>243.49920805733234</v>
      </c>
      <c r="BH38" s="60">
        <f t="shared" si="8"/>
        <v>536.83254139066571</v>
      </c>
      <c r="BI38" s="60">
        <f ca="1">AVERAGE(OFFSET($BH$3,0,0,'Données projet'!$E$11+1,1))-AVERAGE(OFFSET($H$3,0,0,'Données projet'!$E$11+1,1))</f>
        <v>287.91374663515506</v>
      </c>
      <c r="BJ38" s="60">
        <f t="shared" si="38"/>
        <v>217.76240797006147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116</v>
      </c>
      <c r="BW38" s="13">
        <f>VLOOKUP(A38,'Données projet'!$A$113:$I$133,9,0)</f>
        <v>8</v>
      </c>
      <c r="BX38" s="13">
        <f t="array" ref="BX38">INDEX(BW:BW,MIN(IF(ISNUMBER(BW38:BW234),ROW(BW38:BW234),"")))</f>
        <v>8</v>
      </c>
      <c r="BY38" s="13">
        <f>IF('Données projet'!$A$114&gt;35,BY37+BX38-CG37,IF(A38&lt;'Données projet'!$A$114,$BV$205^A38,IF(A38='Données projet'!$A$114,'Données projet'!$B$114,BY37+BX38-CG37)))</f>
        <v>116</v>
      </c>
      <c r="BZ38" s="14">
        <f>BY38*VLOOKUP('Données projet'!$B$12,Paramètres!$A$1:$I$89,3,0)*VLOOKUP('Données projet'!$B$12,Paramètres!$A$1:$I$89,5,0)</f>
        <v>104.9568</v>
      </c>
      <c r="CA38" s="14">
        <f t="shared" si="39"/>
        <v>28.139541339232373</v>
      </c>
      <c r="CB38" s="22">
        <f t="shared" si="10"/>
        <v>231.8094611658297</v>
      </c>
      <c r="CC38" s="60">
        <f t="shared" si="11"/>
        <v>525.14279449916307</v>
      </c>
      <c r="CD38" s="60">
        <f ca="1">AVERAGE(OFFSET($CC$3,0,0,'Données projet'!$E$12+1,1))-AVERAGE(OFFSET($H$3,0,0,'Données projet'!$E$12+1,1))</f>
        <v>428.8489304403459</v>
      </c>
      <c r="CE38" s="60">
        <f t="shared" si="40"/>
        <v>247.01165577562966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10.576153846153847</v>
      </c>
      <c r="CT38" s="13">
        <f>IF('Données projet'!$A$140&gt;35,CT37+CS38-DB37,IF(A38&lt;'Données projet'!$A$140,$CQ$205^A38,IF(A38='Données projet'!$A$140,'Données projet'!$B$140,CT37+CS38-DB37)))</f>
        <v>200.13461538461544</v>
      </c>
      <c r="CU38" s="18">
        <f>CT38*VLOOKUP('Données projet'!$B$13,Paramètres!$A$1:$I$89,3,0)*VLOOKUP('Données projet'!$B$13,Paramètres!$A$1:$I$89,5,0)</f>
        <v>93.663000000000025</v>
      </c>
      <c r="CV38" s="14">
        <f t="shared" si="41"/>
        <v>25.446590807882203</v>
      </c>
      <c r="CW38" s="22">
        <f t="shared" si="13"/>
        <v>207.44920399039486</v>
      </c>
      <c r="CX38" s="60">
        <f t="shared" si="14"/>
        <v>500.78253732372821</v>
      </c>
      <c r="CY38" s="60">
        <f ca="1">AVERAGE(OFFSET($CX$3,0,0,'Données projet'!$E$13+1,1))-AVERAGE(OFFSET($H$3,0,0,'Données projet'!$E$13+1,1))</f>
        <v>284.88646502866419</v>
      </c>
      <c r="CZ38" s="60">
        <f t="shared" si="42"/>
        <v>190.4880882944471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8</v>
      </c>
      <c r="DN38" s="13">
        <f t="array" ref="DN38">INDEX(DM:DM,MIN(IF(ISNUMBER(DM38:DM234),ROW(DM38:DM234),"")))</f>
        <v>8</v>
      </c>
      <c r="DO38" s="13">
        <f>IF('Données projet'!$A$166&gt;35,DO37+DN38-DW37,IF(A38&lt;'Données projet'!$A$166,$DL$205^A38,IF(A38='Données projet'!$A$166,'Données projet'!$B$166,DO37+DN38-DW37)))</f>
        <v>116</v>
      </c>
      <c r="DP38" s="18">
        <f>DO38*VLOOKUP('Données projet'!$B$14,Paramètres!$A$1:$I$89,3,0)*VLOOKUP('Données projet'!$B$14,Paramètres!$A$1:$I$89,5,0)</f>
        <v>124.86239999999999</v>
      </c>
      <c r="DQ38" s="14">
        <f t="shared" si="43"/>
        <v>32.806439280561598</v>
      </c>
      <c r="DR38" s="22">
        <f t="shared" si="16"/>
        <v>274.60656174697812</v>
      </c>
      <c r="DS38" s="60">
        <f t="shared" si="17"/>
        <v>567.93989508031143</v>
      </c>
      <c r="DT38" s="60">
        <f ca="1">AVERAGE(OFFSET($DS$3,0,0,'Données projet'!$E$14+1,1))-AVERAGE(OFFSET($H$3,0,0,'Données projet'!$E$14+1,1))</f>
        <v>502.07782026233912</v>
      </c>
      <c r="DU38" s="60">
        <f t="shared" si="44"/>
        <v>285.83623046025156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172</v>
      </c>
      <c r="EH38" s="13">
        <f>VLOOKUP(A38,'Données projet'!$A$191:$I$211,9,0)</f>
        <v>10.6</v>
      </c>
      <c r="EI38" s="13">
        <f t="array" ref="EI38">INDEX(EH:EH,MIN(IF(ISNUMBER(EH38:EH234),ROW(EH38:EH234),"")))</f>
        <v>10.6</v>
      </c>
      <c r="EJ38" s="13">
        <f>IF('Données projet'!$A$192&gt;35,EJ37+EI38-ER37,IF(A38&lt;'Données projet'!$A$192,$EG$205^A38,IF(A38='Données projet'!$A$192,'Données projet'!$B$192,EJ37+EI38-ER37)))</f>
        <v>171.99999999999991</v>
      </c>
      <c r="EK38" s="18">
        <f>EJ38*VLOOKUP('Données projet'!$B$15,Paramètres!$A$1:$I$89,3,0)*VLOOKUP('Données projet'!$B$15,Paramètres!$A$1:$I$89,5,0)</f>
        <v>150.25919999999996</v>
      </c>
      <c r="EL38" s="14">
        <f t="shared" si="45"/>
        <v>38.637483830798729</v>
      </c>
      <c r="EM38" s="22">
        <f t="shared" si="19"/>
        <v>328.99505767197434</v>
      </c>
      <c r="EN38" s="60">
        <f t="shared" si="20"/>
        <v>622.32839100530759</v>
      </c>
      <c r="EO38" s="60">
        <f ca="1">AVERAGE(OFFSET($EN$3,0,0,'Données projet'!$E$15+1,1))-AVERAGE(OFFSET($H$3,0,0,'Données projet'!$E$15+1,1))</f>
        <v>339.58437495284466</v>
      </c>
      <c r="EP38" s="60">
        <f t="shared" si="46"/>
        <v>371.26234252426531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116</v>
      </c>
      <c r="FC38" s="13">
        <f>VLOOKUP(A38,'Données projet'!$A$217:$I$237,9,0)</f>
        <v>8</v>
      </c>
      <c r="FD38" s="13">
        <f t="array" ref="FD38">INDEX(FC:FC,MIN(IF(ISNUMBER(FC38:FC234),ROW(FC38:FC234),"")))</f>
        <v>8</v>
      </c>
      <c r="FE38" s="13">
        <f>IF('Données projet'!$A$218&gt;35,FE37+FD38-FM37,IF(A38&lt;'Données projet'!$A$218,$FB$205^A38,IF(A38='Données projet'!$A$218,'Données projet'!$B$218,FE37+FD38-FM37)))</f>
        <v>116</v>
      </c>
      <c r="FF38" s="18">
        <f>FE38*VLOOKUP('Données projet'!$B$16,Paramètres!$A$1:$I$89,3,0)*VLOOKUP('Données projet'!$B$16,Paramètres!$A$1:$I$89,5,0)</f>
        <v>112.1952</v>
      </c>
      <c r="FG38" s="14">
        <f t="shared" si="47"/>
        <v>29.847594514573263</v>
      </c>
      <c r="FH38" s="22">
        <f t="shared" si="22"/>
        <v>247.39120044621509</v>
      </c>
      <c r="FI38" s="60">
        <f t="shared" si="23"/>
        <v>540.72453377954844</v>
      </c>
      <c r="FJ38" s="60">
        <f ca="1">AVERAGE(OFFSET($FI$3,0,0,'Données projet'!$E$16+1,1))-AVERAGE(OFFSET($H$3,0,0,'Données projet'!$E$16+1,1))</f>
        <v>455.50822833641354</v>
      </c>
      <c r="FK38" s="60">
        <f t="shared" si="48"/>
        <v>261.14722581688039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126.1416</v>
      </c>
      <c r="P39" s="14">
        <f t="shared" si="33"/>
        <v>33.10323903126482</v>
      </c>
      <c r="Q39" s="22">
        <f t="shared" si="53"/>
        <v>277.35142797945286</v>
      </c>
      <c r="R39" s="60">
        <f t="shared" si="0"/>
        <v>570.68476131278612</v>
      </c>
      <c r="S39" s="60">
        <f ca="1">AVERAGE(OFFSET($R$3,0,0,'Données projet'!$E$9+1,1))-AVERAGE(OFFSET($H$3,0,0,'Données projet'!$E$9+1,1))</f>
        <v>475.47920969424894</v>
      </c>
      <c r="T39" s="60">
        <f t="shared" si="34"/>
        <v>271.73544012419364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12.74038461538462</v>
      </c>
      <c r="AI39" s="14">
        <f>IF('Données projet'!$A$62&gt;35,AI38+AH39-AQ38,IF(A39&lt;'Données projet'!$A$62,$AF$205^A39,IF(A39='Données projet'!$A$62,'Données projet'!$B$62,AI38+AH39-AQ38)))</f>
        <v>179.11346153846151</v>
      </c>
      <c r="AJ39" s="14">
        <f>AI39*VLOOKUP('Données projet'!$B$10,Paramètres!$A$1:$I$89,3,0)*VLOOKUP('Données projet'!$B$10,Paramètres!$A$1:$I$89,5,0)</f>
        <v>107.10984999999999</v>
      </c>
      <c r="AK39" s="14">
        <f t="shared" si="35"/>
        <v>28.648991101707331</v>
      </c>
      <c r="AL39" s="22">
        <f t="shared" si="4"/>
        <v>236.44664825214025</v>
      </c>
      <c r="AM39" s="60">
        <f t="shared" si="5"/>
        <v>529.77998158547359</v>
      </c>
      <c r="AN39" s="60">
        <f ca="1">AVERAGE(OFFSET($AM$3,0,0,'Données projet'!$E$10+1,1))-AVERAGE(OFFSET($H$3,0,0,'Données projet'!$E$10+1,1))</f>
        <v>289.24721145176682</v>
      </c>
      <c r="AO39" s="60">
        <f t="shared" si="36"/>
        <v>229.06617320689003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1.9197422491215641</v>
      </c>
      <c r="AW39" s="23">
        <f>EXP(-LN(2)/2)*AW38+(1-EXP(-LN(2)/2))/(LN(2)/2)*AQ39*AT39*VLOOKUP('Données projet'!$B$10,Paramètres!$A$1:$I$89,3,0)*0.475*44/12</f>
        <v>0.55418779520504269</v>
      </c>
      <c r="AX39" s="23">
        <f t="shared" si="6"/>
        <v>2.4739300443266066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9.5030769230769234</v>
      </c>
      <c r="BD39" s="13">
        <f>IF('Données projet'!$A$88&gt;35,BD38+BC39-BL38,IF(A39&lt;'Données projet'!$A$88,$BA$205^A39,IF(A39='Données projet'!$A$88,'Données projet'!$B$88,BD38+BC39-BL38)))</f>
        <v>194.0953846153846</v>
      </c>
      <c r="BE39" s="14">
        <f>BD39*VLOOKUP('Données projet'!$B$11,Paramètres!$A$1:$I$89,3,0)*VLOOKUP('Données projet'!$B$11,Paramètres!$A$1:$I$89,5,0)</f>
        <v>116.06904</v>
      </c>
      <c r="BF39" s="14">
        <f t="shared" si="37"/>
        <v>30.756397788363014</v>
      </c>
      <c r="BG39" s="22">
        <f t="shared" si="7"/>
        <v>255.72097081473225</v>
      </c>
      <c r="BH39" s="60">
        <f t="shared" si="8"/>
        <v>549.05430414806551</v>
      </c>
      <c r="BI39" s="60">
        <f ca="1">AVERAGE(OFFSET($BH$3,0,0,'Données projet'!$E$11+1,1))-AVERAGE(OFFSET($H$3,0,0,'Données projet'!$E$11+1,1))</f>
        <v>287.91374663515506</v>
      </c>
      <c r="BJ39" s="60">
        <f t="shared" si="38"/>
        <v>217.76240797006147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8.4</v>
      </c>
      <c r="BY39" s="13">
        <f>IF('Données projet'!$A$114&gt;35,BY38+BX39-CG38,IF(A39&lt;'Données projet'!$A$114,$BV$205^A39,IF(A39='Données projet'!$A$114,'Données projet'!$B$114,BY38+BX39-CG38)))</f>
        <v>124.4</v>
      </c>
      <c r="BZ39" s="14">
        <f>BY39*VLOOKUP('Données projet'!$B$12,Paramètres!$A$1:$I$89,3,0)*VLOOKUP('Données projet'!$B$12,Paramètres!$A$1:$I$89,5,0)</f>
        <v>112.55712000000001</v>
      </c>
      <c r="CA39" s="14">
        <f t="shared" si="39"/>
        <v>29.932653834140599</v>
      </c>
      <c r="CB39" s="22">
        <f t="shared" si="10"/>
        <v>248.16968942779488</v>
      </c>
      <c r="CC39" s="60">
        <f t="shared" si="11"/>
        <v>541.50302276112825</v>
      </c>
      <c r="CD39" s="60">
        <f ca="1">AVERAGE(OFFSET($CC$3,0,0,'Données projet'!$E$12+1,1))-AVERAGE(OFFSET($H$3,0,0,'Données projet'!$E$12+1,1))</f>
        <v>428.8489304403459</v>
      </c>
      <c r="CE39" s="60">
        <f t="shared" si="40"/>
        <v>247.01165577562966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10.576153846153847</v>
      </c>
      <c r="CT39" s="13">
        <f>IF('Données projet'!$A$140&gt;35,CT38+CS39-DB38,IF(A39&lt;'Données projet'!$A$140,$CQ$205^A39,IF(A39='Données projet'!$A$140,'Données projet'!$B$140,CT38+CS39-DB38)))</f>
        <v>210.7107692307693</v>
      </c>
      <c r="CU39" s="18">
        <f>CT39*VLOOKUP('Données projet'!$B$13,Paramètres!$A$1:$I$89,3,0)*VLOOKUP('Données projet'!$B$13,Paramètres!$A$1:$I$89,5,0)</f>
        <v>98.612640000000042</v>
      </c>
      <c r="CV39" s="14">
        <f t="shared" si="41"/>
        <v>26.631209895802694</v>
      </c>
      <c r="CW39" s="22">
        <f t="shared" si="13"/>
        <v>218.13303856852312</v>
      </c>
      <c r="CX39" s="60">
        <f t="shared" si="14"/>
        <v>511.46637190185641</v>
      </c>
      <c r="CY39" s="60">
        <f ca="1">AVERAGE(OFFSET($CX$3,0,0,'Données projet'!$E$13+1,1))-AVERAGE(OFFSET($H$3,0,0,'Données projet'!$E$13+1,1))</f>
        <v>284.88646502866419</v>
      </c>
      <c r="CZ39" s="60">
        <f t="shared" si="42"/>
        <v>190.4880882944471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124.4</v>
      </c>
      <c r="DP39" s="18">
        <f>DO39*VLOOKUP('Données projet'!$B$14,Paramètres!$A$1:$I$89,3,0)*VLOOKUP('Données projet'!$B$14,Paramètres!$A$1:$I$89,5,0)</f>
        <v>133.90415999999999</v>
      </c>
      <c r="DQ39" s="14">
        <f t="shared" si="43"/>
        <v>34.896936615903982</v>
      </c>
      <c r="DR39" s="22">
        <f t="shared" si="16"/>
        <v>293.99524327269938</v>
      </c>
      <c r="DS39" s="60">
        <f t="shared" si="17"/>
        <v>587.3285766060327</v>
      </c>
      <c r="DT39" s="60">
        <f ca="1">AVERAGE(OFFSET($DS$3,0,0,'Données projet'!$E$14+1,1))-AVERAGE(OFFSET($H$3,0,0,'Données projet'!$E$14+1,1))</f>
        <v>502.07782026233912</v>
      </c>
      <c r="DU39" s="60">
        <f t="shared" si="44"/>
        <v>285.83623046025156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9.6</v>
      </c>
      <c r="EJ39" s="13">
        <f>IF('Données projet'!$A$192&gt;35,EJ38+EI39-ER38,IF(A39&lt;'Données projet'!$A$192,$EG$205^A39,IF(A39='Données projet'!$A$192,'Données projet'!$B$192,EJ38+EI39-ER38)))</f>
        <v>181.59999999999991</v>
      </c>
      <c r="EK39" s="18">
        <f>EJ39*VLOOKUP('Données projet'!$B$15,Paramètres!$A$1:$I$89,3,0)*VLOOKUP('Données projet'!$B$15,Paramètres!$A$1:$I$89,5,0)</f>
        <v>158.64575999999994</v>
      </c>
      <c r="EL39" s="14">
        <f t="shared" si="45"/>
        <v>40.536911851071054</v>
      </c>
      <c r="EM39" s="22">
        <f t="shared" si="19"/>
        <v>346.9098201406153</v>
      </c>
      <c r="EN39" s="60">
        <f t="shared" si="20"/>
        <v>640.24315347394861</v>
      </c>
      <c r="EO39" s="60">
        <f ca="1">AVERAGE(OFFSET($EN$3,0,0,'Données projet'!$E$15+1,1))-AVERAGE(OFFSET($H$3,0,0,'Données projet'!$E$15+1,1))</f>
        <v>339.58437495284466</v>
      </c>
      <c r="EP39" s="60">
        <f t="shared" si="46"/>
        <v>371.26234252426531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8.4</v>
      </c>
      <c r="FE39" s="13">
        <f>IF('Données projet'!$A$218&gt;35,FE38+FD39-FM38,IF(A39&lt;'Données projet'!$A$218,$FB$205^A39,IF(A39='Données projet'!$A$218,'Données projet'!$B$218,FE38+FD39-FM38)))</f>
        <v>124.4</v>
      </c>
      <c r="FF39" s="18">
        <f>FE39*VLOOKUP('Données projet'!$B$16,Paramètres!$A$1:$I$89,3,0)*VLOOKUP('Données projet'!$B$16,Paramètres!$A$1:$I$89,5,0)</f>
        <v>120.31968000000001</v>
      </c>
      <c r="FG39" s="14">
        <f t="shared" si="47"/>
        <v>31.74954785566829</v>
      </c>
      <c r="FH39" s="22">
        <f t="shared" si="22"/>
        <v>264.85390518195555</v>
      </c>
      <c r="FI39" s="60">
        <f t="shared" si="23"/>
        <v>558.18723851528887</v>
      </c>
      <c r="FJ39" s="60">
        <f ca="1">AVERAGE(OFFSET($FI$3,0,0,'Données projet'!$E$16+1,1))-AVERAGE(OFFSET($H$3,0,0,'Données projet'!$E$16+1,1))</f>
        <v>455.50822833641354</v>
      </c>
      <c r="FK39" s="60">
        <f t="shared" si="48"/>
        <v>261.14722581688039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134.65920000000003</v>
      </c>
      <c r="P40" s="14">
        <f t="shared" si="33"/>
        <v>35.07074737441733</v>
      </c>
      <c r="Q40" s="22">
        <f t="shared" si="53"/>
        <v>295.61299167711019</v>
      </c>
      <c r="R40" s="60">
        <f t="shared" si="0"/>
        <v>588.9463250104435</v>
      </c>
      <c r="S40" s="60">
        <f ca="1">AVERAGE(OFFSET($R$3,0,0,'Données projet'!$E$9+1,1))-AVERAGE(OFFSET($H$3,0,0,'Données projet'!$E$9+1,1))</f>
        <v>475.47920969424894</v>
      </c>
      <c r="T40" s="60">
        <f t="shared" si="34"/>
        <v>271.73544012419364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12.74038461538462</v>
      </c>
      <c r="AI40" s="14">
        <f>IF('Données projet'!$A$62&gt;35,AI39+AH40-AQ39,IF(A40&lt;'Données projet'!$A$62,$AF$205^A40,IF(A40='Données projet'!$A$62,'Données projet'!$B$62,AI39+AH40-AQ39)))</f>
        <v>191.85384615384612</v>
      </c>
      <c r="AJ40" s="14">
        <f>AI40*VLOOKUP('Données projet'!$B$10,Paramètres!$A$1:$I$89,3,0)*VLOOKUP('Données projet'!$B$10,Paramètres!$A$1:$I$89,5,0)</f>
        <v>114.72859999999999</v>
      </c>
      <c r="AK40" s="14">
        <f t="shared" si="35"/>
        <v>30.442335906087649</v>
      </c>
      <c r="AL40" s="22">
        <f t="shared" si="4"/>
        <v>252.83938003643593</v>
      </c>
      <c r="AM40" s="60">
        <f t="shared" si="5"/>
        <v>546.17271336976921</v>
      </c>
      <c r="AN40" s="60">
        <f ca="1">AVERAGE(OFFSET($AM$3,0,0,'Données projet'!$E$10+1,1))-AVERAGE(OFFSET($H$3,0,0,'Données projet'!$E$10+1,1))</f>
        <v>289.24721145176682</v>
      </c>
      <c r="AO40" s="60">
        <f t="shared" si="36"/>
        <v>229.06617320689003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1.8672467963644777</v>
      </c>
      <c r="AW40" s="23">
        <f>EXP(-LN(2)/2)*AW39+(1-EXP(-LN(2)/2))/(LN(2)/2)*AQ40*AT40*VLOOKUP('Données projet'!$B$10,Paramètres!$A$1:$I$89,3,0)*0.475*44/12</f>
        <v>0.39186994804030734</v>
      </c>
      <c r="AX40" s="23">
        <f t="shared" si="6"/>
        <v>2.259116744404785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9.5030769230769234</v>
      </c>
      <c r="BD40" s="13">
        <f>IF('Données projet'!$A$88&gt;35,BD39+BC40-BL39,IF(A40&lt;'Données projet'!$A$88,$BA$205^A40,IF(A40='Données projet'!$A$88,'Données projet'!$B$88,BD39+BC40-BL39)))</f>
        <v>203.59846153846152</v>
      </c>
      <c r="BE40" s="14">
        <f>BD40*VLOOKUP('Données projet'!$B$11,Paramètres!$A$1:$I$89,3,0)*VLOOKUP('Données projet'!$B$11,Paramètres!$A$1:$I$89,5,0)</f>
        <v>121.75188</v>
      </c>
      <c r="BF40" s="14">
        <f t="shared" si="37"/>
        <v>32.083251237176221</v>
      </c>
      <c r="BG40" s="22">
        <f t="shared" si="7"/>
        <v>267.92952023808192</v>
      </c>
      <c r="BH40" s="60">
        <f t="shared" si="8"/>
        <v>561.26285357141523</v>
      </c>
      <c r="BI40" s="60">
        <f ca="1">AVERAGE(OFFSET($BH$3,0,0,'Données projet'!$E$11+1,1))-AVERAGE(OFFSET($H$3,0,0,'Données projet'!$E$11+1,1))</f>
        <v>287.91374663515506</v>
      </c>
      <c r="BJ40" s="60">
        <f t="shared" si="38"/>
        <v>217.76240797006147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8.4</v>
      </c>
      <c r="BY40" s="13">
        <f>IF('Données projet'!$A$114&gt;35,BY39+BX40-CG39,IF(A40&lt;'Données projet'!$A$114,$BV$205^A40,IF(A40='Données projet'!$A$114,'Données projet'!$B$114,BY39+BX40-CG39)))</f>
        <v>132.80000000000001</v>
      </c>
      <c r="BZ40" s="14">
        <f>BY40*VLOOKUP('Données projet'!$B$12,Paramètres!$A$1:$I$89,3,0)*VLOOKUP('Données projet'!$B$12,Paramètres!$A$1:$I$89,5,0)</f>
        <v>120.15744000000001</v>
      </c>
      <c r="CA40" s="14">
        <f t="shared" si="39"/>
        <v>31.711716786129845</v>
      </c>
      <c r="CB40" s="22">
        <f t="shared" si="10"/>
        <v>264.50544806917611</v>
      </c>
      <c r="CC40" s="60">
        <f t="shared" si="11"/>
        <v>557.83878140250943</v>
      </c>
      <c r="CD40" s="60">
        <f ca="1">AVERAGE(OFFSET($CC$3,0,0,'Données projet'!$E$12+1,1))-AVERAGE(OFFSET($H$3,0,0,'Données projet'!$E$12+1,1))</f>
        <v>428.8489304403459</v>
      </c>
      <c r="CE40" s="60">
        <f t="shared" si="40"/>
        <v>247.01165577562966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10.576153846153847</v>
      </c>
      <c r="CT40" s="13">
        <f>IF('Données projet'!$A$140&gt;35,CT39+CS40-DB39,IF(A40&lt;'Données projet'!$A$140,$CQ$205^A40,IF(A40='Données projet'!$A$140,'Données projet'!$B$140,CT39+CS40-DB39)))</f>
        <v>221.28692307692316</v>
      </c>
      <c r="CU40" s="18">
        <f>CT40*VLOOKUP('Données projet'!$B$13,Paramètres!$A$1:$I$89,3,0)*VLOOKUP('Données projet'!$B$13,Paramètres!$A$1:$I$89,5,0)</f>
        <v>103.56228000000003</v>
      </c>
      <c r="CV40" s="14">
        <f t="shared" si="41"/>
        <v>27.808925039939943</v>
      </c>
      <c r="CW40" s="22">
        <f t="shared" si="13"/>
        <v>228.80484877789547</v>
      </c>
      <c r="CX40" s="60">
        <f t="shared" si="14"/>
        <v>522.13818211122884</v>
      </c>
      <c r="CY40" s="60">
        <f ca="1">AVERAGE(OFFSET($CX$3,0,0,'Données projet'!$E$13+1,1))-AVERAGE(OFFSET($H$3,0,0,'Données projet'!$E$13+1,1))</f>
        <v>284.88646502866419</v>
      </c>
      <c r="CZ40" s="60">
        <f t="shared" si="42"/>
        <v>190.4880882944471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132.80000000000001</v>
      </c>
      <c r="DP40" s="18">
        <f>DO40*VLOOKUP('Données projet'!$B$14,Paramètres!$A$1:$I$89,3,0)*VLOOKUP('Données projet'!$B$14,Paramètres!$A$1:$I$89,5,0)</f>
        <v>142.94592</v>
      </c>
      <c r="DQ40" s="14">
        <f t="shared" si="43"/>
        <v>36.971054314096854</v>
      </c>
      <c r="DR40" s="22">
        <f t="shared" si="16"/>
        <v>313.35539693038533</v>
      </c>
      <c r="DS40" s="60">
        <f t="shared" si="17"/>
        <v>606.68873026371864</v>
      </c>
      <c r="DT40" s="60">
        <f ca="1">AVERAGE(OFFSET($DS$3,0,0,'Données projet'!$E$14+1,1))-AVERAGE(OFFSET($H$3,0,0,'Données projet'!$E$14+1,1))</f>
        <v>502.07782026233912</v>
      </c>
      <c r="DU40" s="60">
        <f t="shared" si="44"/>
        <v>285.83623046025156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9.6</v>
      </c>
      <c r="EJ40" s="13">
        <f>IF('Données projet'!$A$192&gt;35,EJ39+EI40-ER39,IF(A40&lt;'Données projet'!$A$192,$EG$205^A40,IF(A40='Données projet'!$A$192,'Données projet'!$B$192,EJ39+EI40-ER39)))</f>
        <v>191.1999999999999</v>
      </c>
      <c r="EK40" s="18">
        <f>EJ40*VLOOKUP('Données projet'!$B$15,Paramètres!$A$1:$I$89,3,0)*VLOOKUP('Données projet'!$B$15,Paramètres!$A$1:$I$89,5,0)</f>
        <v>167.03231999999994</v>
      </c>
      <c r="EL40" s="14">
        <f t="shared" si="45"/>
        <v>42.424682267054841</v>
      </c>
      <c r="EM40" s="22">
        <f t="shared" si="19"/>
        <v>364.80427894845371</v>
      </c>
      <c r="EN40" s="60">
        <f t="shared" si="20"/>
        <v>658.13761228178703</v>
      </c>
      <c r="EO40" s="60">
        <f ca="1">AVERAGE(OFFSET($EN$3,0,0,'Données projet'!$E$15+1,1))-AVERAGE(OFFSET($H$3,0,0,'Données projet'!$E$15+1,1))</f>
        <v>339.58437495284466</v>
      </c>
      <c r="EP40" s="60">
        <f t="shared" si="46"/>
        <v>371.26234252426531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8.4</v>
      </c>
      <c r="FE40" s="13">
        <f>IF('Données projet'!$A$218&gt;35,FE39+FD40-FM39,IF(A40&lt;'Données projet'!$A$218,$FB$205^A40,IF(A40='Données projet'!$A$218,'Données projet'!$B$218,FE39+FD40-FM39)))</f>
        <v>132.80000000000001</v>
      </c>
      <c r="FF40" s="18">
        <f>FE40*VLOOKUP('Données projet'!$B$16,Paramètres!$A$1:$I$89,3,0)*VLOOKUP('Données projet'!$B$16,Paramètres!$A$1:$I$89,5,0)</f>
        <v>128.44416000000001</v>
      </c>
      <c r="FG40" s="14">
        <f t="shared" si="47"/>
        <v>33.636598855068925</v>
      </c>
      <c r="FH40" s="22">
        <f t="shared" si="22"/>
        <v>282.29065500591173</v>
      </c>
      <c r="FI40" s="60">
        <f t="shared" si="23"/>
        <v>575.62398833924499</v>
      </c>
      <c r="FJ40" s="60">
        <f ca="1">AVERAGE(OFFSET($FI$3,0,0,'Données projet'!$E$16+1,1))-AVERAGE(OFFSET($H$3,0,0,'Données projet'!$E$16+1,1))</f>
        <v>455.50822833641354</v>
      </c>
      <c r="FK40" s="60">
        <f t="shared" si="48"/>
        <v>261.14722581688039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143.17680000000004</v>
      </c>
      <c r="P41" s="14">
        <f t="shared" si="33"/>
        <v>37.023812674521515</v>
      </c>
      <c r="Q41" s="22">
        <f t="shared" si="53"/>
        <v>313.84940040812506</v>
      </c>
      <c r="R41" s="60">
        <f t="shared" si="0"/>
        <v>607.18273374145838</v>
      </c>
      <c r="S41" s="60">
        <f ca="1">AVERAGE(OFFSET($R$3,0,0,'Données projet'!$E$9+1,1))-AVERAGE(OFFSET($H$3,0,0,'Données projet'!$E$9+1,1))</f>
        <v>475.47920969424894</v>
      </c>
      <c r="T41" s="60">
        <f t="shared" si="34"/>
        <v>271.73544012419364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12.74038461538462</v>
      </c>
      <c r="AI41" s="14">
        <f>IF('Données projet'!$A$62&gt;35,AI40+AH41-AQ40,IF(A41&lt;'Données projet'!$A$62,$AF$205^A41,IF(A41='Données projet'!$A$62,'Données projet'!$B$62,AI40+AH41-AQ40)))</f>
        <v>204.59423076923073</v>
      </c>
      <c r="AJ41" s="14">
        <f>AI41*VLOOKUP('Données projet'!$B$10,Paramètres!$A$1:$I$89,3,0)*VLOOKUP('Données projet'!$B$10,Paramètres!$A$1:$I$89,5,0)</f>
        <v>122.34734999999998</v>
      </c>
      <c r="AK41" s="14">
        <f t="shared" si="35"/>
        <v>32.221861336884515</v>
      </c>
      <c r="AL41" s="22">
        <f t="shared" si="4"/>
        <v>269.20804307840717</v>
      </c>
      <c r="AM41" s="60">
        <f t="shared" si="5"/>
        <v>562.54137641174043</v>
      </c>
      <c r="AN41" s="60">
        <f ca="1">AVERAGE(OFFSET($AM$3,0,0,'Données projet'!$E$10+1,1))-AVERAGE(OFFSET($H$3,0,0,'Données projet'!$E$10+1,1))</f>
        <v>289.24721145176682</v>
      </c>
      <c r="AO41" s="60">
        <f t="shared" si="36"/>
        <v>229.06617320689003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1.8161868345236496</v>
      </c>
      <c r="AW41" s="23">
        <f>EXP(-LN(2)/2)*AW40+(1-EXP(-LN(2)/2))/(LN(2)/2)*AQ41*AT41*VLOOKUP('Données projet'!$B$10,Paramètres!$A$1:$I$89,3,0)*0.475*44/12</f>
        <v>0.27709389760252134</v>
      </c>
      <c r="AX41" s="23">
        <f t="shared" si="6"/>
        <v>2.0932807321261708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9.5030769230769234</v>
      </c>
      <c r="BD41" s="13">
        <f>IF('Données projet'!$A$88&gt;35,BD40+BC41-BL40,IF(A41&lt;'Données projet'!$A$88,$BA$205^A41,IF(A41='Données projet'!$A$88,'Données projet'!$B$88,BD40+BC41-BL40)))</f>
        <v>213.10153846153844</v>
      </c>
      <c r="BE41" s="14">
        <f>BD41*VLOOKUP('Données projet'!$B$11,Paramètres!$A$1:$I$89,3,0)*VLOOKUP('Données projet'!$B$11,Paramètres!$A$1:$I$89,5,0)</f>
        <v>127.43471999999998</v>
      </c>
      <c r="BF41" s="14">
        <f t="shared" si="37"/>
        <v>33.402912631097919</v>
      </c>
      <c r="BG41" s="22">
        <f t="shared" si="7"/>
        <v>280.12554349916218</v>
      </c>
      <c r="BH41" s="60">
        <f t="shared" si="8"/>
        <v>573.45887683249543</v>
      </c>
      <c r="BI41" s="60">
        <f ca="1">AVERAGE(OFFSET($BH$3,0,0,'Données projet'!$E$11+1,1))-AVERAGE(OFFSET($H$3,0,0,'Données projet'!$E$11+1,1))</f>
        <v>287.91374663515506</v>
      </c>
      <c r="BJ41" s="60">
        <f t="shared" si="38"/>
        <v>217.76240797006147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8.4</v>
      </c>
      <c r="BY41" s="13">
        <f>IF('Données projet'!$A$114&gt;35,BY40+BX41-CG40,IF(A41&lt;'Données projet'!$A$114,$BV$205^A41,IF(A41='Données projet'!$A$114,'Données projet'!$B$114,BY40+BX41-CG40)))</f>
        <v>141.20000000000002</v>
      </c>
      <c r="BZ41" s="14">
        <f>BY41*VLOOKUP('Données projet'!$B$12,Paramètres!$A$1:$I$89,3,0)*VLOOKUP('Données projet'!$B$12,Paramètres!$A$1:$I$89,5,0)</f>
        <v>127.75776</v>
      </c>
      <c r="CA41" s="14">
        <f t="shared" si="39"/>
        <v>33.477720030956604</v>
      </c>
      <c r="CB41" s="22">
        <f t="shared" si="10"/>
        <v>280.81846105391611</v>
      </c>
      <c r="CC41" s="60">
        <f t="shared" si="11"/>
        <v>574.15179438724942</v>
      </c>
      <c r="CD41" s="60">
        <f ca="1">AVERAGE(OFFSET($CC$3,0,0,'Données projet'!$E$12+1,1))-AVERAGE(OFFSET($H$3,0,0,'Données projet'!$E$12+1,1))</f>
        <v>428.8489304403459</v>
      </c>
      <c r="CE41" s="60">
        <f t="shared" si="40"/>
        <v>247.01165577562966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10.576153846153847</v>
      </c>
      <c r="CT41" s="13">
        <f>IF('Données projet'!$A$140&gt;35,CT40+CS41-DB40,IF(A41&lt;'Données projet'!$A$140,$CQ$205^A41,IF(A41='Données projet'!$A$140,'Données projet'!$B$140,CT40+CS41-DB40)))</f>
        <v>231.86307692307702</v>
      </c>
      <c r="CU41" s="18">
        <f>CT41*VLOOKUP('Données projet'!$B$13,Paramètres!$A$1:$I$89,3,0)*VLOOKUP('Données projet'!$B$13,Paramètres!$A$1:$I$89,5,0)</f>
        <v>108.51192000000005</v>
      </c>
      <c r="CV41" s="14">
        <f t="shared" si="41"/>
        <v>28.980103877964574</v>
      </c>
      <c r="CW41" s="22">
        <f t="shared" si="13"/>
        <v>239.46527492078837</v>
      </c>
      <c r="CX41" s="60">
        <f t="shared" si="14"/>
        <v>532.79860825412175</v>
      </c>
      <c r="CY41" s="60">
        <f ca="1">AVERAGE(OFFSET($CX$3,0,0,'Données projet'!$E$13+1,1))-AVERAGE(OFFSET($H$3,0,0,'Données projet'!$E$13+1,1))</f>
        <v>284.88646502866419</v>
      </c>
      <c r="CZ41" s="60">
        <f t="shared" si="42"/>
        <v>190.4880882944471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141.20000000000002</v>
      </c>
      <c r="DP41" s="18">
        <f>DO41*VLOOKUP('Données projet'!$B$14,Paramètres!$A$1:$I$89,3,0)*VLOOKUP('Données projet'!$B$14,Paramètres!$A$1:$I$89,5,0)</f>
        <v>151.98768000000001</v>
      </c>
      <c r="DQ41" s="14">
        <f t="shared" si="43"/>
        <v>39.029946373574369</v>
      </c>
      <c r="DR41" s="22">
        <f t="shared" si="16"/>
        <v>332.68903260064207</v>
      </c>
      <c r="DS41" s="60">
        <f t="shared" si="17"/>
        <v>626.02236593397538</v>
      </c>
      <c r="DT41" s="60">
        <f ca="1">AVERAGE(OFFSET($DS$3,0,0,'Données projet'!$E$14+1,1))-AVERAGE(OFFSET($H$3,0,0,'Données projet'!$E$14+1,1))</f>
        <v>502.07782026233912</v>
      </c>
      <c r="DU41" s="60">
        <f t="shared" si="44"/>
        <v>285.83623046025156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9.6</v>
      </c>
      <c r="EJ41" s="13">
        <f>IF('Données projet'!$A$192&gt;35,EJ40+EI41-ER40,IF(A41&lt;'Données projet'!$A$192,$EG$205^A41,IF(A41='Données projet'!$A$192,'Données projet'!$B$192,EJ40+EI41-ER40)))</f>
        <v>200.7999999999999</v>
      </c>
      <c r="EK41" s="18">
        <f>EJ41*VLOOKUP('Données projet'!$B$15,Paramètres!$A$1:$I$89,3,0)*VLOOKUP('Données projet'!$B$15,Paramètres!$A$1:$I$89,5,0)</f>
        <v>175.41887999999992</v>
      </c>
      <c r="EL41" s="14">
        <f t="shared" si="45"/>
        <v>44.301447184391158</v>
      </c>
      <c r="EM41" s="22">
        <f t="shared" si="19"/>
        <v>382.67956984614779</v>
      </c>
      <c r="EN41" s="60">
        <f t="shared" si="20"/>
        <v>676.0129031794811</v>
      </c>
      <c r="EO41" s="60">
        <f ca="1">AVERAGE(OFFSET($EN$3,0,0,'Données projet'!$E$15+1,1))-AVERAGE(OFFSET($H$3,0,0,'Données projet'!$E$15+1,1))</f>
        <v>339.58437495284466</v>
      </c>
      <c r="EP41" s="60">
        <f t="shared" si="46"/>
        <v>371.26234252426531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8.4</v>
      </c>
      <c r="FE41" s="13">
        <f>IF('Données projet'!$A$218&gt;35,FE40+FD41-FM40,IF(A41&lt;'Données projet'!$A$218,$FB$205^A41,IF(A41='Données projet'!$A$218,'Données projet'!$B$218,FE40+FD41-FM40)))</f>
        <v>141.20000000000002</v>
      </c>
      <c r="FF41" s="18">
        <f>FE41*VLOOKUP('Données projet'!$B$16,Paramètres!$A$1:$I$89,3,0)*VLOOKUP('Données projet'!$B$16,Paramètres!$A$1:$I$89,5,0)</f>
        <v>136.56864000000002</v>
      </c>
      <c r="FG41" s="14">
        <f t="shared" si="47"/>
        <v>35.509797430964703</v>
      </c>
      <c r="FH41" s="22">
        <f t="shared" si="22"/>
        <v>299.70327852559689</v>
      </c>
      <c r="FI41" s="60">
        <f t="shared" si="23"/>
        <v>593.0366118589302</v>
      </c>
      <c r="FJ41" s="60">
        <f ca="1">AVERAGE(OFFSET($FI$3,0,0,'Données projet'!$E$16+1,1))-AVERAGE(OFFSET($H$3,0,0,'Données projet'!$E$16+1,1))</f>
        <v>455.50822833641354</v>
      </c>
      <c r="FK41" s="60">
        <f t="shared" si="48"/>
        <v>261.14722581688039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151.69440000000003</v>
      </c>
      <c r="P42" s="14">
        <f t="shared" si="33"/>
        <v>38.963392010880654</v>
      </c>
      <c r="Q42" s="22">
        <f t="shared" si="53"/>
        <v>332.06232108561716</v>
      </c>
      <c r="R42" s="60">
        <f t="shared" si="0"/>
        <v>625.39565441895047</v>
      </c>
      <c r="S42" s="60">
        <f ca="1">AVERAGE(OFFSET($R$3,0,0,'Données projet'!$E$9+1,1))-AVERAGE(OFFSET($H$3,0,0,'Données projet'!$E$9+1,1))</f>
        <v>475.47920969424894</v>
      </c>
      <c r="T42" s="60">
        <f t="shared" si="34"/>
        <v>271.73544012419364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12.74038461538462</v>
      </c>
      <c r="AI42" s="14">
        <f>IF('Données projet'!$A$62&gt;35,AI41+AH42-AQ41,IF(A42&lt;'Données projet'!$A$62,$AF$205^A42,IF(A42='Données projet'!$A$62,'Données projet'!$B$62,AI41+AH42-AQ41)))</f>
        <v>217.33461538461535</v>
      </c>
      <c r="AJ42" s="14">
        <f>AI42*VLOOKUP('Données projet'!$B$10,Paramètres!$A$1:$I$89,3,0)*VLOOKUP('Données projet'!$B$10,Paramètres!$A$1:$I$89,5,0)</f>
        <v>129.96609999999998</v>
      </c>
      <c r="AK42" s="14">
        <f t="shared" si="35"/>
        <v>33.988525918782614</v>
      </c>
      <c r="AL42" s="22">
        <f t="shared" si="4"/>
        <v>285.5543068085463</v>
      </c>
      <c r="AM42" s="60">
        <f t="shared" si="5"/>
        <v>578.88764014187961</v>
      </c>
      <c r="AN42" s="60">
        <f ca="1">AVERAGE(OFFSET($AM$3,0,0,'Données projet'!$E$10+1,1))-AVERAGE(OFFSET($H$3,0,0,'Données projet'!$E$10+1,1))</f>
        <v>289.24721145176682</v>
      </c>
      <c r="AO42" s="60">
        <f t="shared" si="36"/>
        <v>229.06617320689003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1.7665231100244858</v>
      </c>
      <c r="AW42" s="23">
        <f>EXP(-LN(2)/2)*AW41+(1-EXP(-LN(2)/2))/(LN(2)/2)*AQ42*AT42*VLOOKUP('Données projet'!$B$10,Paramètres!$A$1:$I$89,3,0)*0.475*44/12</f>
        <v>0.19593497402015367</v>
      </c>
      <c r="AX42" s="23">
        <f t="shared" si="6"/>
        <v>1.9624580840446395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9.5030769230769234</v>
      </c>
      <c r="BD42" s="13">
        <f>IF('Données projet'!$A$88&gt;35,BD41+BC42-BL41,IF(A42&lt;'Données projet'!$A$88,$BA$205^A42,IF(A42='Données projet'!$A$88,'Données projet'!$B$88,BD41+BC42-BL41)))</f>
        <v>222.60461538461536</v>
      </c>
      <c r="BE42" s="14">
        <f>BD42*VLOOKUP('Données projet'!$B$11,Paramètres!$A$1:$I$89,3,0)*VLOOKUP('Données projet'!$B$11,Paramètres!$A$1:$I$89,5,0)</f>
        <v>133.11756</v>
      </c>
      <c r="BF42" s="14">
        <f t="shared" si="37"/>
        <v>34.715739339986079</v>
      </c>
      <c r="BG42" s="22">
        <f t="shared" si="7"/>
        <v>292.30966301714238</v>
      </c>
      <c r="BH42" s="60">
        <f t="shared" si="8"/>
        <v>585.64299635047564</v>
      </c>
      <c r="BI42" s="60">
        <f ca="1">AVERAGE(OFFSET($BH$3,0,0,'Données projet'!$E$11+1,1))-AVERAGE(OFFSET($H$3,0,0,'Données projet'!$E$11+1,1))</f>
        <v>287.91374663515506</v>
      </c>
      <c r="BJ42" s="60">
        <f t="shared" si="38"/>
        <v>217.76240797006147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8.4</v>
      </c>
      <c r="BY42" s="13">
        <f>IF('Données projet'!$A$114&gt;35,BY41+BX42-CG41,IF(A42&lt;'Données projet'!$A$114,$BV$205^A42,IF(A42='Données projet'!$A$114,'Données projet'!$B$114,BY41+BX42-CG41)))</f>
        <v>149.60000000000002</v>
      </c>
      <c r="BZ42" s="14">
        <f>BY42*VLOOKUP('Données projet'!$B$12,Paramètres!$A$1:$I$89,3,0)*VLOOKUP('Données projet'!$B$12,Paramètres!$A$1:$I$89,5,0)</f>
        <v>135.35808</v>
      </c>
      <c r="CA42" s="14">
        <f t="shared" si="39"/>
        <v>35.231528980112834</v>
      </c>
      <c r="CB42" s="22">
        <f t="shared" si="10"/>
        <v>297.11023564036316</v>
      </c>
      <c r="CC42" s="60">
        <f t="shared" si="11"/>
        <v>590.44356897369653</v>
      </c>
      <c r="CD42" s="60">
        <f ca="1">AVERAGE(OFFSET($CC$3,0,0,'Données projet'!$E$12+1,1))-AVERAGE(OFFSET($H$3,0,0,'Données projet'!$E$12+1,1))</f>
        <v>428.8489304403459</v>
      </c>
      <c r="CE42" s="60">
        <f t="shared" si="40"/>
        <v>247.01165577562966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10.576153846153847</v>
      </c>
      <c r="CT42" s="13">
        <f>IF('Données projet'!$A$140&gt;35,CT41+CS42-DB41,IF(A42&lt;'Données projet'!$A$140,$CQ$205^A42,IF(A42='Données projet'!$A$140,'Données projet'!$B$140,CT41+CS42-DB41)))</f>
        <v>242.43923076923087</v>
      </c>
      <c r="CU42" s="18">
        <f>CT42*VLOOKUP('Données projet'!$B$13,Paramètres!$A$1:$I$89,3,0)*VLOOKUP('Données projet'!$B$13,Paramètres!$A$1:$I$89,5,0)</f>
        <v>113.46156000000005</v>
      </c>
      <c r="CV42" s="14">
        <f t="shared" si="41"/>
        <v>30.145078613091886</v>
      </c>
      <c r="CW42" s="22">
        <f t="shared" si="13"/>
        <v>250.11489558446848</v>
      </c>
      <c r="CX42" s="60">
        <f t="shared" si="14"/>
        <v>543.44822891780177</v>
      </c>
      <c r="CY42" s="60">
        <f ca="1">AVERAGE(OFFSET($CX$3,0,0,'Données projet'!$E$13+1,1))-AVERAGE(OFFSET($H$3,0,0,'Données projet'!$E$13+1,1))</f>
        <v>284.88646502866419</v>
      </c>
      <c r="CZ42" s="60">
        <f t="shared" si="42"/>
        <v>190.4880882944471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149.60000000000002</v>
      </c>
      <c r="DP42" s="18">
        <f>DO42*VLOOKUP('Données projet'!$B$14,Paramètres!$A$1:$I$89,3,0)*VLOOKUP('Données projet'!$B$14,Paramètres!$A$1:$I$89,5,0)</f>
        <v>161.02944000000002</v>
      </c>
      <c r="DQ42" s="14">
        <f t="shared" si="43"/>
        <v>41.074621732940685</v>
      </c>
      <c r="DR42" s="22">
        <f t="shared" si="16"/>
        <v>351.99790751820501</v>
      </c>
      <c r="DS42" s="60">
        <f t="shared" si="17"/>
        <v>645.33124085153827</v>
      </c>
      <c r="DT42" s="60">
        <f ca="1">AVERAGE(OFFSET($DS$3,0,0,'Données projet'!$E$14+1,1))-AVERAGE(OFFSET($H$3,0,0,'Données projet'!$E$14+1,1))</f>
        <v>502.07782026233912</v>
      </c>
      <c r="DU42" s="60">
        <f t="shared" si="44"/>
        <v>285.83623046025156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9.6</v>
      </c>
      <c r="EJ42" s="13">
        <f>IF('Données projet'!$A$192&gt;35,EJ41+EI42-ER41,IF(A42&lt;'Données projet'!$A$192,$EG$205^A42,IF(A42='Données projet'!$A$192,'Données projet'!$B$192,EJ41+EI42-ER41)))</f>
        <v>210.39999999999989</v>
      </c>
      <c r="EK42" s="18">
        <f>EJ42*VLOOKUP('Données projet'!$B$15,Paramètres!$A$1:$I$89,3,0)*VLOOKUP('Données projet'!$B$15,Paramètres!$A$1:$I$89,5,0)</f>
        <v>183.80543999999995</v>
      </c>
      <c r="EL42" s="14">
        <f t="shared" si="45"/>
        <v>46.167792832806036</v>
      </c>
      <c r="EM42" s="22">
        <f t="shared" si="19"/>
        <v>400.53671385047045</v>
      </c>
      <c r="EN42" s="60">
        <f t="shared" si="20"/>
        <v>693.87004718380376</v>
      </c>
      <c r="EO42" s="60">
        <f ca="1">AVERAGE(OFFSET($EN$3,0,0,'Données projet'!$E$15+1,1))-AVERAGE(OFFSET($H$3,0,0,'Données projet'!$E$15+1,1))</f>
        <v>339.58437495284466</v>
      </c>
      <c r="EP42" s="60">
        <f t="shared" si="46"/>
        <v>371.26234252426531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8.4</v>
      </c>
      <c r="FE42" s="13">
        <f>IF('Données projet'!$A$218&gt;35,FE41+FD42-FM41,IF(A42&lt;'Données projet'!$A$218,$FB$205^A42,IF(A42='Données projet'!$A$218,'Données projet'!$B$218,FE41+FD42-FM41)))</f>
        <v>149.60000000000002</v>
      </c>
      <c r="FF42" s="18">
        <f>FE42*VLOOKUP('Données projet'!$B$16,Paramètres!$A$1:$I$89,3,0)*VLOOKUP('Données projet'!$B$16,Paramètres!$A$1:$I$89,5,0)</f>
        <v>144.69312000000002</v>
      </c>
      <c r="FG42" s="14">
        <f t="shared" si="47"/>
        <v>37.370061524802772</v>
      </c>
      <c r="FH42" s="22">
        <f t="shared" si="22"/>
        <v>317.09337448903148</v>
      </c>
      <c r="FI42" s="60">
        <f t="shared" si="23"/>
        <v>610.42670782236473</v>
      </c>
      <c r="FJ42" s="60">
        <f ca="1">AVERAGE(OFFSET($FI$3,0,0,'Données projet'!$E$16+1,1))-AVERAGE(OFFSET($H$3,0,0,'Données projet'!$E$16+1,1))</f>
        <v>455.50822833641354</v>
      </c>
      <c r="FK42" s="60">
        <f t="shared" si="48"/>
        <v>261.14722581688039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160.21200000000005</v>
      </c>
      <c r="P43" s="14">
        <f t="shared" si="33"/>
        <v>40.890328912852695</v>
      </c>
      <c r="Q43" s="22">
        <f t="shared" si="53"/>
        <v>350.25322285655176</v>
      </c>
      <c r="R43" s="60">
        <f t="shared" si="0"/>
        <v>643.58655618988507</v>
      </c>
      <c r="S43" s="60">
        <f ca="1">AVERAGE(OFFSET($R$3,0,0,'Données projet'!$E$9+1,1))-AVERAGE(OFFSET($H$3,0,0,'Données projet'!$E$9+1,1))</f>
        <v>475.47920969424894</v>
      </c>
      <c r="T43" s="60">
        <f t="shared" si="34"/>
        <v>271.73544012419364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12.74038461538462</v>
      </c>
      <c r="AI43" s="14">
        <f>IF('Données projet'!$A$62&gt;35,AI42+AH43-AQ42,IF(A43&lt;'Données projet'!$A$62,$AF$205^A43,IF(A43='Données projet'!$A$62,'Données projet'!$B$62,AI42+AH43-AQ42)))</f>
        <v>230.07499999999996</v>
      </c>
      <c r="AJ43" s="14">
        <f>AI43*VLOOKUP('Données projet'!$B$10,Paramètres!$A$1:$I$89,3,0)*VLOOKUP('Données projet'!$B$10,Paramètres!$A$1:$I$89,5,0)</f>
        <v>137.58484999999999</v>
      </c>
      <c r="AK43" s="14">
        <f t="shared" si="35"/>
        <v>35.743169448737028</v>
      </c>
      <c r="AL43" s="22">
        <f t="shared" si="4"/>
        <v>301.87963387321696</v>
      </c>
      <c r="AM43" s="60">
        <f t="shared" si="5"/>
        <v>595.21296720655027</v>
      </c>
      <c r="AN43" s="60">
        <f ca="1">AVERAGE(OFFSET($AM$3,0,0,'Données projet'!$E$10+1,1))-AVERAGE(OFFSET($H$3,0,0,'Données projet'!$E$10+1,1))</f>
        <v>289.24721145176682</v>
      </c>
      <c r="AO43" s="60">
        <f t="shared" si="36"/>
        <v>229.06617320689003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1.7182174426834533</v>
      </c>
      <c r="AW43" s="23">
        <f>EXP(-LN(2)/2)*AW42+(1-EXP(-LN(2)/2))/(LN(2)/2)*AQ43*AT43*VLOOKUP('Données projet'!$B$10,Paramètres!$A$1:$I$89,3,0)*0.475*44/12</f>
        <v>0.13854694880126067</v>
      </c>
      <c r="AX43" s="23">
        <f t="shared" si="6"/>
        <v>1.8567643914847141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232.1076923076923</v>
      </c>
      <c r="BB43" s="13">
        <f>VLOOKUP(A43,'Données projet'!$A$87:$I$107,9,0)</f>
        <v>9.5030769230769234</v>
      </c>
      <c r="BC43" s="13">
        <f t="array" ref="BC43">INDEX(BB:BB,MIN(IF(ISNUMBER(BB43:BB239),ROW(BB43:BB239),"")))</f>
        <v>9.5030769230769234</v>
      </c>
      <c r="BD43" s="13">
        <f>IF('Données projet'!$A$88&gt;35,BD42+BC43-BL42,IF(A43&lt;'Données projet'!$A$88,$BA$205^A43,IF(A43='Données projet'!$A$88,'Données projet'!$B$88,BD42+BC43-BL42)))</f>
        <v>232.10769230769228</v>
      </c>
      <c r="BE43" s="14">
        <f>BD43*VLOOKUP('Données projet'!$B$11,Paramètres!$A$1:$I$89,3,0)*VLOOKUP('Données projet'!$B$11,Paramètres!$A$1:$I$89,5,0)</f>
        <v>138.8004</v>
      </c>
      <c r="BF43" s="14">
        <f t="shared" si="37"/>
        <v>36.022056495371388</v>
      </c>
      <c r="BG43" s="22">
        <f t="shared" si="7"/>
        <v>304.48244506277183</v>
      </c>
      <c r="BH43" s="60">
        <f t="shared" si="8"/>
        <v>597.81577839610509</v>
      </c>
      <c r="BI43" s="60">
        <f ca="1">AVERAGE(OFFSET($BH$3,0,0,'Données projet'!$E$11+1,1))-AVERAGE(OFFSET($H$3,0,0,'Données projet'!$E$11+1,1))</f>
        <v>287.91374663515506</v>
      </c>
      <c r="BJ43" s="60">
        <f t="shared" si="38"/>
        <v>217.76240797006147</v>
      </c>
      <c r="BK43" s="16">
        <f>IF(ISNA(VLOOKUP(A43,'Données projet'!$A$87:$I$107,3,0)),0,VLOOKUP(A43,'Données projet'!$A$87:$I$107,3,0))</f>
        <v>1</v>
      </c>
      <c r="BL43" s="16">
        <f>IF(ISNA(VLOOKUP(A43,'Données projet'!$A$87:$I$107,4,0)),0,VLOOKUP(A43,'Données projet'!$A$87:$I$107,4,0))</f>
        <v>65.969230769230776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158</v>
      </c>
      <c r="BW43" s="13">
        <f>VLOOKUP(A43,'Données projet'!$A$113:$I$133,9,0)</f>
        <v>8.4</v>
      </c>
      <c r="BX43" s="13">
        <f t="array" ref="BX43">INDEX(BW:BW,MIN(IF(ISNUMBER(BW43:BW239),ROW(BW43:BW239),"")))</f>
        <v>8.4</v>
      </c>
      <c r="BY43" s="13">
        <f>IF('Données projet'!$A$114&gt;35,BY42+BX43-CG42,IF(A43&lt;'Données projet'!$A$114,$BV$205^A43,IF(A43='Données projet'!$A$114,'Données projet'!$B$114,BY42+BX43-CG42)))</f>
        <v>158.00000000000003</v>
      </c>
      <c r="BZ43" s="14">
        <f>BY43*VLOOKUP('Données projet'!$B$12,Paramètres!$A$1:$I$89,3,0)*VLOOKUP('Données projet'!$B$12,Paramètres!$A$1:$I$89,5,0)</f>
        <v>142.95840000000004</v>
      </c>
      <c r="CA43" s="14">
        <f t="shared" si="39"/>
        <v>36.973906370811264</v>
      </c>
      <c r="CB43" s="22">
        <f t="shared" si="10"/>
        <v>313.38210026249641</v>
      </c>
      <c r="CC43" s="60">
        <f t="shared" si="11"/>
        <v>606.71543359582972</v>
      </c>
      <c r="CD43" s="60">
        <f ca="1">AVERAGE(OFFSET($CC$3,0,0,'Données projet'!$E$12+1,1))-AVERAGE(OFFSET($H$3,0,0,'Données projet'!$E$12+1,1))</f>
        <v>428.8489304403459</v>
      </c>
      <c r="CE43" s="60">
        <f t="shared" si="40"/>
        <v>247.01165577562966</v>
      </c>
      <c r="CF43" s="16">
        <f>IF(ISNA(VLOOKUP(A43,'Données projet'!$A$113:$I$133,3,0)),0,VLOOKUP(A43,'Données projet'!$A$113:$I$133,3,0))</f>
        <v>2</v>
      </c>
      <c r="CG43" s="16">
        <f>IF(ISNA(VLOOKUP(A43,'Données projet'!$A$113:$I$133,4,0)),0,VLOOKUP(A43,'Données projet'!$A$113:$I$133,4,0))</f>
        <v>42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253.01538461538462</v>
      </c>
      <c r="CR43" s="13">
        <f>VLOOKUP(A43,'Données projet'!$A$139:$I$159,9,0)</f>
        <v>10.576153846153847</v>
      </c>
      <c r="CS43" s="13">
        <f t="array" ref="CS43">INDEX(CR:CR,MIN(IF(ISNUMBER(CR43:CR239),ROW(CR43:CR239),"")))</f>
        <v>10.576153846153847</v>
      </c>
      <c r="CT43" s="13">
        <f>IF('Données projet'!$A$140&gt;35,CT42+CS43-DB42,IF(A43&lt;'Données projet'!$A$140,$CQ$205^A43,IF(A43='Données projet'!$A$140,'Données projet'!$B$140,CT42+CS43-DB42)))</f>
        <v>253.01538461538473</v>
      </c>
      <c r="CU43" s="18">
        <f>CT43*VLOOKUP('Données projet'!$B$13,Paramètres!$A$1:$I$89,3,0)*VLOOKUP('Données projet'!$B$13,Paramètres!$A$1:$I$89,5,0)</f>
        <v>118.41120000000006</v>
      </c>
      <c r="CV43" s="14">
        <f t="shared" si="41"/>
        <v>31.304150825519994</v>
      </c>
      <c r="CW43" s="22">
        <f t="shared" si="13"/>
        <v>260.75423602111408</v>
      </c>
      <c r="CX43" s="60">
        <f t="shared" si="14"/>
        <v>554.0875693544474</v>
      </c>
      <c r="CY43" s="60">
        <f ca="1">AVERAGE(OFFSET($CX$3,0,0,'Données projet'!$E$13+1,1))-AVERAGE(OFFSET($H$3,0,0,'Données projet'!$E$13+1,1))</f>
        <v>284.88646502866419</v>
      </c>
      <c r="CZ43" s="60">
        <f t="shared" si="42"/>
        <v>190.4880882944471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158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158.00000000000003</v>
      </c>
      <c r="DP43" s="18">
        <f>DO43*VLOOKUP('Données projet'!$B$14,Paramètres!$A$1:$I$89,3,0)*VLOOKUP('Données projet'!$B$14,Paramètres!$A$1:$I$89,5,0)</f>
        <v>170.07120000000003</v>
      </c>
      <c r="DQ43" s="14">
        <f t="shared" si="43"/>
        <v>43.10596962815594</v>
      </c>
      <c r="DR43" s="22">
        <f t="shared" si="16"/>
        <v>371.28357043570503</v>
      </c>
      <c r="DS43" s="60">
        <f t="shared" si="17"/>
        <v>664.61690376903834</v>
      </c>
      <c r="DT43" s="60">
        <f ca="1">AVERAGE(OFFSET($DS$3,0,0,'Données projet'!$E$14+1,1))-AVERAGE(OFFSET($H$3,0,0,'Données projet'!$E$14+1,1))</f>
        <v>502.07782026233912</v>
      </c>
      <c r="DU43" s="60">
        <f t="shared" si="44"/>
        <v>285.83623046025156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42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220</v>
      </c>
      <c r="EH43" s="13">
        <f>VLOOKUP(A43,'Données projet'!$A$191:$I$211,9,0)</f>
        <v>9.6</v>
      </c>
      <c r="EI43" s="13">
        <f t="array" ref="EI43">INDEX(EH:EH,MIN(IF(ISNUMBER(EH43:EH239),ROW(EH43:EH239),"")))</f>
        <v>9.6</v>
      </c>
      <c r="EJ43" s="13">
        <f>IF('Données projet'!$A$192&gt;35,EJ42+EI43-ER42,IF(A43&lt;'Données projet'!$A$192,$EG$205^A43,IF(A43='Données projet'!$A$192,'Données projet'!$B$192,EJ42+EI43-ER42)))</f>
        <v>219.99999999999989</v>
      </c>
      <c r="EK43" s="18">
        <f>EJ43*VLOOKUP('Données projet'!$B$15,Paramètres!$A$1:$I$89,3,0)*VLOOKUP('Données projet'!$B$15,Paramètres!$A$1:$I$89,5,0)</f>
        <v>192.19199999999992</v>
      </c>
      <c r="EL43" s="14">
        <f t="shared" si="45"/>
        <v>48.02424892193244</v>
      </c>
      <c r="EM43" s="22">
        <f t="shared" si="19"/>
        <v>418.37663353903218</v>
      </c>
      <c r="EN43" s="60">
        <f t="shared" si="20"/>
        <v>711.7099668723655</v>
      </c>
      <c r="EO43" s="60">
        <f ca="1">AVERAGE(OFFSET($EN$3,0,0,'Données projet'!$E$15+1,1))-AVERAGE(OFFSET($H$3,0,0,'Données projet'!$E$15+1,1))</f>
        <v>339.58437495284466</v>
      </c>
      <c r="EP43" s="60">
        <f t="shared" si="46"/>
        <v>371.26234252426531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56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158</v>
      </c>
      <c r="FC43" s="13">
        <f>VLOOKUP(A43,'Données projet'!$A$217:$I$237,9,0)</f>
        <v>8.4</v>
      </c>
      <c r="FD43" s="13">
        <f t="array" ref="FD43">INDEX(FC:FC,MIN(IF(ISNUMBER(FC43:FC239),ROW(FC43:FC239),"")))</f>
        <v>8.4</v>
      </c>
      <c r="FE43" s="13">
        <f>IF('Données projet'!$A$218&gt;35,FE42+FD43-FM42,IF(A43&lt;'Données projet'!$A$218,$FB$205^A43,IF(A43='Données projet'!$A$218,'Données projet'!$B$218,FE42+FD43-FM42)))</f>
        <v>158.00000000000003</v>
      </c>
      <c r="FF43" s="18">
        <f>FE43*VLOOKUP('Données projet'!$B$16,Paramètres!$A$1:$I$89,3,0)*VLOOKUP('Données projet'!$B$16,Paramètres!$A$1:$I$89,5,0)</f>
        <v>152.81760000000003</v>
      </c>
      <c r="FG43" s="14">
        <f t="shared" si="47"/>
        <v>39.218200171484227</v>
      </c>
      <c r="FH43" s="22">
        <f t="shared" si="22"/>
        <v>334.46235196533502</v>
      </c>
      <c r="FI43" s="60">
        <f t="shared" si="23"/>
        <v>627.79568529866833</v>
      </c>
      <c r="FJ43" s="60">
        <f ca="1">AVERAGE(OFFSET($FI$3,0,0,'Données projet'!$E$16+1,1))-AVERAGE(OFFSET($H$3,0,0,'Données projet'!$E$16+1,1))</f>
        <v>455.50822833641354</v>
      </c>
      <c r="FK43" s="60">
        <f t="shared" si="48"/>
        <v>261.14722581688039</v>
      </c>
      <c r="FL43" s="16">
        <f>IF(ISNA(VLOOKUP(A43,'Données projet'!$A$217:$I$237,3,0)),0,VLOOKUP(A43,'Données projet'!$A$217:$I$237,3,0))</f>
        <v>2</v>
      </c>
      <c r="FM43" s="16">
        <f>IF(ISNA(VLOOKUP(A43,'Données projet'!$A$217:$I$237,4,0)),0,VLOOKUP(A43,'Données projet'!$A$217:$I$237,4,0))</f>
        <v>42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126.14160000000005</v>
      </c>
      <c r="P44" s="14">
        <f t="shared" si="33"/>
        <v>33.10323903126482</v>
      </c>
      <c r="Q44" s="22">
        <f t="shared" si="53"/>
        <v>277.35142797945298</v>
      </c>
      <c r="R44" s="60">
        <f t="shared" si="0"/>
        <v>570.68476131278635</v>
      </c>
      <c r="S44" s="60">
        <f ca="1">AVERAGE(OFFSET($R$3,0,0,'Données projet'!$E$9+1,1))-AVERAGE(OFFSET($H$3,0,0,'Données projet'!$E$9+1,1))</f>
        <v>475.47920969424894</v>
      </c>
      <c r="T44" s="60">
        <f t="shared" si="34"/>
        <v>271.73544012419364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>
        <f>VLOOKUP(A44,'Données projet'!$A$61:$I$81,2,0)</f>
        <v>242.81538461538463</v>
      </c>
      <c r="AG44" s="13">
        <f>VLOOKUP(A44,'Données projet'!$A$61:$I$81,9,0)</f>
        <v>12.74038461538462</v>
      </c>
      <c r="AH44" s="13">
        <f t="array" ref="AH44">INDEX(AG:AG,MIN(IF(ISNUMBER(AG44:AG240),ROW(AG44:AG240),"")))</f>
        <v>12.74038461538462</v>
      </c>
      <c r="AI44" s="14">
        <f>IF('Données projet'!$A$62&gt;35,AI43+AH44-AQ43,IF(A44&lt;'Données projet'!$A$62,$AF$205^A44,IF(A44='Données projet'!$A$62,'Données projet'!$B$62,AI43+AH44-AQ43)))</f>
        <v>242.81538461538457</v>
      </c>
      <c r="AJ44" s="14">
        <f>AI44*VLOOKUP('Données projet'!$B$10,Paramètres!$A$1:$I$89,3,0)*VLOOKUP('Données projet'!$B$10,Paramètres!$A$1:$I$89,5,0)</f>
        <v>145.20359999999999</v>
      </c>
      <c r="AK44" s="14">
        <f t="shared" si="35"/>
        <v>37.4865334633907</v>
      </c>
      <c r="AL44" s="22">
        <f t="shared" si="4"/>
        <v>318.18531578207211</v>
      </c>
      <c r="AM44" s="60">
        <f t="shared" si="5"/>
        <v>611.51864911540542</v>
      </c>
      <c r="AN44" s="60">
        <f ca="1">AVERAGE(OFFSET($AM$3,0,0,'Données projet'!$E$10+1,1))-AVERAGE(OFFSET($H$3,0,0,'Données projet'!$E$10+1,1))</f>
        <v>289.24721145176682</v>
      </c>
      <c r="AO44" s="60">
        <f t="shared" si="36"/>
        <v>229.06617320689003</v>
      </c>
      <c r="AP44" s="16">
        <f>IF(ISNA(VLOOKUP(A44,'Données projet'!$A$61:$I$81,3,0)),0,VLOOKUP(A44,'Données projet'!$A$61:$I$81,3,0))</f>
        <v>4</v>
      </c>
      <c r="AQ44" s="16">
        <f>IF(ISNA(VLOOKUP(A44,'Données projet'!$A$61:$I$81,4,0)),0,VLOOKUP(A44,'Données projet'!$A$61:$I$81,4,0))</f>
        <v>58.484615384615381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1.6712326963561461</v>
      </c>
      <c r="AW44" s="23">
        <f>EXP(-LN(2)/2)*AW43+(1-EXP(-LN(2)/2))/(LN(2)/2)*AQ44*AT44*VLOOKUP('Données projet'!$B$10,Paramètres!$A$1:$I$89,3,0)*0.475*44/12</f>
        <v>9.7967487010076834E-2</v>
      </c>
      <c r="AX44" s="23">
        <f t="shared" si="6"/>
        <v>1.769200183366223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8.1876923076923109</v>
      </c>
      <c r="BD44" s="13">
        <f>IF('Données projet'!$A$88&gt;35,BD43+BC44-BL43,IF(A44&lt;'Données projet'!$A$88,$BA$205^A44,IF(A44='Données projet'!$A$88,'Données projet'!$B$88,BD43+BC44-BL43)))</f>
        <v>174.32615384615383</v>
      </c>
      <c r="BE44" s="14">
        <f>BD44*VLOOKUP('Données projet'!$B$11,Paramètres!$A$1:$I$89,3,0)*VLOOKUP('Données projet'!$B$11,Paramètres!$A$1:$I$89,5,0)</f>
        <v>104.24703999999998</v>
      </c>
      <c r="BF44" s="14">
        <f t="shared" si="37"/>
        <v>27.971333983172304</v>
      </c>
      <c r="BG44" s="22">
        <f t="shared" si="7"/>
        <v>230.28033468735839</v>
      </c>
      <c r="BH44" s="60">
        <f t="shared" si="8"/>
        <v>523.61366802069165</v>
      </c>
      <c r="BI44" s="60">
        <f ca="1">AVERAGE(OFFSET($BH$3,0,0,'Données projet'!$E$11+1,1))-AVERAGE(OFFSET($H$3,0,0,'Données projet'!$E$11+1,1))</f>
        <v>287.91374663515506</v>
      </c>
      <c r="BJ44" s="60">
        <f t="shared" si="38"/>
        <v>217.76240797006147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8.4</v>
      </c>
      <c r="BY44" s="13">
        <f>IF('Données projet'!$A$114&gt;35,BY43+BX44-CG43,IF(A44&lt;'Données projet'!$A$114,$BV$205^A44,IF(A44='Données projet'!$A$114,'Données projet'!$B$114,BY43+BX44-CG43)))</f>
        <v>124.40000000000003</v>
      </c>
      <c r="BZ44" s="14">
        <f>BY44*VLOOKUP('Données projet'!$B$12,Paramètres!$A$1:$I$89,3,0)*VLOOKUP('Données projet'!$B$12,Paramètres!$A$1:$I$89,5,0)</f>
        <v>112.55712000000003</v>
      </c>
      <c r="CA44" s="14">
        <f t="shared" si="39"/>
        <v>29.932653834140599</v>
      </c>
      <c r="CB44" s="22">
        <f t="shared" si="10"/>
        <v>248.16968942779496</v>
      </c>
      <c r="CC44" s="60">
        <f t="shared" si="11"/>
        <v>541.50302276112825</v>
      </c>
      <c r="CD44" s="60">
        <f ca="1">AVERAGE(OFFSET($CC$3,0,0,'Données projet'!$E$12+1,1))-AVERAGE(OFFSET($H$3,0,0,'Données projet'!$E$12+1,1))</f>
        <v>428.8489304403459</v>
      </c>
      <c r="CE44" s="60">
        <f t="shared" si="40"/>
        <v>247.01165577562966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12.232167832167828</v>
      </c>
      <c r="CT44" s="13">
        <f>IF('Données projet'!$A$140&gt;35,CT43+CS44-DB43,IF(A44&lt;'Données projet'!$A$140,$CQ$205^A44,IF(A44='Données projet'!$A$140,'Données projet'!$B$140,CT43+CS44-DB43)))</f>
        <v>265.24755244755255</v>
      </c>
      <c r="CU44" s="18">
        <f>CT44*VLOOKUP('Données projet'!$B$13,Paramètres!$A$1:$I$89,3,0)*VLOOKUP('Données projet'!$B$13,Paramètres!$A$1:$I$89,5,0)</f>
        <v>124.13585454545459</v>
      </c>
      <c r="CV44" s="14">
        <f t="shared" si="41"/>
        <v>32.637708900766754</v>
      </c>
      <c r="CW44" s="22">
        <f t="shared" si="13"/>
        <v>273.0472896688355</v>
      </c>
      <c r="CX44" s="60">
        <f t="shared" si="14"/>
        <v>566.38062300216882</v>
      </c>
      <c r="CY44" s="60">
        <f ca="1">AVERAGE(OFFSET($CX$3,0,0,'Données projet'!$E$13+1,1))-AVERAGE(OFFSET($H$3,0,0,'Données projet'!$E$13+1,1))</f>
        <v>284.88646502866419</v>
      </c>
      <c r="CZ44" s="60">
        <f t="shared" si="42"/>
        <v>190.4880882944471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124.40000000000003</v>
      </c>
      <c r="DP44" s="18">
        <f>DO44*VLOOKUP('Données projet'!$B$14,Paramètres!$A$1:$I$89,3,0)*VLOOKUP('Données projet'!$B$14,Paramètres!$A$1:$I$89,5,0)</f>
        <v>133.90416000000002</v>
      </c>
      <c r="DQ44" s="14">
        <f t="shared" si="43"/>
        <v>34.896936615903982</v>
      </c>
      <c r="DR44" s="22">
        <f t="shared" si="16"/>
        <v>293.99524327269938</v>
      </c>
      <c r="DS44" s="60">
        <f t="shared" si="17"/>
        <v>587.3285766060327</v>
      </c>
      <c r="DT44" s="60">
        <f ca="1">AVERAGE(OFFSET($DS$3,0,0,'Données projet'!$E$14+1,1))-AVERAGE(OFFSET($H$3,0,0,'Données projet'!$E$14+1,1))</f>
        <v>502.07782026233912</v>
      </c>
      <c r="DU44" s="60">
        <f t="shared" si="44"/>
        <v>285.83623046025156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8.1999999999999993</v>
      </c>
      <c r="EJ44" s="13">
        <f>IF('Données projet'!$A$192&gt;35,EJ43+EI44-ER43,IF(A44&lt;'Données projet'!$A$192,$EG$205^A44,IF(A44='Données projet'!$A$192,'Données projet'!$B$192,EJ43+EI44-ER43)))</f>
        <v>172.19999999999987</v>
      </c>
      <c r="EK44" s="18">
        <f>EJ44*VLOOKUP('Données projet'!$B$15,Paramètres!$A$1:$I$89,3,0)*VLOOKUP('Données projet'!$B$15,Paramètres!$A$1:$I$89,5,0)</f>
        <v>150.43391999999992</v>
      </c>
      <c r="EL44" s="14">
        <f t="shared" si="45"/>
        <v>38.677178913707891</v>
      </c>
      <c r="EM44" s="22">
        <f t="shared" si="19"/>
        <v>329.36849727470769</v>
      </c>
      <c r="EN44" s="60">
        <f t="shared" si="20"/>
        <v>622.70183060804106</v>
      </c>
      <c r="EO44" s="60">
        <f ca="1">AVERAGE(OFFSET($EN$3,0,0,'Données projet'!$E$15+1,1))-AVERAGE(OFFSET($H$3,0,0,'Données projet'!$E$15+1,1))</f>
        <v>339.58437495284466</v>
      </c>
      <c r="EP44" s="60">
        <f t="shared" si="46"/>
        <v>371.26234252426531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8.4</v>
      </c>
      <c r="FE44" s="13">
        <f>IF('Données projet'!$A$218&gt;35,FE43+FD44-FM43,IF(A44&lt;'Données projet'!$A$218,$FB$205^A44,IF(A44='Données projet'!$A$218,'Données projet'!$B$218,FE43+FD44-FM43)))</f>
        <v>124.40000000000003</v>
      </c>
      <c r="FF44" s="18">
        <f>FE44*VLOOKUP('Données projet'!$B$16,Paramètres!$A$1:$I$89,3,0)*VLOOKUP('Données projet'!$B$16,Paramètres!$A$1:$I$89,5,0)</f>
        <v>120.31968000000002</v>
      </c>
      <c r="FG44" s="14">
        <f t="shared" si="47"/>
        <v>31.74954785566829</v>
      </c>
      <c r="FH44" s="22">
        <f t="shared" si="22"/>
        <v>264.85390518195561</v>
      </c>
      <c r="FI44" s="60">
        <f t="shared" si="23"/>
        <v>558.18723851528898</v>
      </c>
      <c r="FJ44" s="60">
        <f ca="1">AVERAGE(OFFSET($FI$3,0,0,'Données projet'!$E$16+1,1))-AVERAGE(OFFSET($H$3,0,0,'Données projet'!$E$16+1,1))</f>
        <v>455.50822833641354</v>
      </c>
      <c r="FK44" s="60">
        <f t="shared" si="48"/>
        <v>261.14722581688039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134.65920000000006</v>
      </c>
      <c r="P45" s="14">
        <f t="shared" si="33"/>
        <v>35.07074737441733</v>
      </c>
      <c r="Q45" s="22">
        <f t="shared" si="53"/>
        <v>295.61299167711024</v>
      </c>
      <c r="R45" s="60">
        <f t="shared" si="0"/>
        <v>588.94632501044362</v>
      </c>
      <c r="S45" s="60">
        <f ca="1">AVERAGE(OFFSET($R$3,0,0,'Données projet'!$E$9+1,1))-AVERAGE(OFFSET($H$3,0,0,'Données projet'!$E$9+1,1))</f>
        <v>475.47920969424894</v>
      </c>
      <c r="T45" s="60">
        <f t="shared" si="34"/>
        <v>271.73544012419364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11.861538461538462</v>
      </c>
      <c r="AI45" s="14">
        <f>IF('Données projet'!$A$62&gt;35,AI44+AH45-AQ44,IF(A45&lt;'Données projet'!$A$62,$AF$205^A45,IF(A45='Données projet'!$A$62,'Données projet'!$B$62,AI44+AH45-AQ44)))</f>
        <v>196.19230769230765</v>
      </c>
      <c r="AJ45" s="14">
        <f>AI45*VLOOKUP('Données projet'!$B$10,Paramètres!$A$1:$I$89,3,0)*VLOOKUP('Données projet'!$B$10,Paramètres!$A$1:$I$89,5,0)</f>
        <v>117.32299999999999</v>
      </c>
      <c r="AK45" s="14">
        <f t="shared" si="35"/>
        <v>31.049815552357138</v>
      </c>
      <c r="AL45" s="22">
        <f t="shared" si="4"/>
        <v>258.41598708702196</v>
      </c>
      <c r="AM45" s="60">
        <f t="shared" si="5"/>
        <v>551.74932042035528</v>
      </c>
      <c r="AN45" s="60">
        <f ca="1">AVERAGE(OFFSET($AM$3,0,0,'Données projet'!$E$10+1,1))-AVERAGE(OFFSET($H$3,0,0,'Données projet'!$E$10+1,1))</f>
        <v>289.24721145176682</v>
      </c>
      <c r="AO45" s="60">
        <f t="shared" si="36"/>
        <v>229.06617320689003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1.6255327503879795</v>
      </c>
      <c r="AW45" s="23">
        <f>EXP(-LN(2)/2)*AW44+(1-EXP(-LN(2)/2))/(LN(2)/2)*AQ45*AT45*VLOOKUP('Données projet'!$B$10,Paramètres!$A$1:$I$89,3,0)*0.475*44/12</f>
        <v>6.9273474400630336E-2</v>
      </c>
      <c r="AX45" s="23">
        <f t="shared" si="6"/>
        <v>1.6948062247886098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8.1876923076923109</v>
      </c>
      <c r="BD45" s="13">
        <f>IF('Données projet'!$A$88&gt;35,BD44+BC45-BL44,IF(A45&lt;'Données projet'!$A$88,$BA$205^A45,IF(A45='Données projet'!$A$88,'Données projet'!$B$88,BD44+BC45-BL44)))</f>
        <v>182.51384615384615</v>
      </c>
      <c r="BE45" s="14">
        <f>BD45*VLOOKUP('Données projet'!$B$11,Paramètres!$A$1:$I$89,3,0)*VLOOKUP('Données projet'!$B$11,Paramètres!$A$1:$I$89,5,0)</f>
        <v>109.14328</v>
      </c>
      <c r="BF45" s="14">
        <f t="shared" si="37"/>
        <v>29.129042897023677</v>
      </c>
      <c r="BG45" s="22">
        <f t="shared" si="7"/>
        <v>240.82429571231623</v>
      </c>
      <c r="BH45" s="60">
        <f t="shared" si="8"/>
        <v>534.15762904564951</v>
      </c>
      <c r="BI45" s="60">
        <f ca="1">AVERAGE(OFFSET($BH$3,0,0,'Données projet'!$E$11+1,1))-AVERAGE(OFFSET($H$3,0,0,'Données projet'!$E$11+1,1))</f>
        <v>287.91374663515506</v>
      </c>
      <c r="BJ45" s="60">
        <f t="shared" si="38"/>
        <v>217.76240797006147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8.4</v>
      </c>
      <c r="BY45" s="13">
        <f>IF('Données projet'!$A$114&gt;35,BY44+BX45-CG44,IF(A45&lt;'Données projet'!$A$114,$BV$205^A45,IF(A45='Données projet'!$A$114,'Données projet'!$B$114,BY44+BX45-CG44)))</f>
        <v>132.80000000000004</v>
      </c>
      <c r="BZ45" s="14">
        <f>BY45*VLOOKUP('Données projet'!$B$12,Paramètres!$A$1:$I$89,3,0)*VLOOKUP('Données projet'!$B$12,Paramètres!$A$1:$I$89,5,0)</f>
        <v>120.15744000000002</v>
      </c>
      <c r="CA45" s="14">
        <f t="shared" si="39"/>
        <v>31.711716786129845</v>
      </c>
      <c r="CB45" s="22">
        <f t="shared" si="10"/>
        <v>264.50544806917623</v>
      </c>
      <c r="CC45" s="60">
        <f t="shared" si="11"/>
        <v>557.83878140250954</v>
      </c>
      <c r="CD45" s="60">
        <f ca="1">AVERAGE(OFFSET($CC$3,0,0,'Données projet'!$E$12+1,1))-AVERAGE(OFFSET($H$3,0,0,'Données projet'!$E$12+1,1))</f>
        <v>428.8489304403459</v>
      </c>
      <c r="CE45" s="60">
        <f t="shared" si="40"/>
        <v>247.01165577562966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12.232167832167828</v>
      </c>
      <c r="CT45" s="13">
        <f>IF('Données projet'!$A$140&gt;35,CT44+CS45-DB44,IF(A45&lt;'Données projet'!$A$140,$CQ$205^A45,IF(A45='Données projet'!$A$140,'Données projet'!$B$140,CT44+CS45-DB44)))</f>
        <v>277.47972027972037</v>
      </c>
      <c r="CU45" s="18">
        <f>CT45*VLOOKUP('Données projet'!$B$13,Paramètres!$A$1:$I$89,3,0)*VLOOKUP('Données projet'!$B$13,Paramètres!$A$1:$I$89,5,0)</f>
        <v>129.86050909090915</v>
      </c>
      <c r="CV45" s="14">
        <f t="shared" si="41"/>
        <v>33.964125065136322</v>
      </c>
      <c r="CW45" s="22">
        <f t="shared" si="13"/>
        <v>285.32790448844588</v>
      </c>
      <c r="CX45" s="60">
        <f t="shared" si="14"/>
        <v>578.6612378217792</v>
      </c>
      <c r="CY45" s="60">
        <f ca="1">AVERAGE(OFFSET($CX$3,0,0,'Données projet'!$E$13+1,1))-AVERAGE(OFFSET($H$3,0,0,'Données projet'!$E$13+1,1))</f>
        <v>284.88646502866419</v>
      </c>
      <c r="CZ45" s="60">
        <f t="shared" si="42"/>
        <v>190.4880882944471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132.80000000000004</v>
      </c>
      <c r="DP45" s="18">
        <f>DO45*VLOOKUP('Données projet'!$B$14,Paramètres!$A$1:$I$89,3,0)*VLOOKUP('Données projet'!$B$14,Paramètres!$A$1:$I$89,5,0)</f>
        <v>142.94592000000003</v>
      </c>
      <c r="DQ45" s="14">
        <f t="shared" si="43"/>
        <v>36.971054314096854</v>
      </c>
      <c r="DR45" s="22">
        <f t="shared" si="16"/>
        <v>313.35539693038538</v>
      </c>
      <c r="DS45" s="60">
        <f t="shared" si="17"/>
        <v>606.68873026371875</v>
      </c>
      <c r="DT45" s="60">
        <f ca="1">AVERAGE(OFFSET($DS$3,0,0,'Données projet'!$E$14+1,1))-AVERAGE(OFFSET($H$3,0,0,'Données projet'!$E$14+1,1))</f>
        <v>502.07782026233912</v>
      </c>
      <c r="DU45" s="60">
        <f t="shared" si="44"/>
        <v>285.83623046025156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8.1999999999999993</v>
      </c>
      <c r="EJ45" s="13">
        <f>IF('Données projet'!$A$192&gt;35,EJ44+EI45-ER44,IF(A45&lt;'Données projet'!$A$192,$EG$205^A45,IF(A45='Données projet'!$A$192,'Données projet'!$B$192,EJ44+EI45-ER44)))</f>
        <v>180.39999999999986</v>
      </c>
      <c r="EK45" s="18">
        <f>EJ45*VLOOKUP('Données projet'!$B$15,Paramètres!$A$1:$I$89,3,0)*VLOOKUP('Données projet'!$B$15,Paramètres!$A$1:$I$89,5,0)</f>
        <v>157.59743999999989</v>
      </c>
      <c r="EL45" s="14">
        <f t="shared" si="45"/>
        <v>40.300135037830493</v>
      </c>
      <c r="EM45" s="22">
        <f t="shared" si="19"/>
        <v>344.67160985755459</v>
      </c>
      <c r="EN45" s="60">
        <f t="shared" si="20"/>
        <v>638.00494319088784</v>
      </c>
      <c r="EO45" s="60">
        <f ca="1">AVERAGE(OFFSET($EN$3,0,0,'Données projet'!$E$15+1,1))-AVERAGE(OFFSET($H$3,0,0,'Données projet'!$E$15+1,1))</f>
        <v>339.58437495284466</v>
      </c>
      <c r="EP45" s="60">
        <f t="shared" si="46"/>
        <v>371.26234252426531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8.4</v>
      </c>
      <c r="FE45" s="13">
        <f>IF('Données projet'!$A$218&gt;35,FE44+FD45-FM44,IF(A45&lt;'Données projet'!$A$218,$FB$205^A45,IF(A45='Données projet'!$A$218,'Données projet'!$B$218,FE44+FD45-FM44)))</f>
        <v>132.80000000000004</v>
      </c>
      <c r="FF45" s="18">
        <f>FE45*VLOOKUP('Données projet'!$B$16,Paramètres!$A$1:$I$89,3,0)*VLOOKUP('Données projet'!$B$16,Paramètres!$A$1:$I$89,5,0)</f>
        <v>128.44416000000004</v>
      </c>
      <c r="FG45" s="14">
        <f t="shared" si="47"/>
        <v>33.636598855068954</v>
      </c>
      <c r="FH45" s="22">
        <f t="shared" si="22"/>
        <v>282.29065500591184</v>
      </c>
      <c r="FI45" s="60">
        <f t="shared" si="23"/>
        <v>575.62398833924522</v>
      </c>
      <c r="FJ45" s="60">
        <f ca="1">AVERAGE(OFFSET($FI$3,0,0,'Données projet'!$E$16+1,1))-AVERAGE(OFFSET($H$3,0,0,'Données projet'!$E$16+1,1))</f>
        <v>455.50822833641354</v>
      </c>
      <c r="FK45" s="60">
        <f t="shared" si="48"/>
        <v>261.14722581688039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0">
        <f t="shared" si="0"/>
        <v>607.18273374145838</v>
      </c>
      <c r="S46" s="60">
        <f ca="1">AVERAGE(OFFSET($R$3,0,0,'Données projet'!$E$9+1,1))-AVERAGE(OFFSET($H$3,0,0,'Données projet'!$E$9+1,1))</f>
        <v>475.47920969424894</v>
      </c>
      <c r="T46" s="60">
        <f t="shared" si="34"/>
        <v>271.73544012419364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11.861538461538462</v>
      </c>
      <c r="AI46" s="14">
        <f>IF('Données projet'!$A$62&gt;35,AI45+AH46-AQ45,IF(A46&lt;'Données projet'!$A$62,$AF$205^A46,IF(A46='Données projet'!$A$62,'Données projet'!$B$62,AI45+AH46-AQ45)))</f>
        <v>208.05384615384611</v>
      </c>
      <c r="AJ46" s="14">
        <f>AI46*VLOOKUP('Données projet'!$B$10,Paramètres!$A$1:$I$89,3,0)*VLOOKUP('Données projet'!$B$10,Paramètres!$A$1:$I$89,5,0)</f>
        <v>124.41619999999999</v>
      </c>
      <c r="AK46" s="14">
        <f t="shared" si="35"/>
        <v>32.702828934083335</v>
      </c>
      <c r="AL46" s="22">
        <f t="shared" si="4"/>
        <v>273.64897539352847</v>
      </c>
      <c r="AM46" s="60">
        <f t="shared" si="5"/>
        <v>566.98230872686179</v>
      </c>
      <c r="AN46" s="60">
        <f ca="1">AVERAGE(OFFSET($AM$3,0,0,'Données projet'!$E$10+1,1))-AVERAGE(OFFSET($H$3,0,0,'Données projet'!$E$10+1,1))</f>
        <v>289.24721145176682</v>
      </c>
      <c r="AO46" s="60">
        <f t="shared" si="36"/>
        <v>229.06617320689003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1.581082471845568</v>
      </c>
      <c r="AW46" s="23">
        <f>EXP(-LN(2)/2)*AW45+(1-EXP(-LN(2)/2))/(LN(2)/2)*AQ46*AT46*VLOOKUP('Données projet'!$B$10,Paramètres!$A$1:$I$89,3,0)*0.475*44/12</f>
        <v>4.8983743505038417E-2</v>
      </c>
      <c r="AX46" s="23">
        <f t="shared" si="6"/>
        <v>1.6300662153506065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8.1876923076923109</v>
      </c>
      <c r="BD46" s="13">
        <f>IF('Données projet'!$A$88&gt;35,BD45+BC46-BL45,IF(A46&lt;'Données projet'!$A$88,$BA$205^A46,IF(A46='Données projet'!$A$88,'Données projet'!$B$88,BD45+BC46-BL45)))</f>
        <v>190.70153846153846</v>
      </c>
      <c r="BE46" s="14">
        <f>BD46*VLOOKUP('Données projet'!$B$11,Paramètres!$A$1:$I$89,3,0)*VLOOKUP('Données projet'!$B$11,Paramètres!$A$1:$I$89,5,0)</f>
        <v>114.03952000000001</v>
      </c>
      <c r="BF46" s="14">
        <f t="shared" si="37"/>
        <v>30.280720128023241</v>
      </c>
      <c r="BG46" s="22">
        <f t="shared" si="7"/>
        <v>251.35775155630714</v>
      </c>
      <c r="BH46" s="60">
        <f t="shared" si="8"/>
        <v>544.69108488964048</v>
      </c>
      <c r="BI46" s="60">
        <f ca="1">AVERAGE(OFFSET($BH$3,0,0,'Données projet'!$E$11+1,1))-AVERAGE(OFFSET($H$3,0,0,'Données projet'!$E$11+1,1))</f>
        <v>287.91374663515506</v>
      </c>
      <c r="BJ46" s="60">
        <f t="shared" si="38"/>
        <v>217.76240797006147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8.4</v>
      </c>
      <c r="BY46" s="13">
        <f>IF('Données projet'!$A$114&gt;35,BY45+BX46-CG45,IF(A46&lt;'Données projet'!$A$114,$BV$205^A46,IF(A46='Données projet'!$A$114,'Données projet'!$B$114,BY45+BX46-CG45)))</f>
        <v>141.20000000000005</v>
      </c>
      <c r="BZ46" s="14">
        <f>BY46*VLOOKUP('Données projet'!$B$12,Paramètres!$A$1:$I$89,3,0)*VLOOKUP('Données projet'!$B$12,Paramètres!$A$1:$I$89,5,0)</f>
        <v>127.75776000000003</v>
      </c>
      <c r="CA46" s="14">
        <f t="shared" si="39"/>
        <v>33.477720030956604</v>
      </c>
      <c r="CB46" s="22">
        <f t="shared" si="10"/>
        <v>280.81846105391611</v>
      </c>
      <c r="CC46" s="60">
        <f t="shared" si="11"/>
        <v>574.15179438724942</v>
      </c>
      <c r="CD46" s="60">
        <f ca="1">AVERAGE(OFFSET($CC$3,0,0,'Données projet'!$E$12+1,1))-AVERAGE(OFFSET($H$3,0,0,'Données projet'!$E$12+1,1))</f>
        <v>428.8489304403459</v>
      </c>
      <c r="CE46" s="60">
        <f t="shared" si="40"/>
        <v>247.01165577562966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12.232167832167828</v>
      </c>
      <c r="CT46" s="13">
        <f>IF('Données projet'!$A$140&gt;35,CT45+CS46-DB45,IF(A46&lt;'Données projet'!$A$140,$CQ$205^A46,IF(A46='Données projet'!$A$140,'Données projet'!$B$140,CT45+CS46-DB45)))</f>
        <v>289.71188811188819</v>
      </c>
      <c r="CU46" s="18">
        <f>CT46*VLOOKUP('Données projet'!$B$13,Paramètres!$A$1:$I$89,3,0)*VLOOKUP('Données projet'!$B$13,Paramètres!$A$1:$I$89,5,0)</f>
        <v>135.58516363636366</v>
      </c>
      <c r="CV46" s="14">
        <f t="shared" si="41"/>
        <v>35.283750135121878</v>
      </c>
      <c r="CW46" s="22">
        <f t="shared" si="13"/>
        <v>297.59669148533732</v>
      </c>
      <c r="CX46" s="60">
        <f t="shared" si="14"/>
        <v>590.93002481867063</v>
      </c>
      <c r="CY46" s="60">
        <f ca="1">AVERAGE(OFFSET($CX$3,0,0,'Données projet'!$E$13+1,1))-AVERAGE(OFFSET($H$3,0,0,'Données projet'!$E$13+1,1))</f>
        <v>284.88646502866419</v>
      </c>
      <c r="CZ46" s="60">
        <f t="shared" si="42"/>
        <v>190.4880882944471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141.20000000000005</v>
      </c>
      <c r="DP46" s="18">
        <f>DO46*VLOOKUP('Données projet'!$B$14,Paramètres!$A$1:$I$89,3,0)*VLOOKUP('Données projet'!$B$14,Paramètres!$A$1:$I$89,5,0)</f>
        <v>151.98768000000004</v>
      </c>
      <c r="DQ46" s="14">
        <f t="shared" si="43"/>
        <v>39.029946373574369</v>
      </c>
      <c r="DR46" s="22">
        <f t="shared" si="16"/>
        <v>332.68903260064207</v>
      </c>
      <c r="DS46" s="60">
        <f t="shared" si="17"/>
        <v>626.02236593397538</v>
      </c>
      <c r="DT46" s="60">
        <f ca="1">AVERAGE(OFFSET($DS$3,0,0,'Données projet'!$E$14+1,1))-AVERAGE(OFFSET($H$3,0,0,'Données projet'!$E$14+1,1))</f>
        <v>502.07782026233912</v>
      </c>
      <c r="DU46" s="60">
        <f t="shared" si="44"/>
        <v>285.83623046025156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8.1999999999999993</v>
      </c>
      <c r="EJ46" s="13">
        <f>IF('Données projet'!$A$192&gt;35,EJ45+EI46-ER45,IF(A46&lt;'Données projet'!$A$192,$EG$205^A46,IF(A46='Données projet'!$A$192,'Données projet'!$B$192,EJ45+EI46-ER45)))</f>
        <v>188.59999999999985</v>
      </c>
      <c r="EK46" s="18">
        <f>EJ46*VLOOKUP('Données projet'!$B$15,Paramètres!$A$1:$I$89,3,0)*VLOOKUP('Données projet'!$B$15,Paramètres!$A$1:$I$89,5,0)</f>
        <v>164.7609599999999</v>
      </c>
      <c r="EL46" s="14">
        <f t="shared" si="45"/>
        <v>41.91452380971991</v>
      </c>
      <c r="EM46" s="22">
        <f t="shared" si="19"/>
        <v>359.95980096859535</v>
      </c>
      <c r="EN46" s="60">
        <f t="shared" si="20"/>
        <v>653.2931343019286</v>
      </c>
      <c r="EO46" s="60">
        <f ca="1">AVERAGE(OFFSET($EN$3,0,0,'Données projet'!$E$15+1,1))-AVERAGE(OFFSET($H$3,0,0,'Données projet'!$E$15+1,1))</f>
        <v>339.58437495284466</v>
      </c>
      <c r="EP46" s="60">
        <f t="shared" si="46"/>
        <v>371.26234252426531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8.4</v>
      </c>
      <c r="FE46" s="13">
        <f>IF('Données projet'!$A$218&gt;35,FE45+FD46-FM45,IF(A46&lt;'Données projet'!$A$218,$FB$205^A46,IF(A46='Données projet'!$A$218,'Données projet'!$B$218,FE45+FD46-FM45)))</f>
        <v>141.20000000000005</v>
      </c>
      <c r="FF46" s="18">
        <f>FE46*VLOOKUP('Données projet'!$B$16,Paramètres!$A$1:$I$89,3,0)*VLOOKUP('Données projet'!$B$16,Paramètres!$A$1:$I$89,5,0)</f>
        <v>136.56864000000004</v>
      </c>
      <c r="FG46" s="14">
        <f t="shared" si="47"/>
        <v>35.509797430964703</v>
      </c>
      <c r="FH46" s="22">
        <f t="shared" si="22"/>
        <v>299.70327852559694</v>
      </c>
      <c r="FI46" s="60">
        <f t="shared" si="23"/>
        <v>593.0366118589302</v>
      </c>
      <c r="FJ46" s="60">
        <f ca="1">AVERAGE(OFFSET($FI$3,0,0,'Données projet'!$E$16+1,1))-AVERAGE(OFFSET($H$3,0,0,'Données projet'!$E$16+1,1))</f>
        <v>455.50822833641354</v>
      </c>
      <c r="FK46" s="60">
        <f t="shared" si="48"/>
        <v>261.14722581688039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151.69440000000006</v>
      </c>
      <c r="P47" s="14">
        <f t="shared" si="33"/>
        <v>38.963392010880654</v>
      </c>
      <c r="Q47" s="22">
        <f t="shared" si="53"/>
        <v>332.06232108561721</v>
      </c>
      <c r="R47" s="60">
        <f t="shared" si="0"/>
        <v>625.39565441895047</v>
      </c>
      <c r="S47" s="60">
        <f ca="1">AVERAGE(OFFSET($R$3,0,0,'Données projet'!$E$9+1,1))-AVERAGE(OFFSET($H$3,0,0,'Données projet'!$E$9+1,1))</f>
        <v>475.47920969424894</v>
      </c>
      <c r="T47" s="60">
        <f t="shared" si="34"/>
        <v>271.73544012419364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11.861538461538462</v>
      </c>
      <c r="AI47" s="14">
        <f>IF('Données projet'!$A$62&gt;35,AI46+AH47-AQ46,IF(A47&lt;'Données projet'!$A$62,$AF$205^A47,IF(A47='Données projet'!$A$62,'Données projet'!$B$62,AI46+AH47-AQ46)))</f>
        <v>219.91538461538457</v>
      </c>
      <c r="AJ47" s="14">
        <f>AI47*VLOOKUP('Données projet'!$B$10,Paramètres!$A$1:$I$89,3,0)*VLOOKUP('Données projet'!$B$10,Paramètres!$A$1:$I$89,5,0)</f>
        <v>131.50939999999997</v>
      </c>
      <c r="AK47" s="14">
        <f t="shared" si="35"/>
        <v>34.344902681781569</v>
      </c>
      <c r="AL47" s="22">
        <f t="shared" si="4"/>
        <v>288.86291050410284</v>
      </c>
      <c r="AM47" s="60">
        <f t="shared" si="5"/>
        <v>582.19624383743621</v>
      </c>
      <c r="AN47" s="60">
        <f ca="1">AVERAGE(OFFSET($AM$3,0,0,'Données projet'!$E$10+1,1))-AVERAGE(OFFSET($H$3,0,0,'Données projet'!$E$10+1,1))</f>
        <v>289.24721145176682</v>
      </c>
      <c r="AO47" s="60">
        <f t="shared" si="36"/>
        <v>229.06617320689003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1.5378476885074375</v>
      </c>
      <c r="AW47" s="23">
        <f>EXP(-LN(2)/2)*AW46+(1-EXP(-LN(2)/2))/(LN(2)/2)*AQ47*AT47*VLOOKUP('Données projet'!$B$10,Paramètres!$A$1:$I$89,3,0)*0.475*44/12</f>
        <v>3.4636737200315168E-2</v>
      </c>
      <c r="AX47" s="23">
        <f t="shared" si="6"/>
        <v>1.5724844257077526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8.1876923076923109</v>
      </c>
      <c r="BD47" s="13">
        <f>IF('Données projet'!$A$88&gt;35,BD46+BC47-BL46,IF(A47&lt;'Données projet'!$A$88,$BA$205^A47,IF(A47='Données projet'!$A$88,'Données projet'!$B$88,BD46+BC47-BL46)))</f>
        <v>198.88923076923078</v>
      </c>
      <c r="BE47" s="14">
        <f>BD47*VLOOKUP('Données projet'!$B$11,Paramètres!$A$1:$I$89,3,0)*VLOOKUP('Données projet'!$B$11,Paramètres!$A$1:$I$89,5,0)</f>
        <v>118.93576000000002</v>
      </c>
      <c r="BF47" s="14">
        <f t="shared" si="37"/>
        <v>31.426654247563029</v>
      </c>
      <c r="BG47" s="22">
        <f t="shared" si="7"/>
        <v>261.88120481450557</v>
      </c>
      <c r="BH47" s="60">
        <f t="shared" si="8"/>
        <v>555.21453814783888</v>
      </c>
      <c r="BI47" s="60">
        <f ca="1">AVERAGE(OFFSET($BH$3,0,0,'Données projet'!$E$11+1,1))-AVERAGE(OFFSET($H$3,0,0,'Données projet'!$E$11+1,1))</f>
        <v>287.91374663515506</v>
      </c>
      <c r="BJ47" s="60">
        <f t="shared" si="38"/>
        <v>217.76240797006147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8.4</v>
      </c>
      <c r="BY47" s="13">
        <f>IF('Données projet'!$A$114&gt;35,BY46+BX47-CG46,IF(A47&lt;'Données projet'!$A$114,$BV$205^A47,IF(A47='Données projet'!$A$114,'Données projet'!$B$114,BY46+BX47-CG46)))</f>
        <v>149.60000000000005</v>
      </c>
      <c r="BZ47" s="14">
        <f>BY47*VLOOKUP('Données projet'!$B$12,Paramètres!$A$1:$I$89,3,0)*VLOOKUP('Données projet'!$B$12,Paramètres!$A$1:$I$89,5,0)</f>
        <v>135.35808000000006</v>
      </c>
      <c r="CA47" s="14">
        <f t="shared" si="39"/>
        <v>35.231528980112834</v>
      </c>
      <c r="CB47" s="22">
        <f t="shared" si="10"/>
        <v>297.11023564036327</v>
      </c>
      <c r="CC47" s="60">
        <f t="shared" si="11"/>
        <v>590.44356897369653</v>
      </c>
      <c r="CD47" s="60">
        <f ca="1">AVERAGE(OFFSET($CC$3,0,0,'Données projet'!$E$12+1,1))-AVERAGE(OFFSET($H$3,0,0,'Données projet'!$E$12+1,1))</f>
        <v>428.8489304403459</v>
      </c>
      <c r="CE47" s="60">
        <f t="shared" si="40"/>
        <v>247.01165577562966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12.232167832167828</v>
      </c>
      <c r="CT47" s="13">
        <f>IF('Données projet'!$A$140&gt;35,CT46+CS47-DB46,IF(A47&lt;'Données projet'!$A$140,$CQ$205^A47,IF(A47='Données projet'!$A$140,'Données projet'!$B$140,CT46+CS47-DB46)))</f>
        <v>301.944055944056</v>
      </c>
      <c r="CU47" s="18">
        <f>CT47*VLOOKUP('Données projet'!$B$13,Paramètres!$A$1:$I$89,3,0)*VLOOKUP('Données projet'!$B$13,Paramètres!$A$1:$I$89,5,0)</f>
        <v>141.30981818181823</v>
      </c>
      <c r="CV47" s="14">
        <f t="shared" si="41"/>
        <v>36.59690362721242</v>
      </c>
      <c r="CW47" s="22">
        <f t="shared" si="13"/>
        <v>309.85420715072837</v>
      </c>
      <c r="CX47" s="60">
        <f t="shared" si="14"/>
        <v>603.18754048406163</v>
      </c>
      <c r="CY47" s="60">
        <f ca="1">AVERAGE(OFFSET($CX$3,0,0,'Données projet'!$E$13+1,1))-AVERAGE(OFFSET($H$3,0,0,'Données projet'!$E$13+1,1))</f>
        <v>284.88646502866419</v>
      </c>
      <c r="CZ47" s="60">
        <f t="shared" si="42"/>
        <v>190.4880882944471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149.60000000000005</v>
      </c>
      <c r="DP47" s="18">
        <f>DO47*VLOOKUP('Données projet'!$B$14,Paramètres!$A$1:$I$89,3,0)*VLOOKUP('Données projet'!$B$14,Paramètres!$A$1:$I$89,5,0)</f>
        <v>161.02944000000005</v>
      </c>
      <c r="DQ47" s="14">
        <f t="shared" si="43"/>
        <v>41.074621732940727</v>
      </c>
      <c r="DR47" s="22">
        <f t="shared" si="16"/>
        <v>351.99790751820518</v>
      </c>
      <c r="DS47" s="60">
        <f t="shared" si="17"/>
        <v>645.3312408515385</v>
      </c>
      <c r="DT47" s="60">
        <f ca="1">AVERAGE(OFFSET($DS$3,0,0,'Données projet'!$E$14+1,1))-AVERAGE(OFFSET($H$3,0,0,'Données projet'!$E$14+1,1))</f>
        <v>502.07782026233912</v>
      </c>
      <c r="DU47" s="60">
        <f t="shared" si="44"/>
        <v>285.83623046025156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8.1999999999999993</v>
      </c>
      <c r="EJ47" s="13">
        <f>IF('Données projet'!$A$192&gt;35,EJ46+EI47-ER46,IF(A47&lt;'Données projet'!$A$192,$EG$205^A47,IF(A47='Données projet'!$A$192,'Données projet'!$B$192,EJ46+EI47-ER46)))</f>
        <v>196.79999999999984</v>
      </c>
      <c r="EK47" s="18">
        <f>EJ47*VLOOKUP('Données projet'!$B$15,Paramètres!$A$1:$I$89,3,0)*VLOOKUP('Données projet'!$B$15,Paramètres!$A$1:$I$89,5,0)</f>
        <v>171.9244799999999</v>
      </c>
      <c r="EL47" s="14">
        <f t="shared" si="45"/>
        <v>43.520760297647712</v>
      </c>
      <c r="EM47" s="22">
        <f t="shared" si="19"/>
        <v>375.23379351840293</v>
      </c>
      <c r="EN47" s="60">
        <f t="shared" si="20"/>
        <v>668.56712685173625</v>
      </c>
      <c r="EO47" s="60">
        <f ca="1">AVERAGE(OFFSET($EN$3,0,0,'Données projet'!$E$15+1,1))-AVERAGE(OFFSET($H$3,0,0,'Données projet'!$E$15+1,1))</f>
        <v>339.58437495284466</v>
      </c>
      <c r="EP47" s="60">
        <f t="shared" si="46"/>
        <v>371.26234252426531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8.4</v>
      </c>
      <c r="FE47" s="13">
        <f>IF('Données projet'!$A$218&gt;35,FE46+FD47-FM46,IF(A47&lt;'Données projet'!$A$218,$FB$205^A47,IF(A47='Données projet'!$A$218,'Données projet'!$B$218,FE46+FD47-FM46)))</f>
        <v>149.60000000000005</v>
      </c>
      <c r="FF47" s="18">
        <f>FE47*VLOOKUP('Données projet'!$B$16,Paramètres!$A$1:$I$89,3,0)*VLOOKUP('Données projet'!$B$16,Paramètres!$A$1:$I$89,5,0)</f>
        <v>144.69312000000005</v>
      </c>
      <c r="FG47" s="14">
        <f t="shared" si="47"/>
        <v>37.370061524802772</v>
      </c>
      <c r="FH47" s="22">
        <f t="shared" si="22"/>
        <v>317.09337448903153</v>
      </c>
      <c r="FI47" s="60">
        <f t="shared" si="23"/>
        <v>610.42670782236485</v>
      </c>
      <c r="FJ47" s="60">
        <f ca="1">AVERAGE(OFFSET($FI$3,0,0,'Données projet'!$E$16+1,1))-AVERAGE(OFFSET($H$3,0,0,'Données projet'!$E$16+1,1))</f>
        <v>455.50822833641354</v>
      </c>
      <c r="FK47" s="60">
        <f t="shared" si="48"/>
        <v>261.14722581688039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160.21200000000007</v>
      </c>
      <c r="P48" s="14">
        <f t="shared" si="33"/>
        <v>40.890328912852731</v>
      </c>
      <c r="Q48" s="22">
        <f t="shared" si="53"/>
        <v>350.25322285655193</v>
      </c>
      <c r="R48" s="60">
        <f t="shared" si="0"/>
        <v>643.58655618988519</v>
      </c>
      <c r="S48" s="60">
        <f ca="1">AVERAGE(OFFSET($R$3,0,0,'Données projet'!$E$9+1,1))-AVERAGE(OFFSET($H$3,0,0,'Données projet'!$E$9+1,1))</f>
        <v>475.47920969424894</v>
      </c>
      <c r="T48" s="60">
        <f t="shared" si="34"/>
        <v>271.73544012419364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11.861538461538462</v>
      </c>
      <c r="AI48" s="14">
        <f>IF('Données projet'!$A$62&gt;35,AI47+AH48-AQ47,IF(A48&lt;'Données projet'!$A$62,$AF$205^A48,IF(A48='Données projet'!$A$62,'Données projet'!$B$62,AI47+AH48-AQ47)))</f>
        <v>231.77692307692303</v>
      </c>
      <c r="AJ48" s="14">
        <f>AI48*VLOOKUP('Données projet'!$B$10,Paramètres!$A$1:$I$89,3,0)*VLOOKUP('Données projet'!$B$10,Paramètres!$A$1:$I$89,5,0)</f>
        <v>138.60259999999997</v>
      </c>
      <c r="AK48" s="14">
        <f t="shared" si="35"/>
        <v>35.976694116938198</v>
      </c>
      <c r="AL48" s="22">
        <f t="shared" si="4"/>
        <v>304.0589372536673</v>
      </c>
      <c r="AM48" s="60">
        <f t="shared" si="5"/>
        <v>597.39227058700067</v>
      </c>
      <c r="AN48" s="60">
        <f ca="1">AVERAGE(OFFSET($AM$3,0,0,'Données projet'!$E$10+1,1))-AVERAGE(OFFSET($H$3,0,0,'Données projet'!$E$10+1,1))</f>
        <v>289.24721145176682</v>
      </c>
      <c r="AO48" s="60">
        <f t="shared" si="36"/>
        <v>229.06617320689003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1.4957951625933064</v>
      </c>
      <c r="AW48" s="23">
        <f>EXP(-LN(2)/2)*AW47+(1-EXP(-LN(2)/2))/(LN(2)/2)*AQ48*AT48*VLOOKUP('Données projet'!$B$10,Paramètres!$A$1:$I$89,3,0)*0.475*44/12</f>
        <v>2.4491871752519209E-2</v>
      </c>
      <c r="AX48" s="23">
        <f t="shared" si="6"/>
        <v>1.5202870343458255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207.07692307692307</v>
      </c>
      <c r="BB48" s="13">
        <f>VLOOKUP(A48,'Données projet'!$A$87:$I$107,9,0)</f>
        <v>8.1876923076923109</v>
      </c>
      <c r="BC48" s="13">
        <f t="array" ref="BC48">INDEX(BB:BB,MIN(IF(ISNUMBER(BB48:BB244),ROW(BB48:BB244),"")))</f>
        <v>8.1876923076923109</v>
      </c>
      <c r="BD48" s="13">
        <f>IF('Données projet'!$A$88&gt;35,BD47+BC48-BL47,IF(A48&lt;'Données projet'!$A$88,$BA$205^A48,IF(A48='Données projet'!$A$88,'Données projet'!$B$88,BD47+BC48-BL47)))</f>
        <v>207.07692307692309</v>
      </c>
      <c r="BE48" s="14">
        <f>BD48*VLOOKUP('Données projet'!$B$11,Paramètres!$A$1:$I$89,3,0)*VLOOKUP('Données projet'!$B$11,Paramètres!$A$1:$I$89,5,0)</f>
        <v>123.83200000000002</v>
      </c>
      <c r="BF48" s="14">
        <f t="shared" si="37"/>
        <v>32.567108723351879</v>
      </c>
      <c r="BG48" s="22">
        <f t="shared" si="7"/>
        <v>272.39511435983792</v>
      </c>
      <c r="BH48" s="60">
        <f t="shared" si="8"/>
        <v>565.72844769317123</v>
      </c>
      <c r="BI48" s="60">
        <f ca="1">AVERAGE(OFFSET($BH$3,0,0,'Données projet'!$E$11+1,1))-AVERAGE(OFFSET($H$3,0,0,'Données projet'!$E$11+1,1))</f>
        <v>287.91374663515506</v>
      </c>
      <c r="BJ48" s="60">
        <f t="shared" si="38"/>
        <v>217.76240797006147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158</v>
      </c>
      <c r="BW48" s="13">
        <f>VLOOKUP(A48,'Données projet'!$A$113:$I$133,9,0)</f>
        <v>8.4</v>
      </c>
      <c r="BX48" s="13">
        <f t="array" ref="BX48">INDEX(BW:BW,MIN(IF(ISNUMBER(BW48:BW244),ROW(BW48:BW244),"")))</f>
        <v>8.4</v>
      </c>
      <c r="BY48" s="13">
        <f>IF('Données projet'!$A$114&gt;35,BY47+BX48-CG47,IF(A48&lt;'Données projet'!$A$114,$BV$205^A48,IF(A48='Données projet'!$A$114,'Données projet'!$B$114,BY47+BX48-CG47)))</f>
        <v>158.00000000000006</v>
      </c>
      <c r="BZ48" s="14">
        <f>BY48*VLOOKUP('Données projet'!$B$12,Paramètres!$A$1:$I$89,3,0)*VLOOKUP('Données projet'!$B$12,Paramètres!$A$1:$I$89,5,0)</f>
        <v>142.95840000000004</v>
      </c>
      <c r="CA48" s="14">
        <f t="shared" si="39"/>
        <v>36.973906370811264</v>
      </c>
      <c r="CB48" s="22">
        <f t="shared" si="10"/>
        <v>313.38210026249641</v>
      </c>
      <c r="CC48" s="60">
        <f t="shared" si="11"/>
        <v>606.71543359582972</v>
      </c>
      <c r="CD48" s="60">
        <f ca="1">AVERAGE(OFFSET($CC$3,0,0,'Données projet'!$E$12+1,1))-AVERAGE(OFFSET($H$3,0,0,'Données projet'!$E$12+1,1))</f>
        <v>428.8489304403459</v>
      </c>
      <c r="CE48" s="60">
        <f t="shared" si="40"/>
        <v>247.01165577562966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12.232167832167828</v>
      </c>
      <c r="CT48" s="13">
        <f>IF('Données projet'!$A$140&gt;35,CT47+CS48-DB47,IF(A48&lt;'Données projet'!$A$140,$CQ$205^A48,IF(A48='Données projet'!$A$140,'Données projet'!$B$140,CT47+CS48-DB47)))</f>
        <v>314.17622377622382</v>
      </c>
      <c r="CU48" s="18">
        <f>CT48*VLOOKUP('Données projet'!$B$13,Paramètres!$A$1:$I$89,3,0)*VLOOKUP('Données projet'!$B$13,Paramètres!$A$1:$I$89,5,0)</f>
        <v>147.03447272727274</v>
      </c>
      <c r="CV48" s="14">
        <f t="shared" si="41"/>
        <v>37.903877704670933</v>
      </c>
      <c r="CW48" s="22">
        <f t="shared" si="13"/>
        <v>322.10096033563519</v>
      </c>
      <c r="CX48" s="60">
        <f t="shared" si="14"/>
        <v>615.43429366896851</v>
      </c>
      <c r="CY48" s="60">
        <f ca="1">AVERAGE(OFFSET($CX$3,0,0,'Données projet'!$E$13+1,1))-AVERAGE(OFFSET($H$3,0,0,'Données projet'!$E$13+1,1))</f>
        <v>284.88646502866419</v>
      </c>
      <c r="CZ48" s="60">
        <f t="shared" si="42"/>
        <v>190.4880882944471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158.00000000000006</v>
      </c>
      <c r="DP48" s="18">
        <f>DO48*VLOOKUP('Données projet'!$B$14,Paramètres!$A$1:$I$89,3,0)*VLOOKUP('Données projet'!$B$14,Paramètres!$A$1:$I$89,5,0)</f>
        <v>170.07120000000003</v>
      </c>
      <c r="DQ48" s="14">
        <f t="shared" si="43"/>
        <v>43.10596962815594</v>
      </c>
      <c r="DR48" s="22">
        <f t="shared" si="16"/>
        <v>371.28357043570503</v>
      </c>
      <c r="DS48" s="60">
        <f t="shared" si="17"/>
        <v>664.61690376903834</v>
      </c>
      <c r="DT48" s="60">
        <f ca="1">AVERAGE(OFFSET($DS$3,0,0,'Données projet'!$E$14+1,1))-AVERAGE(OFFSET($H$3,0,0,'Données projet'!$E$14+1,1))</f>
        <v>502.07782026233912</v>
      </c>
      <c r="DU48" s="60">
        <f t="shared" si="44"/>
        <v>285.83623046025156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205</v>
      </c>
      <c r="EH48" s="13">
        <f>VLOOKUP(A48,'Données projet'!$A$191:$I$211,9,0)</f>
        <v>8.1999999999999993</v>
      </c>
      <c r="EI48" s="13">
        <f t="array" ref="EI48">INDEX(EH:EH,MIN(IF(ISNUMBER(EH48:EH244),ROW(EH48:EH244),"")))</f>
        <v>8.1999999999999993</v>
      </c>
      <c r="EJ48" s="13">
        <f>IF('Données projet'!$A$192&gt;35,EJ47+EI48-ER47,IF(A48&lt;'Données projet'!$A$192,$EG$205^A48,IF(A48='Données projet'!$A$192,'Données projet'!$B$192,EJ47+EI48-ER47)))</f>
        <v>204.99999999999983</v>
      </c>
      <c r="EK48" s="18">
        <f>EJ48*VLOOKUP('Données projet'!$B$15,Paramètres!$A$1:$I$89,3,0)*VLOOKUP('Données projet'!$B$15,Paramètres!$A$1:$I$89,5,0)</f>
        <v>179.08799999999988</v>
      </c>
      <c r="EL48" s="14">
        <f t="shared" si="45"/>
        <v>45.119223023956792</v>
      </c>
      <c r="EM48" s="22">
        <f t="shared" si="19"/>
        <v>390.49424676672447</v>
      </c>
      <c r="EN48" s="60">
        <f t="shared" si="20"/>
        <v>683.82758010005773</v>
      </c>
      <c r="EO48" s="60">
        <f ca="1">AVERAGE(OFFSET($EN$3,0,0,'Données projet'!$E$15+1,1))-AVERAGE(OFFSET($H$3,0,0,'Données projet'!$E$15+1,1))</f>
        <v>339.58437495284466</v>
      </c>
      <c r="EP48" s="60">
        <f t="shared" si="46"/>
        <v>371.26234252426531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158</v>
      </c>
      <c r="FC48" s="13">
        <f>VLOOKUP(A48,'Données projet'!$A$217:$I$237,9,0)</f>
        <v>8.4</v>
      </c>
      <c r="FD48" s="13">
        <f t="array" ref="FD48">INDEX(FC:FC,MIN(IF(ISNUMBER(FC48:FC244),ROW(FC48:FC244),"")))</f>
        <v>8.4</v>
      </c>
      <c r="FE48" s="13">
        <f>IF('Données projet'!$A$218&gt;35,FE47+FD48-FM47,IF(A48&lt;'Données projet'!$A$218,$FB$205^A48,IF(A48='Données projet'!$A$218,'Données projet'!$B$218,FE47+FD48-FM47)))</f>
        <v>158.00000000000006</v>
      </c>
      <c r="FF48" s="18">
        <f>FE48*VLOOKUP('Données projet'!$B$16,Paramètres!$A$1:$I$89,3,0)*VLOOKUP('Données projet'!$B$16,Paramètres!$A$1:$I$89,5,0)</f>
        <v>152.81760000000006</v>
      </c>
      <c r="FG48" s="14">
        <f t="shared" si="47"/>
        <v>39.218200171484227</v>
      </c>
      <c r="FH48" s="22">
        <f t="shared" si="22"/>
        <v>334.46235196533513</v>
      </c>
      <c r="FI48" s="60">
        <f t="shared" si="23"/>
        <v>627.79568529866845</v>
      </c>
      <c r="FJ48" s="60">
        <f ca="1">AVERAGE(OFFSET($FI$3,0,0,'Données projet'!$E$16+1,1))-AVERAGE(OFFSET($H$3,0,0,'Données projet'!$E$16+1,1))</f>
        <v>455.50822833641354</v>
      </c>
      <c r="FK48" s="60">
        <f t="shared" si="48"/>
        <v>261.14722581688039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168.52680000000007</v>
      </c>
      <c r="P49" s="14">
        <f t="shared" si="33"/>
        <v>42.759908842532369</v>
      </c>
      <c r="Q49" s="22">
        <f t="shared" si="53"/>
        <v>367.991017900744</v>
      </c>
      <c r="R49" s="60">
        <f t="shared" si="0"/>
        <v>661.32435123407731</v>
      </c>
      <c r="S49" s="60">
        <f ca="1">AVERAGE(OFFSET($R$3,0,0,'Données projet'!$E$9+1,1))-AVERAGE(OFFSET($H$3,0,0,'Données projet'!$E$9+1,1))</f>
        <v>475.47920969424894</v>
      </c>
      <c r="T49" s="60">
        <f t="shared" si="34"/>
        <v>271.73544012419364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11.861538461538462</v>
      </c>
      <c r="AI49" s="14">
        <f>IF('Données projet'!$A$62&gt;35,AI48+AH49-AQ48,IF(A49&lt;'Données projet'!$A$62,$AF$205^A49,IF(A49='Données projet'!$A$62,'Données projet'!$B$62,AI48+AH49-AQ48)))</f>
        <v>243.63846153846148</v>
      </c>
      <c r="AJ49" s="14">
        <f>AI49*VLOOKUP('Données projet'!$B$10,Paramètres!$A$1:$I$89,3,0)*VLOOKUP('Données projet'!$B$10,Paramètres!$A$1:$I$89,5,0)</f>
        <v>145.69579999999996</v>
      </c>
      <c r="AK49" s="14">
        <f t="shared" si="35"/>
        <v>37.598789481990465</v>
      </c>
      <c r="AL49" s="22">
        <f t="shared" si="4"/>
        <v>319.23807668113335</v>
      </c>
      <c r="AM49" s="60">
        <f t="shared" si="5"/>
        <v>612.57141001446666</v>
      </c>
      <c r="AN49" s="60">
        <f ca="1">AVERAGE(OFFSET($AM$3,0,0,'Données projet'!$E$10+1,1))-AVERAGE(OFFSET($H$3,0,0,'Données projet'!$E$10+1,1))</f>
        <v>289.24721145176682</v>
      </c>
      <c r="AO49" s="60">
        <f t="shared" si="36"/>
        <v>229.06617320689003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1.4548925652117435</v>
      </c>
      <c r="AW49" s="23">
        <f>EXP(-LN(2)/2)*AW48+(1-EXP(-LN(2)/2))/(LN(2)/2)*AQ49*AT49*VLOOKUP('Données projet'!$B$10,Paramètres!$A$1:$I$89,3,0)*0.475*44/12</f>
        <v>1.7318368600157584E-2</v>
      </c>
      <c r="AX49" s="23">
        <f t="shared" si="6"/>
        <v>1.4722109338119012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8.2215384615384615</v>
      </c>
      <c r="BD49" s="13">
        <f>IF('Données projet'!$A$88&gt;35,BD48+BC49-BL48,IF(A49&lt;'Données projet'!$A$88,$BA$205^A49,IF(A49='Données projet'!$A$88,'Données projet'!$B$88,BD48+BC49-BL48)))</f>
        <v>215.29846153846157</v>
      </c>
      <c r="BE49" s="14">
        <f>BD49*VLOOKUP('Données projet'!$B$11,Paramètres!$A$1:$I$89,3,0)*VLOOKUP('Données projet'!$B$11,Paramètres!$A$1:$I$89,5,0)</f>
        <v>128.74848000000003</v>
      </c>
      <c r="BF49" s="14">
        <f t="shared" si="37"/>
        <v>33.707007190719608</v>
      </c>
      <c r="BG49" s="22">
        <f t="shared" si="7"/>
        <v>282.94330685717</v>
      </c>
      <c r="BH49" s="60">
        <f t="shared" si="8"/>
        <v>576.27664019050326</v>
      </c>
      <c r="BI49" s="60">
        <f ca="1">AVERAGE(OFFSET($BH$3,0,0,'Données projet'!$E$11+1,1))-AVERAGE(OFFSET($H$3,0,0,'Données projet'!$E$11+1,1))</f>
        <v>287.91374663515506</v>
      </c>
      <c r="BJ49" s="60">
        <f t="shared" si="38"/>
        <v>217.76240797006147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166.20000000000005</v>
      </c>
      <c r="BZ49" s="14">
        <f>BY49*VLOOKUP('Données projet'!$B$12,Paramètres!$A$1:$I$89,3,0)*VLOOKUP('Données projet'!$B$12,Paramètres!$A$1:$I$89,5,0)</f>
        <v>150.37776000000002</v>
      </c>
      <c r="CA49" s="14">
        <f t="shared" si="39"/>
        <v>38.664420365454049</v>
      </c>
      <c r="CB49" s="22">
        <f t="shared" si="10"/>
        <v>329.24846413649914</v>
      </c>
      <c r="CC49" s="60">
        <f t="shared" si="11"/>
        <v>622.58179746983251</v>
      </c>
      <c r="CD49" s="60">
        <f ca="1">AVERAGE(OFFSET($CC$3,0,0,'Données projet'!$E$12+1,1))-AVERAGE(OFFSET($H$3,0,0,'Données projet'!$E$12+1,1))</f>
        <v>428.8489304403459</v>
      </c>
      <c r="CE49" s="60">
        <f t="shared" si="40"/>
        <v>247.01165577562966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12.232167832167828</v>
      </c>
      <c r="CT49" s="13">
        <f>IF('Données projet'!$A$140&gt;35,CT48+CS49-DB48,IF(A49&lt;'Données projet'!$A$140,$CQ$205^A49,IF(A49='Données projet'!$A$140,'Données projet'!$B$140,CT48+CS49-DB48)))</f>
        <v>326.40839160839164</v>
      </c>
      <c r="CU49" s="18">
        <f>CT49*VLOOKUP('Données projet'!$B$13,Paramètres!$A$1:$I$89,3,0)*VLOOKUP('Données projet'!$B$13,Paramètres!$A$1:$I$89,5,0)</f>
        <v>152.75912727272728</v>
      </c>
      <c r="CV49" s="14">
        <f t="shared" si="41"/>
        <v>39.204940492363043</v>
      </c>
      <c r="CW49" s="22">
        <f t="shared" si="13"/>
        <v>334.337418024199</v>
      </c>
      <c r="CX49" s="60">
        <f t="shared" si="14"/>
        <v>627.67075135753225</v>
      </c>
      <c r="CY49" s="60">
        <f ca="1">AVERAGE(OFFSET($CX$3,0,0,'Données projet'!$E$13+1,1))-AVERAGE(OFFSET($H$3,0,0,'Données projet'!$E$13+1,1))</f>
        <v>284.88646502866419</v>
      </c>
      <c r="CZ49" s="60">
        <f t="shared" si="42"/>
        <v>190.4880882944471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8.1999999999999993</v>
      </c>
      <c r="DO49" s="13">
        <f>IF('Données projet'!$A$166&gt;35,DO48+DN49-DW48,IF(A49&lt;'Données projet'!$A$166,$DL$205^A49,IF(A49='Données projet'!$A$166,'Données projet'!$B$166,DO48+DN49-DW48)))</f>
        <v>166.20000000000005</v>
      </c>
      <c r="DP49" s="18">
        <f>DO49*VLOOKUP('Données projet'!$B$14,Paramètres!$A$1:$I$89,3,0)*VLOOKUP('Données projet'!$B$14,Paramètres!$A$1:$I$89,5,0)</f>
        <v>178.89768000000004</v>
      </c>
      <c r="DQ49" s="14">
        <f t="shared" si="43"/>
        <v>45.076852665999411</v>
      </c>
      <c r="DR49" s="22">
        <f t="shared" si="16"/>
        <v>390.08897772661572</v>
      </c>
      <c r="DS49" s="60">
        <f t="shared" si="17"/>
        <v>683.42231105994904</v>
      </c>
      <c r="DT49" s="60">
        <f ca="1">AVERAGE(OFFSET($DS$3,0,0,'Données projet'!$E$14+1,1))-AVERAGE(OFFSET($H$3,0,0,'Données projet'!$E$14+1,1))</f>
        <v>502.07782026233912</v>
      </c>
      <c r="DU49" s="60">
        <f t="shared" si="44"/>
        <v>285.83623046025156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</v>
      </c>
      <c r="EJ49" s="13">
        <f>IF('Données projet'!$A$192&gt;35,EJ48+EI49-ER48,IF(A49&lt;'Données projet'!$A$192,$EG$205^A49,IF(A49='Données projet'!$A$192,'Données projet'!$B$192,EJ48+EI49-ER48)))</f>
        <v>211.99999999999983</v>
      </c>
      <c r="EK49" s="18">
        <f>EJ49*VLOOKUP('Données projet'!$B$15,Paramètres!$A$1:$I$89,3,0)*VLOOKUP('Données projet'!$B$15,Paramètres!$A$1:$I$89,5,0)</f>
        <v>185.20319999999987</v>
      </c>
      <c r="EL49" s="14">
        <f t="shared" si="45"/>
        <v>46.477875402099386</v>
      </c>
      <c r="EM49" s="22">
        <f t="shared" si="19"/>
        <v>403.5112063253228</v>
      </c>
      <c r="EN49" s="60">
        <f t="shared" si="20"/>
        <v>696.84453965865612</v>
      </c>
      <c r="EO49" s="60">
        <f ca="1">AVERAGE(OFFSET($EN$3,0,0,'Données projet'!$E$15+1,1))-AVERAGE(OFFSET($H$3,0,0,'Données projet'!$E$15+1,1))</f>
        <v>339.58437495284466</v>
      </c>
      <c r="EP49" s="60">
        <f t="shared" si="46"/>
        <v>371.26234252426531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8.1999999999999993</v>
      </c>
      <c r="FE49" s="13">
        <f>IF('Données projet'!$A$218&gt;35,FE48+FD49-FM48,IF(A49&lt;'Données projet'!$A$218,$FB$205^A49,IF(A49='Données projet'!$A$218,'Données projet'!$B$218,FE48+FD49-FM48)))</f>
        <v>166.20000000000005</v>
      </c>
      <c r="FF49" s="18">
        <f>FE49*VLOOKUP('Données projet'!$B$16,Paramètres!$A$1:$I$89,3,0)*VLOOKUP('Données projet'!$B$16,Paramètres!$A$1:$I$89,5,0)</f>
        <v>160.74864000000005</v>
      </c>
      <c r="FG49" s="14">
        <f t="shared" si="47"/>
        <v>41.011327345272264</v>
      </c>
      <c r="FH49" s="22">
        <f t="shared" si="22"/>
        <v>351.39860979301596</v>
      </c>
      <c r="FI49" s="60">
        <f t="shared" si="23"/>
        <v>644.73194312634928</v>
      </c>
      <c r="FJ49" s="60">
        <f ca="1">AVERAGE(OFFSET($FI$3,0,0,'Données projet'!$E$16+1,1))-AVERAGE(OFFSET($H$3,0,0,'Données projet'!$E$16+1,1))</f>
        <v>455.50822833641354</v>
      </c>
      <c r="FK49" s="60">
        <f t="shared" si="48"/>
        <v>261.14722581688039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176.84160000000006</v>
      </c>
      <c r="P50" s="14">
        <f t="shared" si="33"/>
        <v>44.618778032982952</v>
      </c>
      <c r="Q50" s="22">
        <f t="shared" si="53"/>
        <v>385.71015840744536</v>
      </c>
      <c r="R50" s="60">
        <f t="shared" si="0"/>
        <v>679.04349174077868</v>
      </c>
      <c r="S50" s="60">
        <f ca="1">AVERAGE(OFFSET($R$3,0,0,'Données projet'!$E$9+1,1))-AVERAGE(OFFSET($H$3,0,0,'Données projet'!$E$9+1,1))</f>
        <v>475.47920969424894</v>
      </c>
      <c r="T50" s="60">
        <f t="shared" si="34"/>
        <v>271.73544012419364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11.861538461538462</v>
      </c>
      <c r="AI50" s="14">
        <f>IF('Données projet'!$A$62&gt;35,AI49+AH50-AQ49,IF(A50&lt;'Données projet'!$A$62,$AF$205^A50,IF(A50='Données projet'!$A$62,'Données projet'!$B$62,AI49+AH50-AQ49)))</f>
        <v>255.49999999999994</v>
      </c>
      <c r="AJ50" s="14">
        <f>AI50*VLOOKUP('Données projet'!$B$10,Paramètres!$A$1:$I$89,3,0)*VLOOKUP('Données projet'!$B$10,Paramètres!$A$1:$I$89,5,0)</f>
        <v>152.78899999999996</v>
      </c>
      <c r="AK50" s="14">
        <f t="shared" si="35"/>
        <v>39.211714711932316</v>
      </c>
      <c r="AL50" s="22">
        <f t="shared" si="4"/>
        <v>334.40124478994869</v>
      </c>
      <c r="AM50" s="60">
        <f t="shared" si="5"/>
        <v>627.73457812328206</v>
      </c>
      <c r="AN50" s="60">
        <f ca="1">AVERAGE(OFFSET($AM$3,0,0,'Données projet'!$E$10+1,1))-AVERAGE(OFFSET($H$3,0,0,'Données projet'!$E$10+1,1))</f>
        <v>289.24721145176682</v>
      </c>
      <c r="AO50" s="60">
        <f t="shared" si="36"/>
        <v>229.06617320689003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1.4151084515065535</v>
      </c>
      <c r="AW50" s="23">
        <f>EXP(-LN(2)/2)*AW49+(1-EXP(-LN(2)/2))/(LN(2)/2)*AQ50*AT50*VLOOKUP('Données projet'!$B$10,Paramètres!$A$1:$I$89,3,0)*0.475*44/12</f>
        <v>1.2245935876259604E-2</v>
      </c>
      <c r="AX50" s="23">
        <f t="shared" si="6"/>
        <v>1.4273543873828132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8.2215384615384615</v>
      </c>
      <c r="BD50" s="13">
        <f>IF('Données projet'!$A$88&gt;35,BD49+BC50-BL49,IF(A50&lt;'Données projet'!$A$88,$BA$205^A50,IF(A50='Données projet'!$A$88,'Données projet'!$B$88,BD49+BC50-BL49)))</f>
        <v>223.52000000000004</v>
      </c>
      <c r="BE50" s="14">
        <f>BD50*VLOOKUP('Données projet'!$B$11,Paramètres!$A$1:$I$89,3,0)*VLOOKUP('Données projet'!$B$11,Paramètres!$A$1:$I$89,5,0)</f>
        <v>133.66496000000004</v>
      </c>
      <c r="BF50" s="14">
        <f t="shared" si="37"/>
        <v>34.841848832584269</v>
      </c>
      <c r="BG50" s="22">
        <f t="shared" si="7"/>
        <v>293.48269205008432</v>
      </c>
      <c r="BH50" s="60">
        <f t="shared" si="8"/>
        <v>586.81602538341758</v>
      </c>
      <c r="BI50" s="60">
        <f ca="1">AVERAGE(OFFSET($BH$3,0,0,'Données projet'!$E$11+1,1))-AVERAGE(OFFSET($H$3,0,0,'Données projet'!$E$11+1,1))</f>
        <v>287.91374663515506</v>
      </c>
      <c r="BJ50" s="60">
        <f t="shared" si="38"/>
        <v>217.76240797006147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174.40000000000003</v>
      </c>
      <c r="BZ50" s="14">
        <f>BY50*VLOOKUP('Données projet'!$B$12,Paramètres!$A$1:$I$89,3,0)*VLOOKUP('Données projet'!$B$12,Paramètres!$A$1:$I$89,5,0)</f>
        <v>157.79712000000004</v>
      </c>
      <c r="CA50" s="14">
        <f t="shared" si="39"/>
        <v>40.345249481546155</v>
      </c>
      <c r="CB50" s="22">
        <f t="shared" si="10"/>
        <v>345.09796018035962</v>
      </c>
      <c r="CC50" s="60">
        <f t="shared" si="11"/>
        <v>638.43129351369294</v>
      </c>
      <c r="CD50" s="60">
        <f ca="1">AVERAGE(OFFSET($CC$3,0,0,'Données projet'!$E$12+1,1))-AVERAGE(OFFSET($H$3,0,0,'Données projet'!$E$12+1,1))</f>
        <v>428.8489304403459</v>
      </c>
      <c r="CE50" s="60">
        <f t="shared" si="40"/>
        <v>247.01165577562966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12.232167832167828</v>
      </c>
      <c r="CT50" s="13">
        <f>IF('Données projet'!$A$140&gt;35,CT49+CS50-DB49,IF(A50&lt;'Données projet'!$A$140,$CQ$205^A50,IF(A50='Données projet'!$A$140,'Données projet'!$B$140,CT49+CS50-DB49)))</f>
        <v>338.64055944055946</v>
      </c>
      <c r="CU50" s="18">
        <f>CT50*VLOOKUP('Données projet'!$B$13,Paramètres!$A$1:$I$89,3,0)*VLOOKUP('Données projet'!$B$13,Paramètres!$A$1:$I$89,5,0)</f>
        <v>158.48378181818182</v>
      </c>
      <c r="CV50" s="14">
        <f t="shared" si="41"/>
        <v>40.500338880721898</v>
      </c>
      <c r="CW50" s="22">
        <f t="shared" si="13"/>
        <v>346.56401021725725</v>
      </c>
      <c r="CX50" s="60">
        <f t="shared" si="14"/>
        <v>639.89734355059056</v>
      </c>
      <c r="CY50" s="60">
        <f ca="1">AVERAGE(OFFSET($CX$3,0,0,'Données projet'!$E$13+1,1))-AVERAGE(OFFSET($H$3,0,0,'Données projet'!$E$13+1,1))</f>
        <v>284.88646502866419</v>
      </c>
      <c r="CZ50" s="60">
        <f t="shared" si="42"/>
        <v>190.4880882944471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8.1999999999999993</v>
      </c>
      <c r="DO50" s="13">
        <f>IF('Données projet'!$A$166&gt;35,DO49+DN50-DW49,IF(A50&lt;'Données projet'!$A$166,$DL$205^A50,IF(A50='Données projet'!$A$166,'Données projet'!$B$166,DO49+DN50-DW49)))</f>
        <v>174.40000000000003</v>
      </c>
      <c r="DP50" s="18">
        <f>DO50*VLOOKUP('Données projet'!$B$14,Paramètres!$A$1:$I$89,3,0)*VLOOKUP('Données projet'!$B$14,Paramètres!$A$1:$I$89,5,0)</f>
        <v>187.72416000000004</v>
      </c>
      <c r="DQ50" s="14">
        <f t="shared" si="43"/>
        <v>47.036444603668812</v>
      </c>
      <c r="DR50" s="22">
        <f t="shared" si="16"/>
        <v>408.87471968472323</v>
      </c>
      <c r="DS50" s="60">
        <f t="shared" si="17"/>
        <v>702.20805301805649</v>
      </c>
      <c r="DT50" s="60">
        <f ca="1">AVERAGE(OFFSET($DS$3,0,0,'Données projet'!$E$14+1,1))-AVERAGE(OFFSET($H$3,0,0,'Données projet'!$E$14+1,1))</f>
        <v>502.07782026233912</v>
      </c>
      <c r="DU50" s="60">
        <f t="shared" si="44"/>
        <v>285.83623046025156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</v>
      </c>
      <c r="EJ50" s="13">
        <f>IF('Données projet'!$A$192&gt;35,EJ49+EI50-ER49,IF(A50&lt;'Données projet'!$A$192,$EG$205^A50,IF(A50='Données projet'!$A$192,'Données projet'!$B$192,EJ49+EI50-ER49)))</f>
        <v>218.99999999999983</v>
      </c>
      <c r="EK50" s="18">
        <f>EJ50*VLOOKUP('Données projet'!$B$15,Paramètres!$A$1:$I$89,3,0)*VLOOKUP('Données projet'!$B$15,Paramètres!$A$1:$I$89,5,0)</f>
        <v>191.31839999999988</v>
      </c>
      <c r="EL50" s="14">
        <f t="shared" si="45"/>
        <v>47.831314962098354</v>
      </c>
      <c r="EM50" s="22">
        <f t="shared" si="19"/>
        <v>416.51908689232113</v>
      </c>
      <c r="EN50" s="60">
        <f t="shared" si="20"/>
        <v>709.85242022565444</v>
      </c>
      <c r="EO50" s="60">
        <f ca="1">AVERAGE(OFFSET($EN$3,0,0,'Données projet'!$E$15+1,1))-AVERAGE(OFFSET($H$3,0,0,'Données projet'!$E$15+1,1))</f>
        <v>339.58437495284466</v>
      </c>
      <c r="EP50" s="60">
        <f t="shared" si="46"/>
        <v>371.26234252426531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8.1999999999999993</v>
      </c>
      <c r="FE50" s="13">
        <f>IF('Données projet'!$A$218&gt;35,FE49+FD50-FM49,IF(A50&lt;'Données projet'!$A$218,$FB$205^A50,IF(A50='Données projet'!$A$218,'Données projet'!$B$218,FE49+FD50-FM49)))</f>
        <v>174.40000000000003</v>
      </c>
      <c r="FF50" s="18">
        <f>FE50*VLOOKUP('Données projet'!$B$16,Paramètres!$A$1:$I$89,3,0)*VLOOKUP('Données projet'!$B$16,Paramètres!$A$1:$I$89,5,0)</f>
        <v>168.67968000000002</v>
      </c>
      <c r="FG50" s="14">
        <f t="shared" si="47"/>
        <v>42.794181774227013</v>
      </c>
      <c r="FH50" s="22">
        <f t="shared" si="22"/>
        <v>368.3169759234454</v>
      </c>
      <c r="FI50" s="60">
        <f t="shared" si="23"/>
        <v>661.65030925677866</v>
      </c>
      <c r="FJ50" s="60">
        <f ca="1">AVERAGE(OFFSET($FI$3,0,0,'Données projet'!$E$16+1,1))-AVERAGE(OFFSET($H$3,0,0,'Données projet'!$E$16+1,1))</f>
        <v>455.50822833641354</v>
      </c>
      <c r="FK50" s="60">
        <f t="shared" si="48"/>
        <v>261.14722581688039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185.15640000000002</v>
      </c>
      <c r="P51" s="14">
        <f t="shared" si="33"/>
        <v>46.467497591770453</v>
      </c>
      <c r="Q51" s="22">
        <f t="shared" si="53"/>
        <v>403.4116216390002</v>
      </c>
      <c r="R51" s="60">
        <f t="shared" si="0"/>
        <v>696.74495497233352</v>
      </c>
      <c r="S51" s="60">
        <f ca="1">AVERAGE(OFFSET($R$3,0,0,'Données projet'!$E$9+1,1))-AVERAGE(OFFSET($H$3,0,0,'Données projet'!$E$9+1,1))</f>
        <v>475.47920969424894</v>
      </c>
      <c r="T51" s="60">
        <f t="shared" si="34"/>
        <v>271.73544012419364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11.861538461538462</v>
      </c>
      <c r="AI51" s="14">
        <f>IF('Données projet'!$A$62&gt;35,AI50+AH51-AQ50,IF(A51&lt;'Données projet'!$A$62,$AF$205^A51,IF(A51='Données projet'!$A$62,'Données projet'!$B$62,AI50+AH51-AQ50)))</f>
        <v>267.36153846153843</v>
      </c>
      <c r="AJ51" s="14">
        <f>AI51*VLOOKUP('Données projet'!$B$10,Paramètres!$A$1:$I$89,3,0)*VLOOKUP('Données projet'!$B$10,Paramètres!$A$1:$I$89,5,0)</f>
        <v>159.88219999999998</v>
      </c>
      <c r="AK51" s="14">
        <f t="shared" si="35"/>
        <v>40.815944149041762</v>
      </c>
      <c r="AL51" s="22">
        <f t="shared" si="4"/>
        <v>349.54926772624771</v>
      </c>
      <c r="AM51" s="60">
        <f t="shared" si="5"/>
        <v>642.88260105958102</v>
      </c>
      <c r="AN51" s="60">
        <f ca="1">AVERAGE(OFFSET($AM$3,0,0,'Données projet'!$E$10+1,1))-AVERAGE(OFFSET($H$3,0,0,'Données projet'!$E$10+1,1))</f>
        <v>289.24721145176682</v>
      </c>
      <c r="AO51" s="60">
        <f t="shared" si="36"/>
        <v>229.06617320689003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1.3764122364827875</v>
      </c>
      <c r="AW51" s="23">
        <f>EXP(-LN(2)/2)*AW50+(1-EXP(-LN(2)/2))/(LN(2)/2)*AQ51*AT51*VLOOKUP('Données projet'!$B$10,Paramètres!$A$1:$I$89,3,0)*0.475*44/12</f>
        <v>8.659184300078792E-3</v>
      </c>
      <c r="AX51" s="23">
        <f t="shared" si="6"/>
        <v>1.3850714207828663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8.2215384615384615</v>
      </c>
      <c r="BD51" s="13">
        <f>IF('Données projet'!$A$88&gt;35,BD50+BC51-BL50,IF(A51&lt;'Données projet'!$A$88,$BA$205^A51,IF(A51='Données projet'!$A$88,'Données projet'!$B$88,BD50+BC51-BL50)))</f>
        <v>231.74153846153851</v>
      </c>
      <c r="BE51" s="14">
        <f>BD51*VLOOKUP('Données projet'!$B$11,Paramètres!$A$1:$I$89,3,0)*VLOOKUP('Données projet'!$B$11,Paramètres!$A$1:$I$89,5,0)</f>
        <v>138.58144000000004</v>
      </c>
      <c r="BF51" s="14">
        <f t="shared" si="37"/>
        <v>35.971840951388067</v>
      </c>
      <c r="BG51" s="22">
        <f t="shared" si="7"/>
        <v>304.01363099033426</v>
      </c>
      <c r="BH51" s="60">
        <f t="shared" si="8"/>
        <v>597.34696432366763</v>
      </c>
      <c r="BI51" s="60">
        <f ca="1">AVERAGE(OFFSET($BH$3,0,0,'Données projet'!$E$11+1,1))-AVERAGE(OFFSET($H$3,0,0,'Données projet'!$E$11+1,1))</f>
        <v>287.91374663515506</v>
      </c>
      <c r="BJ51" s="60">
        <f t="shared" si="38"/>
        <v>217.76240797006147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182.60000000000002</v>
      </c>
      <c r="BZ51" s="14">
        <f>BY51*VLOOKUP('Données projet'!$B$12,Paramètres!$A$1:$I$89,3,0)*VLOOKUP('Données projet'!$B$12,Paramètres!$A$1:$I$89,5,0)</f>
        <v>165.21648000000002</v>
      </c>
      <c r="CA51" s="14">
        <f t="shared" si="39"/>
        <v>42.016901084500397</v>
      </c>
      <c r="CB51" s="22">
        <f t="shared" si="10"/>
        <v>360.93147205550491</v>
      </c>
      <c r="CC51" s="60">
        <f t="shared" si="11"/>
        <v>654.26480538883823</v>
      </c>
      <c r="CD51" s="60">
        <f ca="1">AVERAGE(OFFSET($CC$3,0,0,'Données projet'!$E$12+1,1))-AVERAGE(OFFSET($H$3,0,0,'Données projet'!$E$12+1,1))</f>
        <v>428.8489304403459</v>
      </c>
      <c r="CE51" s="60">
        <f t="shared" si="40"/>
        <v>247.01165577562966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12.232167832167828</v>
      </c>
      <c r="CT51" s="13">
        <f>IF('Données projet'!$A$140&gt;35,CT50+CS51-DB50,IF(A51&lt;'Données projet'!$A$140,$CQ$205^A51,IF(A51='Données projet'!$A$140,'Données projet'!$B$140,CT50+CS51-DB50)))</f>
        <v>350.87272727272727</v>
      </c>
      <c r="CU51" s="18">
        <f>CT51*VLOOKUP('Données projet'!$B$13,Paramètres!$A$1:$I$89,3,0)*VLOOKUP('Données projet'!$B$13,Paramètres!$A$1:$I$89,5,0)</f>
        <v>164.20843636363637</v>
      </c>
      <c r="CV51" s="14">
        <f t="shared" si="41"/>
        <v>41.79030091319455</v>
      </c>
      <c r="CW51" s="22">
        <f t="shared" si="13"/>
        <v>358.78113409048046</v>
      </c>
      <c r="CX51" s="60">
        <f t="shared" si="14"/>
        <v>652.11446742381372</v>
      </c>
      <c r="CY51" s="60">
        <f ca="1">AVERAGE(OFFSET($CX$3,0,0,'Données projet'!$E$13+1,1))-AVERAGE(OFFSET($H$3,0,0,'Données projet'!$E$13+1,1))</f>
        <v>284.88646502866419</v>
      </c>
      <c r="CZ51" s="60">
        <f t="shared" si="42"/>
        <v>190.4880882944471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8.1999999999999993</v>
      </c>
      <c r="DO51" s="13">
        <f>IF('Données projet'!$A$166&gt;35,DO50+DN51-DW50,IF(A51&lt;'Données projet'!$A$166,$DL$205^A51,IF(A51='Données projet'!$A$166,'Données projet'!$B$166,DO50+DN51-DW50)))</f>
        <v>182.60000000000002</v>
      </c>
      <c r="DP51" s="18">
        <f>DO51*VLOOKUP('Données projet'!$B$14,Paramètres!$A$1:$I$89,3,0)*VLOOKUP('Données projet'!$B$14,Paramètres!$A$1:$I$89,5,0)</f>
        <v>196.55064000000002</v>
      </c>
      <c r="DQ51" s="14">
        <f t="shared" si="43"/>
        <v>48.985336952319578</v>
      </c>
      <c r="DR51" s="22">
        <f t="shared" si="16"/>
        <v>427.6418265252899</v>
      </c>
      <c r="DS51" s="60">
        <f t="shared" si="17"/>
        <v>720.97515985862321</v>
      </c>
      <c r="DT51" s="60">
        <f ca="1">AVERAGE(OFFSET($DS$3,0,0,'Données projet'!$E$14+1,1))-AVERAGE(OFFSET($H$3,0,0,'Données projet'!$E$14+1,1))</f>
        <v>502.07782026233912</v>
      </c>
      <c r="DU51" s="60">
        <f t="shared" si="44"/>
        <v>285.83623046025156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</v>
      </c>
      <c r="EJ51" s="13">
        <f>IF('Données projet'!$A$192&gt;35,EJ50+EI51-ER50,IF(A51&lt;'Données projet'!$A$192,$EG$205^A51,IF(A51='Données projet'!$A$192,'Données projet'!$B$192,EJ50+EI51-ER50)))</f>
        <v>225.99999999999983</v>
      </c>
      <c r="EK51" s="18">
        <f>EJ51*VLOOKUP('Données projet'!$B$15,Paramètres!$A$1:$I$89,3,0)*VLOOKUP('Données projet'!$B$15,Paramètres!$A$1:$I$89,5,0)</f>
        <v>197.43359999999987</v>
      </c>
      <c r="EL51" s="14">
        <f t="shared" si="45"/>
        <v>49.179727436837567</v>
      </c>
      <c r="EM51" s="22">
        <f t="shared" si="19"/>
        <v>429.51821195249181</v>
      </c>
      <c r="EN51" s="60">
        <f t="shared" si="20"/>
        <v>722.85154528582507</v>
      </c>
      <c r="EO51" s="60">
        <f ca="1">AVERAGE(OFFSET($EN$3,0,0,'Données projet'!$E$15+1,1))-AVERAGE(OFFSET($H$3,0,0,'Données projet'!$E$15+1,1))</f>
        <v>339.58437495284466</v>
      </c>
      <c r="EP51" s="60">
        <f t="shared" si="46"/>
        <v>371.26234252426531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8.1999999999999993</v>
      </c>
      <c r="FE51" s="13">
        <f>IF('Données projet'!$A$218&gt;35,FE50+FD51-FM50,IF(A51&lt;'Données projet'!$A$218,$FB$205^A51,IF(A51='Données projet'!$A$218,'Données projet'!$B$218,FE50+FD51-FM50)))</f>
        <v>182.60000000000002</v>
      </c>
      <c r="FF51" s="18">
        <f>FE51*VLOOKUP('Données projet'!$B$16,Paramètres!$A$1:$I$89,3,0)*VLOOKUP('Données projet'!$B$16,Paramètres!$A$1:$I$89,5,0)</f>
        <v>176.61072000000004</v>
      </c>
      <c r="FG51" s="14">
        <f t="shared" si="47"/>
        <v>44.56730162053563</v>
      </c>
      <c r="FH51" s="22">
        <f t="shared" si="22"/>
        <v>385.21838765576626</v>
      </c>
      <c r="FI51" s="60">
        <f t="shared" si="23"/>
        <v>678.55172098909952</v>
      </c>
      <c r="FJ51" s="60">
        <f ca="1">AVERAGE(OFFSET($FI$3,0,0,'Données projet'!$E$16+1,1))-AVERAGE(OFFSET($H$3,0,0,'Données projet'!$E$16+1,1))</f>
        <v>455.50822833641354</v>
      </c>
      <c r="FK51" s="60">
        <f t="shared" si="48"/>
        <v>261.14722581688039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193.47120000000001</v>
      </c>
      <c r="P52" s="14">
        <f t="shared" si="33"/>
        <v>48.306575382296536</v>
      </c>
      <c r="Q52" s="22">
        <f t="shared" si="53"/>
        <v>421.09629212416644</v>
      </c>
      <c r="R52" s="60">
        <f t="shared" si="0"/>
        <v>714.4296254574997</v>
      </c>
      <c r="S52" s="60">
        <f ca="1">AVERAGE(OFFSET($R$3,0,0,'Données projet'!$E$9+1,1))-AVERAGE(OFFSET($H$3,0,0,'Données projet'!$E$9+1,1))</f>
        <v>475.47920969424894</v>
      </c>
      <c r="T52" s="60">
        <f t="shared" si="34"/>
        <v>271.73544012419364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11.861538461538462</v>
      </c>
      <c r="AI52" s="14">
        <f>IF('Données projet'!$A$62&gt;35,AI51+AH52-AQ51,IF(A52&lt;'Données projet'!$A$62,$AF$205^A52,IF(A52='Données projet'!$A$62,'Données projet'!$B$62,AI51+AH52-AQ51)))</f>
        <v>279.22307692307692</v>
      </c>
      <c r="AJ52" s="14">
        <f>AI52*VLOOKUP('Données projet'!$B$10,Paramètres!$A$1:$I$89,3,0)*VLOOKUP('Données projet'!$B$10,Paramètres!$A$1:$I$89,5,0)</f>
        <v>166.97540000000001</v>
      </c>
      <c r="AK52" s="14">
        <f t="shared" si="35"/>
        <v>42.411907667415186</v>
      </c>
      <c r="AL52" s="22">
        <f t="shared" si="4"/>
        <v>364.68289418741483</v>
      </c>
      <c r="AM52" s="60">
        <f t="shared" si="5"/>
        <v>658.01622752074809</v>
      </c>
      <c r="AN52" s="60">
        <f ca="1">AVERAGE(OFFSET($AM$3,0,0,'Données projet'!$E$10+1,1))-AVERAGE(OFFSET($H$3,0,0,'Données projet'!$E$10+1,1))</f>
        <v>289.24721145176682</v>
      </c>
      <c r="AO52" s="60">
        <f t="shared" si="36"/>
        <v>229.06617320689003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1.338774171493792</v>
      </c>
      <c r="AW52" s="23">
        <f>EXP(-LN(2)/2)*AW51+(1-EXP(-LN(2)/2))/(LN(2)/2)*AQ52*AT52*VLOOKUP('Données projet'!$B$10,Paramètres!$A$1:$I$89,3,0)*0.475*44/12</f>
        <v>6.1229679381298021E-3</v>
      </c>
      <c r="AX52" s="23">
        <f t="shared" si="6"/>
        <v>1.3448971394319218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8.2215384615384615</v>
      </c>
      <c r="BD52" s="13">
        <f>IF('Données projet'!$A$88&gt;35,BD51+BC52-BL51,IF(A52&lt;'Données projet'!$A$88,$BA$205^A52,IF(A52='Données projet'!$A$88,'Données projet'!$B$88,BD51+BC52-BL51)))</f>
        <v>239.96307692307698</v>
      </c>
      <c r="BE52" s="14">
        <f>BD52*VLOOKUP('Données projet'!$B$11,Paramètres!$A$1:$I$89,3,0)*VLOOKUP('Données projet'!$B$11,Paramètres!$A$1:$I$89,5,0)</f>
        <v>143.49792000000005</v>
      </c>
      <c r="BF52" s="14">
        <f t="shared" si="37"/>
        <v>37.097175306649724</v>
      </c>
      <c r="BG52" s="22">
        <f t="shared" si="7"/>
        <v>314.53645765908169</v>
      </c>
      <c r="BH52" s="60">
        <f t="shared" si="8"/>
        <v>607.86979099241501</v>
      </c>
      <c r="BI52" s="60">
        <f ca="1">AVERAGE(OFFSET($BH$3,0,0,'Données projet'!$E$11+1,1))-AVERAGE(OFFSET($H$3,0,0,'Données projet'!$E$11+1,1))</f>
        <v>287.91374663515506</v>
      </c>
      <c r="BJ52" s="60">
        <f t="shared" si="38"/>
        <v>217.76240797006147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190.8</v>
      </c>
      <c r="BZ52" s="14">
        <f>BY52*VLOOKUP('Données projet'!$B$12,Paramètres!$A$1:$I$89,3,0)*VLOOKUP('Données projet'!$B$12,Paramètres!$A$1:$I$89,5,0)</f>
        <v>172.63584</v>
      </c>
      <c r="CA52" s="14">
        <f t="shared" si="39"/>
        <v>43.679834395222109</v>
      </c>
      <c r="CB52" s="22">
        <f t="shared" si="10"/>
        <v>376.74979957167847</v>
      </c>
      <c r="CC52" s="60">
        <f t="shared" si="11"/>
        <v>670.08313290501178</v>
      </c>
      <c r="CD52" s="60">
        <f ca="1">AVERAGE(OFFSET($CC$3,0,0,'Données projet'!$E$12+1,1))-AVERAGE(OFFSET($H$3,0,0,'Données projet'!$E$12+1,1))</f>
        <v>428.8489304403459</v>
      </c>
      <c r="CE52" s="60">
        <f t="shared" si="40"/>
        <v>247.01165577562966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12.232167832167828</v>
      </c>
      <c r="CT52" s="13">
        <f>IF('Données projet'!$A$140&gt;35,CT51+CS52-DB51,IF(A52&lt;'Données projet'!$A$140,$CQ$205^A52,IF(A52='Données projet'!$A$140,'Données projet'!$B$140,CT51+CS52-DB51)))</f>
        <v>363.10489510489509</v>
      </c>
      <c r="CU52" s="18">
        <f>CT52*VLOOKUP('Données projet'!$B$13,Paramètres!$A$1:$I$89,3,0)*VLOOKUP('Données projet'!$B$13,Paramètres!$A$1:$I$89,5,0)</f>
        <v>169.93309090909091</v>
      </c>
      <c r="CV52" s="14">
        <f t="shared" si="41"/>
        <v>43.075037831408729</v>
      </c>
      <c r="CW52" s="22">
        <f t="shared" si="13"/>
        <v>370.98915755637017</v>
      </c>
      <c r="CX52" s="60">
        <f t="shared" si="14"/>
        <v>664.32249088970343</v>
      </c>
      <c r="CY52" s="60">
        <f ca="1">AVERAGE(OFFSET($CX$3,0,0,'Données projet'!$E$13+1,1))-AVERAGE(OFFSET($H$3,0,0,'Données projet'!$E$13+1,1))</f>
        <v>284.88646502866419</v>
      </c>
      <c r="CZ52" s="60">
        <f t="shared" si="42"/>
        <v>190.4880882944471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8.1999999999999993</v>
      </c>
      <c r="DO52" s="13">
        <f>IF('Données projet'!$A$166&gt;35,DO51+DN52-DW51,IF(A52&lt;'Données projet'!$A$166,$DL$205^A52,IF(A52='Données projet'!$A$166,'Données projet'!$B$166,DO51+DN52-DW51)))</f>
        <v>190.8</v>
      </c>
      <c r="DP52" s="18">
        <f>DO52*VLOOKUP('Données projet'!$B$14,Paramètres!$A$1:$I$89,3,0)*VLOOKUP('Données projet'!$B$14,Paramètres!$A$1:$I$89,5,0)</f>
        <v>205.37711999999999</v>
      </c>
      <c r="DQ52" s="14">
        <f t="shared" si="43"/>
        <v>50.924065093909938</v>
      </c>
      <c r="DR52" s="22">
        <f t="shared" si="16"/>
        <v>446.39123070522641</v>
      </c>
      <c r="DS52" s="60">
        <f t="shared" si="17"/>
        <v>739.72456403855972</v>
      </c>
      <c r="DT52" s="60">
        <f ca="1">AVERAGE(OFFSET($DS$3,0,0,'Données projet'!$E$14+1,1))-AVERAGE(OFFSET($H$3,0,0,'Données projet'!$E$14+1,1))</f>
        <v>502.07782026233912</v>
      </c>
      <c r="DU52" s="60">
        <f t="shared" si="44"/>
        <v>285.83623046025156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</v>
      </c>
      <c r="EJ52" s="13">
        <f>IF('Données projet'!$A$192&gt;35,EJ51+EI52-ER51,IF(A52&lt;'Données projet'!$A$192,$EG$205^A52,IF(A52='Données projet'!$A$192,'Données projet'!$B$192,EJ51+EI52-ER51)))</f>
        <v>232.99999999999983</v>
      </c>
      <c r="EK52" s="18">
        <f>EJ52*VLOOKUP('Données projet'!$B$15,Paramètres!$A$1:$I$89,3,0)*VLOOKUP('Données projet'!$B$15,Paramètres!$A$1:$I$89,5,0)</f>
        <v>203.54879999999986</v>
      </c>
      <c r="EL52" s="14">
        <f t="shared" si="45"/>
        <v>50.523286400023437</v>
      </c>
      <c r="EM52" s="22">
        <f t="shared" si="19"/>
        <v>442.50888381337387</v>
      </c>
      <c r="EN52" s="60">
        <f t="shared" si="20"/>
        <v>735.84221714670718</v>
      </c>
      <c r="EO52" s="60">
        <f ca="1">AVERAGE(OFFSET($EN$3,0,0,'Données projet'!$E$15+1,1))-AVERAGE(OFFSET($H$3,0,0,'Données projet'!$E$15+1,1))</f>
        <v>339.58437495284466</v>
      </c>
      <c r="EP52" s="60">
        <f t="shared" si="46"/>
        <v>371.26234252426531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8.1999999999999993</v>
      </c>
      <c r="FE52" s="13">
        <f>IF('Données projet'!$A$218&gt;35,FE51+FD52-FM51,IF(A52&lt;'Données projet'!$A$218,$FB$205^A52,IF(A52='Données projet'!$A$218,'Données projet'!$B$218,FE51+FD52-FM51)))</f>
        <v>190.8</v>
      </c>
      <c r="FF52" s="18">
        <f>FE52*VLOOKUP('Données projet'!$B$16,Paramètres!$A$1:$I$89,3,0)*VLOOKUP('Données projet'!$B$16,Paramètres!$A$1:$I$89,5,0)</f>
        <v>184.54176000000001</v>
      </c>
      <c r="FG52" s="14">
        <f t="shared" si="47"/>
        <v>46.33117397953523</v>
      </c>
      <c r="FH52" s="22">
        <f t="shared" si="22"/>
        <v>402.10369334769052</v>
      </c>
      <c r="FI52" s="60">
        <f t="shared" si="23"/>
        <v>695.43702668102378</v>
      </c>
      <c r="FJ52" s="60">
        <f ca="1">AVERAGE(OFFSET($FI$3,0,0,'Données projet'!$E$16+1,1))-AVERAGE(OFFSET($H$3,0,0,'Données projet'!$E$16+1,1))</f>
        <v>455.50822833641354</v>
      </c>
      <c r="FK52" s="60">
        <f t="shared" si="48"/>
        <v>261.14722581688039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201.786</v>
      </c>
      <c r="P53" s="14">
        <f t="shared" si="33"/>
        <v>50.136473146268756</v>
      </c>
      <c r="Q53" s="22">
        <f t="shared" si="53"/>
        <v>438.76497406308476</v>
      </c>
      <c r="R53" s="60">
        <f t="shared" si="0"/>
        <v>732.09830739641802</v>
      </c>
      <c r="S53" s="60">
        <f ca="1">AVERAGE(OFFSET($R$3,0,0,'Données projet'!$E$9+1,1))-AVERAGE(OFFSET($H$3,0,0,'Données projet'!$E$9+1,1))</f>
        <v>475.47920969424894</v>
      </c>
      <c r="T53" s="60">
        <f t="shared" si="34"/>
        <v>271.73544012419364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291.0846153846154</v>
      </c>
      <c r="AG53" s="13">
        <f>VLOOKUP(A53,'Données projet'!$A$61:$I$81,9,0)</f>
        <v>11.861538461538462</v>
      </c>
      <c r="AH53" s="13">
        <f t="array" ref="AH53">INDEX(AG:AG,MIN(IF(ISNUMBER(AG53:AG249),ROW(AG53:AG249),"")))</f>
        <v>11.861538461538462</v>
      </c>
      <c r="AI53" s="14">
        <f>IF('Données projet'!$A$62&gt;35,AI52+AH53-AQ52,IF(A53&lt;'Données projet'!$A$62,$AF$205^A53,IF(A53='Données projet'!$A$62,'Données projet'!$B$62,AI52+AH53-AQ52)))</f>
        <v>291.0846153846154</v>
      </c>
      <c r="AJ53" s="14">
        <f>AI53*VLOOKUP('Données projet'!$B$10,Paramètres!$A$1:$I$89,3,0)*VLOOKUP('Données projet'!$B$10,Paramètres!$A$1:$I$89,5,0)</f>
        <v>174.06860000000003</v>
      </c>
      <c r="AK53" s="14">
        <f t="shared" si="35"/>
        <v>43.999996552753835</v>
      </c>
      <c r="AL53" s="22">
        <f t="shared" si="4"/>
        <v>379.80280566271296</v>
      </c>
      <c r="AM53" s="60">
        <f t="shared" si="5"/>
        <v>673.13613899604627</v>
      </c>
      <c r="AN53" s="60">
        <f ca="1">AVERAGE(OFFSET($AM$3,0,0,'Données projet'!$E$10+1,1))-AVERAGE(OFFSET($H$3,0,0,'Données projet'!$E$10+1,1))</f>
        <v>289.24721145176682</v>
      </c>
      <c r="AO53" s="60">
        <f t="shared" si="36"/>
        <v>229.06617320689003</v>
      </c>
      <c r="AP53" s="16">
        <f>IF(ISNA(VLOOKUP(A53,'Données projet'!$A$61:$I$81,3,0)),0,VLOOKUP(A53,'Données projet'!$A$61:$I$81,3,0))</f>
        <v>5</v>
      </c>
      <c r="AQ53" s="16">
        <f>IF(ISNA(VLOOKUP(A53,'Données projet'!$A$61:$I$81,4,0)),0,VLOOKUP(A53,'Données projet'!$A$61:$I$81,4,0))</f>
        <v>55.292307692307688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1.3021653213712203</v>
      </c>
      <c r="AW53" s="23">
        <f>EXP(-LN(2)/2)*AW52+(1-EXP(-LN(2)/2))/(LN(2)/2)*AQ53*AT53*VLOOKUP('Données projet'!$B$10,Paramètres!$A$1:$I$89,3,0)*0.475*44/12</f>
        <v>4.329592150039396E-3</v>
      </c>
      <c r="AX53" s="23">
        <f t="shared" si="6"/>
        <v>1.3064949135212598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248.18461538461537</v>
      </c>
      <c r="BB53" s="13">
        <f>VLOOKUP(A53,'Données projet'!$A$87:$I$107,9,0)</f>
        <v>8.2215384615384615</v>
      </c>
      <c r="BC53" s="13">
        <f t="array" ref="BC53">INDEX(BB:BB,MIN(IF(ISNUMBER(BB53:BB249),ROW(BB53:BB249),"")))</f>
        <v>8.2215384615384615</v>
      </c>
      <c r="BD53" s="13">
        <f>IF('Données projet'!$A$88&gt;35,BD52+BC53-BL52,IF(A53&lt;'Données projet'!$A$88,$BA$205^A53,IF(A53='Données projet'!$A$88,'Données projet'!$B$88,BD52+BC53-BL52)))</f>
        <v>248.18461538461546</v>
      </c>
      <c r="BE53" s="14">
        <f>BD53*VLOOKUP('Données projet'!$B$11,Paramètres!$A$1:$I$89,3,0)*VLOOKUP('Données projet'!$B$11,Paramètres!$A$1:$I$89,5,0)</f>
        <v>148.41440000000006</v>
      </c>
      <c r="BF53" s="14">
        <f t="shared" si="37"/>
        <v>38.218029772553692</v>
      </c>
      <c r="BG53" s="22">
        <f t="shared" si="7"/>
        <v>325.0514818538644</v>
      </c>
      <c r="BH53" s="60">
        <f t="shared" si="8"/>
        <v>618.38481518719777</v>
      </c>
      <c r="BI53" s="60">
        <f ca="1">AVERAGE(OFFSET($BH$3,0,0,'Données projet'!$E$11+1,1))-AVERAGE(OFFSET($H$3,0,0,'Données projet'!$E$11+1,1))</f>
        <v>287.91374663515506</v>
      </c>
      <c r="BJ53" s="60">
        <f t="shared" si="38"/>
        <v>217.76240797006147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199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199</v>
      </c>
      <c r="BZ53" s="14">
        <f>BY53*VLOOKUP('Données projet'!$B$12,Paramètres!$A$1:$I$89,3,0)*VLOOKUP('Données projet'!$B$12,Paramètres!$A$1:$I$89,5,0)</f>
        <v>180.05519999999999</v>
      </c>
      <c r="CA53" s="14">
        <f t="shared" si="39"/>
        <v>45.334466930398364</v>
      </c>
      <c r="CB53" s="22">
        <f t="shared" si="10"/>
        <v>392.55366990377706</v>
      </c>
      <c r="CC53" s="60">
        <f t="shared" si="11"/>
        <v>685.88700323711032</v>
      </c>
      <c r="CD53" s="60">
        <f ca="1">AVERAGE(OFFSET($CC$3,0,0,'Données projet'!$E$12+1,1))-AVERAGE(OFFSET($H$3,0,0,'Données projet'!$E$12+1,1))</f>
        <v>428.8489304403459</v>
      </c>
      <c r="CE53" s="60">
        <f t="shared" si="40"/>
        <v>247.01165577562966</v>
      </c>
      <c r="CF53" s="16">
        <f>IF(ISNA(VLOOKUP(A53,'Données projet'!$A$113:$I$133,3,0)),0,VLOOKUP(A53,'Données projet'!$A$113:$I$133,3,0))</f>
        <v>3</v>
      </c>
      <c r="CG53" s="16">
        <f>IF(ISNA(VLOOKUP(A53,'Données projet'!$A$113:$I$133,4,0)),0,VLOOKUP(A53,'Données projet'!$A$113:$I$133,4,0))</f>
        <v>42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12.232167832167828</v>
      </c>
      <c r="CT53" s="13">
        <f>IF('Données projet'!$A$140&gt;35,CT52+CS53-DB52,IF(A53&lt;'Données projet'!$A$140,$CQ$205^A53,IF(A53='Données projet'!$A$140,'Données projet'!$B$140,CT52+CS53-DB52)))</f>
        <v>375.33706293706291</v>
      </c>
      <c r="CU53" s="18">
        <f>CT53*VLOOKUP('Données projet'!$B$13,Paramètres!$A$1:$I$89,3,0)*VLOOKUP('Données projet'!$B$13,Paramètres!$A$1:$I$89,5,0)</f>
        <v>175.65774545454545</v>
      </c>
      <c r="CV53" s="14">
        <f t="shared" si="41"/>
        <v>44.354745837010036</v>
      </c>
      <c r="CW53" s="22">
        <f t="shared" si="13"/>
        <v>383.18842233279247</v>
      </c>
      <c r="CX53" s="60">
        <f t="shared" si="14"/>
        <v>676.52175566612573</v>
      </c>
      <c r="CY53" s="60">
        <f ca="1">AVERAGE(OFFSET($CX$3,0,0,'Données projet'!$E$13+1,1))-AVERAGE(OFFSET($H$3,0,0,'Données projet'!$E$13+1,1))</f>
        <v>284.88646502866419</v>
      </c>
      <c r="CZ53" s="60">
        <f t="shared" si="42"/>
        <v>190.4880882944471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199</v>
      </c>
      <c r="DM53" s="13">
        <f>VLOOKUP(A53,'Données projet'!$A$165:$I$185,9,0)</f>
        <v>8.1999999999999993</v>
      </c>
      <c r="DN53" s="13">
        <f t="array" ref="DN53">INDEX(DM:DM,MIN(IF(ISNUMBER(DM53:DM249),ROW(DM53:DM249),"")))</f>
        <v>8.1999999999999993</v>
      </c>
      <c r="DO53" s="13">
        <f>IF('Données projet'!$A$166&gt;35,DO52+DN53-DW52,IF(A53&lt;'Données projet'!$A$166,$DL$205^A53,IF(A53='Données projet'!$A$166,'Données projet'!$B$166,DO52+DN53-DW52)))</f>
        <v>199</v>
      </c>
      <c r="DP53" s="18">
        <f>DO53*VLOOKUP('Données projet'!$B$14,Paramètres!$A$1:$I$89,3,0)*VLOOKUP('Données projet'!$B$14,Paramètres!$A$1:$I$89,5,0)</f>
        <v>214.20360000000002</v>
      </c>
      <c r="DQ53" s="14">
        <f t="shared" si="43"/>
        <v>52.853115789602029</v>
      </c>
      <c r="DR53" s="22">
        <f t="shared" si="16"/>
        <v>465.12378000022358</v>
      </c>
      <c r="DS53" s="60">
        <f t="shared" si="17"/>
        <v>758.45711333355689</v>
      </c>
      <c r="DT53" s="60">
        <f ca="1">AVERAGE(OFFSET($DS$3,0,0,'Données projet'!$E$14+1,1))-AVERAGE(OFFSET($H$3,0,0,'Données projet'!$E$14+1,1))</f>
        <v>502.07782026233912</v>
      </c>
      <c r="DU53" s="60">
        <f t="shared" si="44"/>
        <v>285.83623046025156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42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240</v>
      </c>
      <c r="EH53" s="13">
        <f>VLOOKUP(A53,'Données projet'!$A$191:$I$211,9,0)</f>
        <v>7</v>
      </c>
      <c r="EI53" s="13">
        <f t="array" ref="EI53">INDEX(EH:EH,MIN(IF(ISNUMBER(EH53:EH249),ROW(EH53:EH249),"")))</f>
        <v>7</v>
      </c>
      <c r="EJ53" s="13">
        <f>IF('Données projet'!$A$192&gt;35,EJ52+EI53-ER52,IF(A53&lt;'Données projet'!$A$192,$EG$205^A53,IF(A53='Données projet'!$A$192,'Données projet'!$B$192,EJ52+EI53-ER52)))</f>
        <v>239.99999999999983</v>
      </c>
      <c r="EK53" s="18">
        <f>EJ53*VLOOKUP('Données projet'!$B$15,Paramètres!$A$1:$I$89,3,0)*VLOOKUP('Données projet'!$B$15,Paramètres!$A$1:$I$89,5,0)</f>
        <v>209.66399999999987</v>
      </c>
      <c r="EL53" s="14">
        <f t="shared" si="45"/>
        <v>51.862154403304487</v>
      </c>
      <c r="EM53" s="22">
        <f t="shared" si="19"/>
        <v>455.4913855857551</v>
      </c>
      <c r="EN53" s="60">
        <f t="shared" si="20"/>
        <v>748.82471891908835</v>
      </c>
      <c r="EO53" s="60">
        <f ca="1">AVERAGE(OFFSET($EN$3,0,0,'Données projet'!$E$15+1,1))-AVERAGE(OFFSET($H$3,0,0,'Données projet'!$E$15+1,1))</f>
        <v>339.58437495284466</v>
      </c>
      <c r="EP53" s="60">
        <f t="shared" si="46"/>
        <v>371.26234252426531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39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199</v>
      </c>
      <c r="FC53" s="13">
        <f>VLOOKUP(A53,'Données projet'!$A$217:$I$237,9,0)</f>
        <v>8.1999999999999993</v>
      </c>
      <c r="FD53" s="13">
        <f t="array" ref="FD53">INDEX(FC:FC,MIN(IF(ISNUMBER(FC53:FC249),ROW(FC53:FC249),"")))</f>
        <v>8.1999999999999993</v>
      </c>
      <c r="FE53" s="13">
        <f>IF('Données projet'!$A$218&gt;35,FE52+FD53-FM52,IF(A53&lt;'Données projet'!$A$218,$FB$205^A53,IF(A53='Données projet'!$A$218,'Données projet'!$B$218,FE52+FD53-FM52)))</f>
        <v>199</v>
      </c>
      <c r="FF53" s="18">
        <f>FE53*VLOOKUP('Données projet'!$B$16,Paramètres!$A$1:$I$89,3,0)*VLOOKUP('Données projet'!$B$16,Paramètres!$A$1:$I$89,5,0)</f>
        <v>192.47280000000001</v>
      </c>
      <c r="FG53" s="14">
        <f t="shared" si="47"/>
        <v>48.086241710923829</v>
      </c>
      <c r="FH53" s="22">
        <f t="shared" si="22"/>
        <v>418.97366431319239</v>
      </c>
      <c r="FI53" s="60">
        <f t="shared" si="23"/>
        <v>712.3069976465257</v>
      </c>
      <c r="FJ53" s="60">
        <f ca="1">AVERAGE(OFFSET($FI$3,0,0,'Données projet'!$E$16+1,1))-AVERAGE(OFFSET($H$3,0,0,'Données projet'!$E$16+1,1))</f>
        <v>455.50822833641354</v>
      </c>
      <c r="FK53" s="60">
        <f t="shared" si="48"/>
        <v>261.14722581688039</v>
      </c>
      <c r="FL53" s="16">
        <f>IF(ISNA(VLOOKUP(A53,'Données projet'!$A$217:$I$237,3,0)),0,VLOOKUP(A53,'Données projet'!$A$217:$I$237,3,0))</f>
        <v>3</v>
      </c>
      <c r="FM53" s="16">
        <f>IF(ISNA(VLOOKUP(A53,'Données projet'!$A$217:$I$237,4,0)),0,VLOOKUP(A53,'Données projet'!$A$217:$I$237,4,0))</f>
        <v>42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167.31</v>
      </c>
      <c r="P54" s="14">
        <f t="shared" si="33"/>
        <v>42.486994942347515</v>
      </c>
      <c r="Q54" s="22">
        <f t="shared" si="53"/>
        <v>365.39643285792187</v>
      </c>
      <c r="R54" s="60">
        <f t="shared" si="0"/>
        <v>658.72976619125518</v>
      </c>
      <c r="S54" s="60">
        <f ca="1">AVERAGE(OFFSET($R$3,0,0,'Données projet'!$E$9+1,1))-AVERAGE(OFFSET($H$3,0,0,'Données projet'!$E$9+1,1))</f>
        <v>475.47920969424894</v>
      </c>
      <c r="T54" s="60">
        <f t="shared" si="34"/>
        <v>271.73544012419364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10.66307692307692</v>
      </c>
      <c r="AI54" s="14">
        <f>IF('Données projet'!$A$62&gt;35,AI53+AH54-AQ53,IF(A54&lt;'Données projet'!$A$62,$AF$205^A54,IF(A54='Données projet'!$A$62,'Données projet'!$B$62,AI53+AH54-AQ53)))</f>
        <v>246.45538461538462</v>
      </c>
      <c r="AJ54" s="14">
        <f>AI54*VLOOKUP('Données projet'!$B$10,Paramètres!$A$1:$I$89,3,0)*VLOOKUP('Données projet'!$B$10,Paramètres!$A$1:$I$89,5,0)</f>
        <v>147.38032000000001</v>
      </c>
      <c r="AK54" s="14">
        <f t="shared" si="35"/>
        <v>37.982644854557613</v>
      </c>
      <c r="AL54" s="22">
        <f t="shared" si="4"/>
        <v>322.84049712168786</v>
      </c>
      <c r="AM54" s="60">
        <f t="shared" si="5"/>
        <v>616.17383045502118</v>
      </c>
      <c r="AN54" s="60">
        <f ca="1">AVERAGE(OFFSET($AM$3,0,0,'Données projet'!$E$10+1,1))-AVERAGE(OFFSET($H$3,0,0,'Données projet'!$E$10+1,1))</f>
        <v>289.24721145176682</v>
      </c>
      <c r="AO54" s="60">
        <f t="shared" si="36"/>
        <v>229.06617320689003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1.2665575421804263</v>
      </c>
      <c r="AW54" s="23">
        <f>EXP(-LN(2)/2)*AW53+(1-EXP(-LN(2)/2))/(LN(2)/2)*AQ54*AT54*VLOOKUP('Données projet'!$B$10,Paramètres!$A$1:$I$89,3,0)*0.475*44/12</f>
        <v>3.0614839690649011E-3</v>
      </c>
      <c r="AX54" s="23">
        <f t="shared" si="6"/>
        <v>1.2696190261494911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8.1923076923076898</v>
      </c>
      <c r="BD54" s="13">
        <f>IF('Données projet'!$A$88&gt;35,BD53+BC54-BL53,IF(A54&lt;'Données projet'!$A$88,$BA$205^A54,IF(A54='Données projet'!$A$88,'Données projet'!$B$88,BD53+BC54-BL53)))</f>
        <v>256.37692307692316</v>
      </c>
      <c r="BE54" s="14">
        <f>BD54*VLOOKUP('Données projet'!$B$11,Paramètres!$A$1:$I$89,3,0)*VLOOKUP('Données projet'!$B$11,Paramètres!$A$1:$I$89,5,0)</f>
        <v>153.31340000000006</v>
      </c>
      <c r="BF54" s="14">
        <f t="shared" si="37"/>
        <v>39.330607493094007</v>
      </c>
      <c r="BG54" s="22">
        <f t="shared" si="7"/>
        <v>335.52164638380555</v>
      </c>
      <c r="BH54" s="60">
        <f t="shared" si="8"/>
        <v>628.8549797171388</v>
      </c>
      <c r="BI54" s="60">
        <f ca="1">AVERAGE(OFFSET($BH$3,0,0,'Données projet'!$E$11+1,1))-AVERAGE(OFFSET($H$3,0,0,'Données projet'!$E$11+1,1))</f>
        <v>287.91374663515506</v>
      </c>
      <c r="BJ54" s="60">
        <f t="shared" si="38"/>
        <v>217.76240797006147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</v>
      </c>
      <c r="BY54" s="13">
        <f>IF('Données projet'!$A$114&gt;35,BY53+BX54-CG53,IF(A54&lt;'Données projet'!$A$114,$BV$205^A54,IF(A54='Données projet'!$A$114,'Données projet'!$B$114,BY53+BX54-CG53)))</f>
        <v>165</v>
      </c>
      <c r="BZ54" s="14">
        <f>BY54*VLOOKUP('Données projet'!$B$12,Paramètres!$A$1:$I$89,3,0)*VLOOKUP('Données projet'!$B$12,Paramètres!$A$1:$I$89,5,0)</f>
        <v>149.29199999999997</v>
      </c>
      <c r="CA54" s="14">
        <f t="shared" si="39"/>
        <v>38.417645803815411</v>
      </c>
      <c r="CB54" s="22">
        <f t="shared" si="10"/>
        <v>326.9276331083118</v>
      </c>
      <c r="CC54" s="60">
        <f t="shared" si="11"/>
        <v>620.26096644164511</v>
      </c>
      <c r="CD54" s="60">
        <f ca="1">AVERAGE(OFFSET($CC$3,0,0,'Données projet'!$E$12+1,1))-AVERAGE(OFFSET($H$3,0,0,'Données projet'!$E$12+1,1))</f>
        <v>428.8489304403459</v>
      </c>
      <c r="CE54" s="60">
        <f t="shared" si="40"/>
        <v>247.01165577562966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>
        <f>VLOOKUP(A54,'Données projet'!$A$139:$I$159,2,0)</f>
        <v>387.56923076923073</v>
      </c>
      <c r="CR54" s="13">
        <f>VLOOKUP(A54,'Données projet'!$A$139:$I$159,9,0)</f>
        <v>12.232167832167828</v>
      </c>
      <c r="CS54" s="13">
        <f t="array" ref="CS54">INDEX(CR:CR,MIN(IF(ISNUMBER(CR54:CR250),ROW(CR54:CR250),"")))</f>
        <v>12.232167832167828</v>
      </c>
      <c r="CT54" s="13">
        <f>IF('Données projet'!$A$140&gt;35,CT53+CS54-DB53,IF(A54&lt;'Données projet'!$A$140,$CQ$205^A54,IF(A54='Données projet'!$A$140,'Données projet'!$B$140,CT53+CS54-DB53)))</f>
        <v>387.56923076923073</v>
      </c>
      <c r="CU54" s="18">
        <f>CT54*VLOOKUP('Données projet'!$B$13,Paramètres!$A$1:$I$89,3,0)*VLOOKUP('Données projet'!$B$13,Paramètres!$A$1:$I$89,5,0)</f>
        <v>181.38239999999996</v>
      </c>
      <c r="CV54" s="14">
        <f t="shared" si="41"/>
        <v>45.629607617375228</v>
      </c>
      <c r="CW54" s="22">
        <f t="shared" si="13"/>
        <v>395.37924660026175</v>
      </c>
      <c r="CX54" s="60">
        <f t="shared" si="14"/>
        <v>688.71257993359507</v>
      </c>
      <c r="CY54" s="60">
        <f ca="1">AVERAGE(OFFSET($CX$3,0,0,'Données projet'!$E$13+1,1))-AVERAGE(OFFSET($H$3,0,0,'Données projet'!$E$13+1,1))</f>
        <v>284.88646502866419</v>
      </c>
      <c r="CZ54" s="60">
        <f t="shared" si="42"/>
        <v>190.4880882944471</v>
      </c>
      <c r="DA54" s="16">
        <f>IF(ISNA(VLOOKUP(A54,'Données projet'!$A$139:$I$159,3,0)),0,VLOOKUP(A54,'Données projet'!$A$139:$I$159,3,0))</f>
        <v>1</v>
      </c>
      <c r="DB54" s="16">
        <f>IF(ISNA(VLOOKUP(A54,'Données projet'!$A$139:$I$159,4,0)),0,VLOOKUP(A54,'Données projet'!$A$139:$I$159,4,0))</f>
        <v>170.16153846153847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165</v>
      </c>
      <c r="DP54" s="18">
        <f>DO54*VLOOKUP('Données projet'!$B$14,Paramètres!$A$1:$I$89,3,0)*VLOOKUP('Données projet'!$B$14,Paramètres!$A$1:$I$89,5,0)</f>
        <v>177.60599999999999</v>
      </c>
      <c r="DQ54" s="14">
        <f t="shared" si="43"/>
        <v>44.789150937858665</v>
      </c>
      <c r="DR54" s="22">
        <f t="shared" si="16"/>
        <v>387.33822121677048</v>
      </c>
      <c r="DS54" s="60">
        <f t="shared" si="17"/>
        <v>680.67155455010379</v>
      </c>
      <c r="DT54" s="60">
        <f ca="1">AVERAGE(OFFSET($DS$3,0,0,'Données projet'!$E$14+1,1))-AVERAGE(OFFSET($H$3,0,0,'Données projet'!$E$14+1,1))</f>
        <v>502.07782026233912</v>
      </c>
      <c r="DU54" s="60">
        <f t="shared" si="44"/>
        <v>285.83623046025156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6.4</v>
      </c>
      <c r="EJ54" s="13">
        <f>IF('Données projet'!$A$192&gt;35,EJ53+EI54-ER53,IF(A54&lt;'Données projet'!$A$192,$EG$205^A54,IF(A54='Données projet'!$A$192,'Données projet'!$B$192,EJ53+EI54-ER53)))</f>
        <v>207.39999999999984</v>
      </c>
      <c r="EK54" s="18">
        <f>EJ54*VLOOKUP('Données projet'!$B$15,Paramètres!$A$1:$I$89,3,0)*VLOOKUP('Données projet'!$B$15,Paramètres!$A$1:$I$89,5,0)</f>
        <v>181.18463999999989</v>
      </c>
      <c r="EL54" s="14">
        <f t="shared" si="45"/>
        <v>45.585646034700282</v>
      </c>
      <c r="EM54" s="22">
        <f t="shared" si="19"/>
        <v>394.9582481771028</v>
      </c>
      <c r="EN54" s="60">
        <f t="shared" si="20"/>
        <v>688.29158151043612</v>
      </c>
      <c r="EO54" s="60">
        <f ca="1">AVERAGE(OFFSET($EN$3,0,0,'Données projet'!$E$15+1,1))-AVERAGE(OFFSET($H$3,0,0,'Données projet'!$E$15+1,1))</f>
        <v>339.58437495284466</v>
      </c>
      <c r="EP54" s="60">
        <f t="shared" si="46"/>
        <v>371.26234252426531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</v>
      </c>
      <c r="FE54" s="13">
        <f>IF('Données projet'!$A$218&gt;35,FE53+FD54-FM53,IF(A54&lt;'Données projet'!$A$218,$FB$205^A54,IF(A54='Données projet'!$A$218,'Données projet'!$B$218,FE53+FD54-FM53)))</f>
        <v>165</v>
      </c>
      <c r="FF54" s="18">
        <f>FE54*VLOOKUP('Données projet'!$B$16,Paramètres!$A$1:$I$89,3,0)*VLOOKUP('Données projet'!$B$16,Paramètres!$A$1:$I$89,5,0)</f>
        <v>159.58799999999999</v>
      </c>
      <c r="FG54" s="14">
        <f t="shared" si="47"/>
        <v>40.74957371668588</v>
      </c>
      <c r="FH54" s="22">
        <f t="shared" si="22"/>
        <v>348.92127422322784</v>
      </c>
      <c r="FI54" s="60">
        <f t="shared" si="23"/>
        <v>642.25460755656115</v>
      </c>
      <c r="FJ54" s="60">
        <f ca="1">AVERAGE(OFFSET($FI$3,0,0,'Données projet'!$E$16+1,1))-AVERAGE(OFFSET($H$3,0,0,'Données projet'!$E$16+1,1))</f>
        <v>455.50822833641354</v>
      </c>
      <c r="FK54" s="60">
        <f t="shared" si="48"/>
        <v>261.14722581688039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175.422</v>
      </c>
      <c r="P55" s="14">
        <f t="shared" si="33"/>
        <v>44.302143412304737</v>
      </c>
      <c r="Q55" s="22">
        <f t="shared" si="53"/>
        <v>382.68621644309741</v>
      </c>
      <c r="R55" s="60">
        <f t="shared" si="0"/>
        <v>676.01954977643072</v>
      </c>
      <c r="S55" s="60">
        <f ca="1">AVERAGE(OFFSET($R$3,0,0,'Données projet'!$E$9+1,1))-AVERAGE(OFFSET($H$3,0,0,'Données projet'!$E$9+1,1))</f>
        <v>475.47920969424894</v>
      </c>
      <c r="T55" s="60">
        <f t="shared" si="34"/>
        <v>271.73544012419364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10.66307692307692</v>
      </c>
      <c r="AI55" s="14">
        <f>IF('Données projet'!$A$62&gt;35,AI54+AH55-AQ54,IF(A55&lt;'Données projet'!$A$62,$AF$205^A55,IF(A55='Données projet'!$A$62,'Données projet'!$B$62,AI54+AH55-AQ54)))</f>
        <v>257.11846153846153</v>
      </c>
      <c r="AJ55" s="14">
        <f>AI55*VLOOKUP('Données projet'!$B$10,Paramètres!$A$1:$I$89,3,0)*VLOOKUP('Données projet'!$B$10,Paramètres!$A$1:$I$89,5,0)</f>
        <v>153.75684000000001</v>
      </c>
      <c r="AK55" s="14">
        <f t="shared" si="35"/>
        <v>39.431107959482766</v>
      </c>
      <c r="AL55" s="22">
        <f t="shared" si="4"/>
        <v>336.4690093627658</v>
      </c>
      <c r="AM55" s="60">
        <f t="shared" si="5"/>
        <v>629.80234269609912</v>
      </c>
      <c r="AN55" s="60">
        <f ca="1">AVERAGE(OFFSET($AM$3,0,0,'Données projet'!$E$10+1,1))-AVERAGE(OFFSET($H$3,0,0,'Données projet'!$E$10+1,1))</f>
        <v>289.24721145176682</v>
      </c>
      <c r="AO55" s="60">
        <f t="shared" si="36"/>
        <v>229.06617320689003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1.2319234595841362</v>
      </c>
      <c r="AW55" s="23">
        <f>EXP(-LN(2)/2)*AW54+(1-EXP(-LN(2)/2))/(LN(2)/2)*AQ55*AT55*VLOOKUP('Données projet'!$B$10,Paramètres!$A$1:$I$89,3,0)*0.475*44/12</f>
        <v>2.164796075019698E-3</v>
      </c>
      <c r="AX55" s="23">
        <f t="shared" si="6"/>
        <v>1.2340882556591559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8.1923076923076898</v>
      </c>
      <c r="BD55" s="13">
        <f>IF('Données projet'!$A$88&gt;35,BD54+BC55-BL54,IF(A55&lt;'Données projet'!$A$88,$BA$205^A55,IF(A55='Données projet'!$A$88,'Données projet'!$B$88,BD54+BC55-BL54)))</f>
        <v>264.56923076923084</v>
      </c>
      <c r="BE55" s="14">
        <f>BD55*VLOOKUP('Données projet'!$B$11,Paramètres!$A$1:$I$89,3,0)*VLOOKUP('Données projet'!$B$11,Paramètres!$A$1:$I$89,5,0)</f>
        <v>158.21240000000006</v>
      </c>
      <c r="BF55" s="14">
        <f t="shared" si="37"/>
        <v>40.43905396500697</v>
      </c>
      <c r="BG55" s="22">
        <f t="shared" si="7"/>
        <v>345.98461565572052</v>
      </c>
      <c r="BH55" s="60">
        <f t="shared" si="8"/>
        <v>639.31794898905378</v>
      </c>
      <c r="BI55" s="60">
        <f ca="1">AVERAGE(OFFSET($BH$3,0,0,'Données projet'!$E$11+1,1))-AVERAGE(OFFSET($H$3,0,0,'Données projet'!$E$11+1,1))</f>
        <v>287.91374663515506</v>
      </c>
      <c r="BJ55" s="60">
        <f t="shared" si="38"/>
        <v>217.76240797006147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</v>
      </c>
      <c r="BY55" s="13">
        <f>IF('Données projet'!$A$114&gt;35,BY54+BX55-CG54,IF(A55&lt;'Données projet'!$A$114,$BV$205^A55,IF(A55='Données projet'!$A$114,'Données projet'!$B$114,BY54+BX55-CG54)))</f>
        <v>173</v>
      </c>
      <c r="BZ55" s="14">
        <f>BY55*VLOOKUP('Données projet'!$B$12,Paramètres!$A$1:$I$89,3,0)*VLOOKUP('Données projet'!$B$12,Paramètres!$A$1:$I$89,5,0)</f>
        <v>156.53039999999999</v>
      </c>
      <c r="CA55" s="14">
        <f t="shared" si="39"/>
        <v>40.058941713182037</v>
      </c>
      <c r="CB55" s="22">
        <f t="shared" si="10"/>
        <v>342.393103483792</v>
      </c>
      <c r="CC55" s="60">
        <f t="shared" si="11"/>
        <v>635.72643681712532</v>
      </c>
      <c r="CD55" s="60">
        <f ca="1">AVERAGE(OFFSET($CC$3,0,0,'Données projet'!$E$12+1,1))-AVERAGE(OFFSET($H$3,0,0,'Données projet'!$E$12+1,1))</f>
        <v>428.8489304403459</v>
      </c>
      <c r="CE55" s="60">
        <f t="shared" si="40"/>
        <v>247.01165577562966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11.264615384615393</v>
      </c>
      <c r="CT55" s="13">
        <f>IF('Données projet'!$A$140&gt;35,CT54+CS55-DB54,IF(A55&lt;'Données projet'!$A$140,$CQ$205^A55,IF(A55='Données projet'!$A$140,'Données projet'!$B$140,CT54+CS55-DB54)))</f>
        <v>228.67230769230767</v>
      </c>
      <c r="CU55" s="18">
        <f>CT55*VLOOKUP('Données projet'!$B$13,Paramètres!$A$1:$I$89,3,0)*VLOOKUP('Données projet'!$B$13,Paramètres!$A$1:$I$89,5,0)</f>
        <v>107.01863999999999</v>
      </c>
      <c r="CV55" s="14">
        <f t="shared" si="41"/>
        <v>28.627433541162375</v>
      </c>
      <c r="CW55" s="22">
        <f t="shared" si="13"/>
        <v>236.25024475085775</v>
      </c>
      <c r="CX55" s="60">
        <f t="shared" si="14"/>
        <v>529.583578084191</v>
      </c>
      <c r="CY55" s="60">
        <f ca="1">AVERAGE(OFFSET($CX$3,0,0,'Données projet'!$E$13+1,1))-AVERAGE(OFFSET($H$3,0,0,'Données projet'!$E$13+1,1))</f>
        <v>284.88646502866419</v>
      </c>
      <c r="CZ55" s="60">
        <f t="shared" si="42"/>
        <v>190.4880882944471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173</v>
      </c>
      <c r="DP55" s="18">
        <f>DO55*VLOOKUP('Données projet'!$B$14,Paramètres!$A$1:$I$89,3,0)*VLOOKUP('Données projet'!$B$14,Paramètres!$A$1:$I$89,5,0)</f>
        <v>186.21719999999999</v>
      </c>
      <c r="DQ55" s="14">
        <f t="shared" si="43"/>
        <v>46.702653149673253</v>
      </c>
      <c r="DR55" s="22">
        <f t="shared" si="16"/>
        <v>405.66874423568089</v>
      </c>
      <c r="DS55" s="60">
        <f t="shared" si="17"/>
        <v>699.0020775690142</v>
      </c>
      <c r="DT55" s="60">
        <f ca="1">AVERAGE(OFFSET($DS$3,0,0,'Données projet'!$E$14+1,1))-AVERAGE(OFFSET($H$3,0,0,'Données projet'!$E$14+1,1))</f>
        <v>502.07782026233912</v>
      </c>
      <c r="DU55" s="60">
        <f t="shared" si="44"/>
        <v>285.83623046025156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6.4</v>
      </c>
      <c r="EJ55" s="13">
        <f>IF('Données projet'!$A$192&gt;35,EJ54+EI55-ER54,IF(A55&lt;'Données projet'!$A$192,$EG$205^A55,IF(A55='Données projet'!$A$192,'Données projet'!$B$192,EJ54+EI55-ER54)))</f>
        <v>213.79999999999984</v>
      </c>
      <c r="EK55" s="18">
        <f>EJ55*VLOOKUP('Données projet'!$B$15,Paramètres!$A$1:$I$89,3,0)*VLOOKUP('Données projet'!$B$15,Paramètres!$A$1:$I$89,5,0)</f>
        <v>186.77567999999988</v>
      </c>
      <c r="EL55" s="14">
        <f t="shared" si="45"/>
        <v>46.826392937381165</v>
      </c>
      <c r="EM55" s="22">
        <f t="shared" si="19"/>
        <v>406.85694369927199</v>
      </c>
      <c r="EN55" s="60">
        <f t="shared" si="20"/>
        <v>700.19027703260531</v>
      </c>
      <c r="EO55" s="60">
        <f ca="1">AVERAGE(OFFSET($EN$3,0,0,'Données projet'!$E$15+1,1))-AVERAGE(OFFSET($H$3,0,0,'Données projet'!$E$15+1,1))</f>
        <v>339.58437495284466</v>
      </c>
      <c r="EP55" s="60">
        <f t="shared" si="46"/>
        <v>371.26234252426531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</v>
      </c>
      <c r="FE55" s="13">
        <f>IF('Données projet'!$A$218&gt;35,FE54+FD55-FM54,IF(A55&lt;'Données projet'!$A$218,$FB$205^A55,IF(A55='Données projet'!$A$218,'Données projet'!$B$218,FE54+FD55-FM54)))</f>
        <v>173</v>
      </c>
      <c r="FF55" s="18">
        <f>FE55*VLOOKUP('Données projet'!$B$16,Paramètres!$A$1:$I$89,3,0)*VLOOKUP('Données projet'!$B$16,Paramètres!$A$1:$I$89,5,0)</f>
        <v>167.32560000000001</v>
      </c>
      <c r="FG55" s="14">
        <f t="shared" si="47"/>
        <v>42.490495297127609</v>
      </c>
      <c r="FH55" s="22">
        <f t="shared" si="22"/>
        <v>365.42969930916388</v>
      </c>
      <c r="FI55" s="60">
        <f t="shared" si="23"/>
        <v>658.76303264249714</v>
      </c>
      <c r="FJ55" s="60">
        <f ca="1">AVERAGE(OFFSET($FI$3,0,0,'Données projet'!$E$16+1,1))-AVERAGE(OFFSET($H$3,0,0,'Données projet'!$E$16+1,1))</f>
        <v>455.50822833641354</v>
      </c>
      <c r="FK55" s="60">
        <f t="shared" si="48"/>
        <v>261.14722581688039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183.53400000000002</v>
      </c>
      <c r="P56" s="14">
        <f t="shared" si="33"/>
        <v>46.107544136839593</v>
      </c>
      <c r="Q56" s="22">
        <f t="shared" si="53"/>
        <v>399.95902270499568</v>
      </c>
      <c r="R56" s="60">
        <f t="shared" si="0"/>
        <v>693.29235603832899</v>
      </c>
      <c r="S56" s="60">
        <f ca="1">AVERAGE(OFFSET($R$3,0,0,'Données projet'!$E$9+1,1))-AVERAGE(OFFSET($H$3,0,0,'Données projet'!$E$9+1,1))</f>
        <v>475.47920969424894</v>
      </c>
      <c r="T56" s="60">
        <f t="shared" si="34"/>
        <v>271.73544012419364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10.66307692307692</v>
      </c>
      <c r="AI56" s="14">
        <f>IF('Données projet'!$A$62&gt;35,AI55+AH56-AQ55,IF(A56&lt;'Données projet'!$A$62,$AF$205^A56,IF(A56='Données projet'!$A$62,'Données projet'!$B$62,AI55+AH56-AQ55)))</f>
        <v>267.78153846153845</v>
      </c>
      <c r="AJ56" s="14">
        <f>AI56*VLOOKUP('Données projet'!$B$10,Paramètres!$A$1:$I$89,3,0)*VLOOKUP('Données projet'!$B$10,Paramètres!$A$1:$I$89,5,0)</f>
        <v>160.13336000000001</v>
      </c>
      <c r="AK56" s="14">
        <f t="shared" si="35"/>
        <v>40.872593668242253</v>
      </c>
      <c r="AL56" s="22">
        <f t="shared" si="4"/>
        <v>350.08536930552191</v>
      </c>
      <c r="AM56" s="60">
        <f t="shared" si="5"/>
        <v>643.41870263885517</v>
      </c>
      <c r="AN56" s="60">
        <f ca="1">AVERAGE(OFFSET($AM$3,0,0,'Données projet'!$E$10+1,1))-AVERAGE(OFFSET($H$3,0,0,'Données projet'!$E$10+1,1))</f>
        <v>289.24721145176682</v>
      </c>
      <c r="AO56" s="60">
        <f t="shared" si="36"/>
        <v>229.06617320689003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1.1982364477977689</v>
      </c>
      <c r="AW56" s="23">
        <f>EXP(-LN(2)/2)*AW55+(1-EXP(-LN(2)/2))/(LN(2)/2)*AQ56*AT56*VLOOKUP('Données projet'!$B$10,Paramètres!$A$1:$I$89,3,0)*0.475*44/12</f>
        <v>1.5307419845324505E-3</v>
      </c>
      <c r="AX56" s="23">
        <f t="shared" si="6"/>
        <v>1.1997671897823015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8.1923076923076898</v>
      </c>
      <c r="BD56" s="13">
        <f>IF('Données projet'!$A$88&gt;35,BD55+BC56-BL55,IF(A56&lt;'Données projet'!$A$88,$BA$205^A56,IF(A56='Données projet'!$A$88,'Données projet'!$B$88,BD55+BC56-BL55)))</f>
        <v>272.76153846153852</v>
      </c>
      <c r="BE56" s="14">
        <f>BD56*VLOOKUP('Données projet'!$B$11,Paramètres!$A$1:$I$89,3,0)*VLOOKUP('Données projet'!$B$11,Paramètres!$A$1:$I$89,5,0)</f>
        <v>163.11140000000006</v>
      </c>
      <c r="BF56" s="14">
        <f t="shared" si="37"/>
        <v>41.543511790575998</v>
      </c>
      <c r="BG56" s="22">
        <f t="shared" si="7"/>
        <v>356.44063803525324</v>
      </c>
      <c r="BH56" s="60">
        <f t="shared" si="8"/>
        <v>649.77397136858656</v>
      </c>
      <c r="BI56" s="60">
        <f ca="1">AVERAGE(OFFSET($BH$3,0,0,'Données projet'!$E$11+1,1))-AVERAGE(OFFSET($H$3,0,0,'Données projet'!$E$11+1,1))</f>
        <v>287.91374663515506</v>
      </c>
      <c r="BJ56" s="60">
        <f t="shared" si="38"/>
        <v>217.76240797006147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</v>
      </c>
      <c r="BY56" s="13">
        <f>IF('Données projet'!$A$114&gt;35,BY55+BX56-CG55,IF(A56&lt;'Données projet'!$A$114,$BV$205^A56,IF(A56='Données projet'!$A$114,'Données projet'!$B$114,BY55+BX56-CG55)))</f>
        <v>181</v>
      </c>
      <c r="BZ56" s="14">
        <f>BY56*VLOOKUP('Données projet'!$B$12,Paramètres!$A$1:$I$89,3,0)*VLOOKUP('Données projet'!$B$12,Paramètres!$A$1:$I$89,5,0)</f>
        <v>163.7688</v>
      </c>
      <c r="CA56" s="14">
        <f t="shared" si="39"/>
        <v>41.691423503509803</v>
      </c>
      <c r="CB56" s="22">
        <f t="shared" si="10"/>
        <v>357.84322260194625</v>
      </c>
      <c r="CC56" s="60">
        <f t="shared" si="11"/>
        <v>651.17655593527957</v>
      </c>
      <c r="CD56" s="60">
        <f ca="1">AVERAGE(OFFSET($CC$3,0,0,'Données projet'!$E$12+1,1))-AVERAGE(OFFSET($H$3,0,0,'Données projet'!$E$12+1,1))</f>
        <v>428.8489304403459</v>
      </c>
      <c r="CE56" s="60">
        <f t="shared" si="40"/>
        <v>247.01165577562966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11.264615384615393</v>
      </c>
      <c r="CT56" s="13">
        <f>IF('Données projet'!$A$140&gt;35,CT55+CS56-DB55,IF(A56&lt;'Données projet'!$A$140,$CQ$205^A56,IF(A56='Données projet'!$A$140,'Données projet'!$B$140,CT55+CS56-DB55)))</f>
        <v>239.93692307692305</v>
      </c>
      <c r="CU56" s="18">
        <f>CT56*VLOOKUP('Données projet'!$B$13,Paramètres!$A$1:$I$89,3,0)*VLOOKUP('Données projet'!$B$13,Paramètres!$A$1:$I$89,5,0)</f>
        <v>112.29047999999999</v>
      </c>
      <c r="CV56" s="14">
        <f t="shared" si="41"/>
        <v>29.869990545356057</v>
      </c>
      <c r="CW56" s="22">
        <f t="shared" si="13"/>
        <v>247.59615286649509</v>
      </c>
      <c r="CX56" s="60">
        <f t="shared" si="14"/>
        <v>540.92948619982837</v>
      </c>
      <c r="CY56" s="60">
        <f ca="1">AVERAGE(OFFSET($CX$3,0,0,'Données projet'!$E$13+1,1))-AVERAGE(OFFSET($H$3,0,0,'Données projet'!$E$13+1,1))</f>
        <v>284.88646502866419</v>
      </c>
      <c r="CZ56" s="60">
        <f t="shared" si="42"/>
        <v>190.4880882944471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181</v>
      </c>
      <c r="DP56" s="18">
        <f>DO56*VLOOKUP('Données projet'!$B$14,Paramètres!$A$1:$I$89,3,0)*VLOOKUP('Données projet'!$B$14,Paramètres!$A$1:$I$89,5,0)</f>
        <v>194.82839999999999</v>
      </c>
      <c r="DQ56" s="14">
        <f t="shared" si="43"/>
        <v>48.605879434898533</v>
      </c>
      <c r="DR56" s="22">
        <f t="shared" si="16"/>
        <v>423.98137001578152</v>
      </c>
      <c r="DS56" s="60">
        <f t="shared" si="17"/>
        <v>717.31470334911478</v>
      </c>
      <c r="DT56" s="60">
        <f ca="1">AVERAGE(OFFSET($DS$3,0,0,'Données projet'!$E$14+1,1))-AVERAGE(OFFSET($H$3,0,0,'Données projet'!$E$14+1,1))</f>
        <v>502.07782026233912</v>
      </c>
      <c r="DU56" s="60">
        <f t="shared" si="44"/>
        <v>285.83623046025156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6.4</v>
      </c>
      <c r="EJ56" s="13">
        <f>IF('Données projet'!$A$192&gt;35,EJ55+EI56-ER55,IF(A56&lt;'Données projet'!$A$192,$EG$205^A56,IF(A56='Données projet'!$A$192,'Données projet'!$B$192,EJ55+EI56-ER55)))</f>
        <v>220.19999999999985</v>
      </c>
      <c r="EK56" s="18">
        <f>EJ56*VLOOKUP('Données projet'!$B$15,Paramètres!$A$1:$I$89,3,0)*VLOOKUP('Données projet'!$B$15,Paramètres!$A$1:$I$89,5,0)</f>
        <v>192.3667199999999</v>
      </c>
      <c r="EL56" s="14">
        <f t="shared" si="45"/>
        <v>48.062823450978094</v>
      </c>
      <c r="EM56" s="22">
        <f t="shared" si="19"/>
        <v>418.7481215104533</v>
      </c>
      <c r="EN56" s="60">
        <f t="shared" si="20"/>
        <v>712.08145484378656</v>
      </c>
      <c r="EO56" s="60">
        <f ca="1">AVERAGE(OFFSET($EN$3,0,0,'Données projet'!$E$15+1,1))-AVERAGE(OFFSET($H$3,0,0,'Données projet'!$E$15+1,1))</f>
        <v>339.58437495284466</v>
      </c>
      <c r="EP56" s="60">
        <f t="shared" si="46"/>
        <v>371.26234252426531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</v>
      </c>
      <c r="FE56" s="13">
        <f>IF('Données projet'!$A$218&gt;35,FE55+FD56-FM55,IF(A56&lt;'Données projet'!$A$218,$FB$205^A56,IF(A56='Données projet'!$A$218,'Données projet'!$B$218,FE55+FD56-FM55)))</f>
        <v>181</v>
      </c>
      <c r="FF56" s="18">
        <f>FE56*VLOOKUP('Données projet'!$B$16,Paramètres!$A$1:$I$89,3,0)*VLOOKUP('Données projet'!$B$16,Paramètres!$A$1:$I$89,5,0)</f>
        <v>175.06319999999999</v>
      </c>
      <c r="FG56" s="14">
        <f t="shared" si="47"/>
        <v>44.22206774682472</v>
      </c>
      <c r="FH56" s="22">
        <f t="shared" si="22"/>
        <v>381.9218413257197</v>
      </c>
      <c r="FI56" s="60">
        <f t="shared" si="23"/>
        <v>675.25517465905295</v>
      </c>
      <c r="FJ56" s="60">
        <f ca="1">AVERAGE(OFFSET($FI$3,0,0,'Données projet'!$E$16+1,1))-AVERAGE(OFFSET($H$3,0,0,'Données projet'!$E$16+1,1))</f>
        <v>455.50822833641354</v>
      </c>
      <c r="FK56" s="60">
        <f t="shared" si="48"/>
        <v>261.14722581688039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191.64600000000002</v>
      </c>
      <c r="P57" s="14">
        <f t="shared" si="33"/>
        <v>47.903677189291635</v>
      </c>
      <c r="Q57" s="22">
        <f t="shared" si="53"/>
        <v>417.21568777134962</v>
      </c>
      <c r="R57" s="60">
        <f t="shared" si="0"/>
        <v>710.54902110468288</v>
      </c>
      <c r="S57" s="60">
        <f ca="1">AVERAGE(OFFSET($R$3,0,0,'Données projet'!$E$9+1,1))-AVERAGE(OFFSET($H$3,0,0,'Données projet'!$E$9+1,1))</f>
        <v>475.47920969424894</v>
      </c>
      <c r="T57" s="60">
        <f t="shared" si="34"/>
        <v>271.73544012419364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10.66307692307692</v>
      </c>
      <c r="AI57" s="14">
        <f>IF('Données projet'!$A$62&gt;35,AI56+AH57-AQ56,IF(A57&lt;'Données projet'!$A$62,$AF$205^A57,IF(A57='Données projet'!$A$62,'Données projet'!$B$62,AI56+AH57-AQ56)))</f>
        <v>278.44461538461536</v>
      </c>
      <c r="AJ57" s="14">
        <f>AI57*VLOOKUP('Données projet'!$B$10,Paramètres!$A$1:$I$89,3,0)*VLOOKUP('Données projet'!$B$10,Paramètres!$A$1:$I$89,5,0)</f>
        <v>166.50987999999998</v>
      </c>
      <c r="AK57" s="14">
        <f t="shared" si="35"/>
        <v>42.307411610776938</v>
      </c>
      <c r="AL57" s="22">
        <f t="shared" si="4"/>
        <v>363.69011622210314</v>
      </c>
      <c r="AM57" s="60">
        <f t="shared" si="5"/>
        <v>657.0234495554364</v>
      </c>
      <c r="AN57" s="60">
        <f ca="1">AVERAGE(OFFSET($AM$3,0,0,'Données projet'!$E$10+1,1))-AVERAGE(OFFSET($H$3,0,0,'Données projet'!$E$10+1,1))</f>
        <v>289.24721145176682</v>
      </c>
      <c r="AO57" s="60">
        <f t="shared" si="36"/>
        <v>229.06617320689003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1.1654706091202227</v>
      </c>
      <c r="AW57" s="23">
        <f>EXP(-LN(2)/2)*AW56+(1-EXP(-LN(2)/2))/(LN(2)/2)*AQ57*AT57*VLOOKUP('Données projet'!$B$10,Paramètres!$A$1:$I$89,3,0)*0.475*44/12</f>
        <v>1.082398037509849E-3</v>
      </c>
      <c r="AX57" s="23">
        <f t="shared" si="6"/>
        <v>1.1665530071577326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8.1923076923076898</v>
      </c>
      <c r="BD57" s="13">
        <f>IF('Données projet'!$A$88&gt;35,BD56+BC57-BL56,IF(A57&lt;'Données projet'!$A$88,$BA$205^A57,IF(A57='Données projet'!$A$88,'Données projet'!$B$88,BD56+BC57-BL56)))</f>
        <v>280.9538461538462</v>
      </c>
      <c r="BE57" s="14">
        <f>BD57*VLOOKUP('Données projet'!$B$11,Paramètres!$A$1:$I$89,3,0)*VLOOKUP('Données projet'!$B$11,Paramètres!$A$1:$I$89,5,0)</f>
        <v>168.01040000000006</v>
      </c>
      <c r="BF57" s="14">
        <f t="shared" si="37"/>
        <v>42.644114519213396</v>
      </c>
      <c r="BG57" s="22">
        <f t="shared" si="7"/>
        <v>366.88994612096343</v>
      </c>
      <c r="BH57" s="60">
        <f t="shared" si="8"/>
        <v>660.22327945429674</v>
      </c>
      <c r="BI57" s="60">
        <f ca="1">AVERAGE(OFFSET($BH$3,0,0,'Données projet'!$E$11+1,1))-AVERAGE(OFFSET($H$3,0,0,'Données projet'!$E$11+1,1))</f>
        <v>287.91374663515506</v>
      </c>
      <c r="BJ57" s="60">
        <f t="shared" si="38"/>
        <v>217.76240797006147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</v>
      </c>
      <c r="BY57" s="13">
        <f>IF('Données projet'!$A$114&gt;35,BY56+BX57-CG56,IF(A57&lt;'Données projet'!$A$114,$BV$205^A57,IF(A57='Données projet'!$A$114,'Données projet'!$B$114,BY56+BX57-CG56)))</f>
        <v>189</v>
      </c>
      <c r="BZ57" s="14">
        <f>BY57*VLOOKUP('Données projet'!$B$12,Paramètres!$A$1:$I$89,3,0)*VLOOKUP('Données projet'!$B$12,Paramètres!$A$1:$I$89,5,0)</f>
        <v>171.00719999999998</v>
      </c>
      <c r="CA57" s="14">
        <f t="shared" si="39"/>
        <v>43.315525267338089</v>
      </c>
      <c r="CB57" s="22">
        <f t="shared" si="10"/>
        <v>373.27874650728046</v>
      </c>
      <c r="CC57" s="60">
        <f t="shared" si="11"/>
        <v>666.61207984061377</v>
      </c>
      <c r="CD57" s="60">
        <f ca="1">AVERAGE(OFFSET($CC$3,0,0,'Données projet'!$E$12+1,1))-AVERAGE(OFFSET($H$3,0,0,'Données projet'!$E$12+1,1))</f>
        <v>428.8489304403459</v>
      </c>
      <c r="CE57" s="60">
        <f t="shared" si="40"/>
        <v>247.01165577562966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11.264615384615393</v>
      </c>
      <c r="CT57" s="13">
        <f>IF('Données projet'!$A$140&gt;35,CT56+CS57-DB56,IF(A57&lt;'Données projet'!$A$140,$CQ$205^A57,IF(A57='Données projet'!$A$140,'Données projet'!$B$140,CT56+CS57-DB56)))</f>
        <v>251.20153846153843</v>
      </c>
      <c r="CU57" s="18">
        <f>CT57*VLOOKUP('Données projet'!$B$13,Paramètres!$A$1:$I$89,3,0)*VLOOKUP('Données projet'!$B$13,Paramètres!$A$1:$I$89,5,0)</f>
        <v>117.56231999999999</v>
      </c>
      <c r="CV57" s="14">
        <f t="shared" si="41"/>
        <v>31.105773147740869</v>
      </c>
      <c r="CW57" s="22">
        <f t="shared" si="13"/>
        <v>258.93026223231527</v>
      </c>
      <c r="CX57" s="60">
        <f t="shared" si="14"/>
        <v>552.26359556564853</v>
      </c>
      <c r="CY57" s="60">
        <f ca="1">AVERAGE(OFFSET($CX$3,0,0,'Données projet'!$E$13+1,1))-AVERAGE(OFFSET($H$3,0,0,'Données projet'!$E$13+1,1))</f>
        <v>284.88646502866419</v>
      </c>
      <c r="CZ57" s="60">
        <f t="shared" si="42"/>
        <v>190.4880882944471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189</v>
      </c>
      <c r="DP57" s="18">
        <f>DO57*VLOOKUP('Données projet'!$B$14,Paramètres!$A$1:$I$89,3,0)*VLOOKUP('Données projet'!$B$14,Paramètres!$A$1:$I$89,5,0)</f>
        <v>203.43960000000001</v>
      </c>
      <c r="DQ57" s="14">
        <f t="shared" si="43"/>
        <v>50.499335879627459</v>
      </c>
      <c r="DR57" s="22">
        <f t="shared" si="16"/>
        <v>442.27697999035109</v>
      </c>
      <c r="DS57" s="60">
        <f t="shared" si="17"/>
        <v>735.61031332368441</v>
      </c>
      <c r="DT57" s="60">
        <f ca="1">AVERAGE(OFFSET($DS$3,0,0,'Données projet'!$E$14+1,1))-AVERAGE(OFFSET($H$3,0,0,'Données projet'!$E$14+1,1))</f>
        <v>502.07782026233912</v>
      </c>
      <c r="DU57" s="60">
        <f t="shared" si="44"/>
        <v>285.83623046025156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6.4</v>
      </c>
      <c r="EJ57" s="13">
        <f>IF('Données projet'!$A$192&gt;35,EJ56+EI57-ER56,IF(A57&lt;'Données projet'!$A$192,$EG$205^A57,IF(A57='Données projet'!$A$192,'Données projet'!$B$192,EJ56+EI57-ER56)))</f>
        <v>226.59999999999985</v>
      </c>
      <c r="EK57" s="18">
        <f>EJ57*VLOOKUP('Données projet'!$B$15,Paramètres!$A$1:$I$89,3,0)*VLOOKUP('Données projet'!$B$15,Paramètres!$A$1:$I$89,5,0)</f>
        <v>197.95775999999989</v>
      </c>
      <c r="EL57" s="14">
        <f t="shared" si="45"/>
        <v>49.295077435194607</v>
      </c>
      <c r="EM57" s="22">
        <f t="shared" si="19"/>
        <v>430.63202519963039</v>
      </c>
      <c r="EN57" s="60">
        <f t="shared" si="20"/>
        <v>723.96535853296371</v>
      </c>
      <c r="EO57" s="60">
        <f ca="1">AVERAGE(OFFSET($EN$3,0,0,'Données projet'!$E$15+1,1))-AVERAGE(OFFSET($H$3,0,0,'Données projet'!$E$15+1,1))</f>
        <v>339.58437495284466</v>
      </c>
      <c r="EP57" s="60">
        <f t="shared" si="46"/>
        <v>371.26234252426531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</v>
      </c>
      <c r="FE57" s="13">
        <f>IF('Données projet'!$A$218&gt;35,FE56+FD57-FM56,IF(A57&lt;'Données projet'!$A$218,$FB$205^A57,IF(A57='Données projet'!$A$218,'Données projet'!$B$218,FE56+FD57-FM56)))</f>
        <v>189</v>
      </c>
      <c r="FF57" s="18">
        <f>FE57*VLOOKUP('Données projet'!$B$16,Paramètres!$A$1:$I$89,3,0)*VLOOKUP('Données projet'!$B$16,Paramètres!$A$1:$I$89,5,0)</f>
        <v>182.80079999999998</v>
      </c>
      <c r="FG57" s="14">
        <f t="shared" si="47"/>
        <v>45.944751507471658</v>
      </c>
      <c r="FH57" s="22">
        <f t="shared" si="22"/>
        <v>398.39850220884642</v>
      </c>
      <c r="FI57" s="60">
        <f t="shared" si="23"/>
        <v>691.73183554217974</v>
      </c>
      <c r="FJ57" s="60">
        <f ca="1">AVERAGE(OFFSET($FI$3,0,0,'Données projet'!$E$16+1,1))-AVERAGE(OFFSET($H$3,0,0,'Données projet'!$E$16+1,1))</f>
        <v>455.50822833641354</v>
      </c>
      <c r="FK57" s="60">
        <f t="shared" si="48"/>
        <v>261.14722581688039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199.75800000000004</v>
      </c>
      <c r="P58" s="14">
        <f t="shared" si="33"/>
        <v>49.690979702964015</v>
      </c>
      <c r="Q58" s="22">
        <f t="shared" si="53"/>
        <v>434.45697298266236</v>
      </c>
      <c r="R58" s="60">
        <f t="shared" si="0"/>
        <v>727.79030631599562</v>
      </c>
      <c r="S58" s="60">
        <f ca="1">AVERAGE(OFFSET($R$3,0,0,'Données projet'!$E$9+1,1))-AVERAGE(OFFSET($H$3,0,0,'Données projet'!$E$9+1,1))</f>
        <v>475.47920969424894</v>
      </c>
      <c r="T58" s="60">
        <f t="shared" si="34"/>
        <v>271.73544012419364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10.66307692307692</v>
      </c>
      <c r="AI58" s="14">
        <f>IF('Données projet'!$A$62&gt;35,AI57+AH58-AQ57,IF(A58&lt;'Données projet'!$A$62,$AF$205^A58,IF(A58='Données projet'!$A$62,'Données projet'!$B$62,AI57+AH58-AQ57)))</f>
        <v>289.10769230769228</v>
      </c>
      <c r="AJ58" s="14">
        <f>AI58*VLOOKUP('Données projet'!$B$10,Paramètres!$A$1:$I$89,3,0)*VLOOKUP('Données projet'!$B$10,Paramètres!$A$1:$I$89,5,0)</f>
        <v>172.88639999999998</v>
      </c>
      <c r="AK58" s="14">
        <f t="shared" si="35"/>
        <v>43.735846359314316</v>
      </c>
      <c r="AL58" s="22">
        <f t="shared" si="4"/>
        <v>377.28374574247232</v>
      </c>
      <c r="AM58" s="60">
        <f t="shared" si="5"/>
        <v>670.61707907580558</v>
      </c>
      <c r="AN58" s="60">
        <f ca="1">AVERAGE(OFFSET($AM$3,0,0,'Données projet'!$E$10+1,1))-AVERAGE(OFFSET($H$3,0,0,'Données projet'!$E$10+1,1))</f>
        <v>289.24721145176682</v>
      </c>
      <c r="AO58" s="60">
        <f t="shared" si="36"/>
        <v>229.06617320689003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1.1336007540243946</v>
      </c>
      <c r="AW58" s="23">
        <f>EXP(-LN(2)/2)*AW57+(1-EXP(-LN(2)/2))/(LN(2)/2)*AQ58*AT58*VLOOKUP('Données projet'!$B$10,Paramètres!$A$1:$I$89,3,0)*0.475*44/12</f>
        <v>7.6537099226622527E-4</v>
      </c>
      <c r="AX58" s="23">
        <f t="shared" si="6"/>
        <v>1.1343661250166608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289.14615384615382</v>
      </c>
      <c r="BB58" s="13">
        <f>VLOOKUP(A58,'Données projet'!$A$87:$I$107,9,0)</f>
        <v>8.1923076923076898</v>
      </c>
      <c r="BC58" s="13">
        <f t="array" ref="BC58">INDEX(BB:BB,MIN(IF(ISNUMBER(BB58:BB254),ROW(BB58:BB254),"")))</f>
        <v>8.1923076923076898</v>
      </c>
      <c r="BD58" s="13">
        <f>IF('Données projet'!$A$88&gt;35,BD57+BC58-BL57,IF(A58&lt;'Données projet'!$A$88,$BA$205^A58,IF(A58='Données projet'!$A$88,'Données projet'!$B$88,BD57+BC58-BL57)))</f>
        <v>289.14615384615388</v>
      </c>
      <c r="BE58" s="14">
        <f>BD58*VLOOKUP('Données projet'!$B$11,Paramètres!$A$1:$I$89,3,0)*VLOOKUP('Données projet'!$B$11,Paramètres!$A$1:$I$89,5,0)</f>
        <v>172.90940000000006</v>
      </c>
      <c r="BF58" s="14">
        <f t="shared" si="37"/>
        <v>43.740987469180624</v>
      </c>
      <c r="BG58" s="22">
        <f t="shared" si="7"/>
        <v>377.33275817548969</v>
      </c>
      <c r="BH58" s="60">
        <f t="shared" si="8"/>
        <v>670.666091508823</v>
      </c>
      <c r="BI58" s="60">
        <f ca="1">AVERAGE(OFFSET($BH$3,0,0,'Données projet'!$E$11+1,1))-AVERAGE(OFFSET($H$3,0,0,'Données projet'!$E$11+1,1))</f>
        <v>287.91374663515506</v>
      </c>
      <c r="BJ58" s="60">
        <f t="shared" si="38"/>
        <v>217.76240797006147</v>
      </c>
      <c r="BK58" s="16">
        <f>IF(ISNA(VLOOKUP(A58,'Données projet'!$A$87:$I$107,3,0)),0,VLOOKUP(A58,'Données projet'!$A$87:$I$107,3,0))</f>
        <v>2</v>
      </c>
      <c r="BL58" s="16">
        <f>IF(ISNA(VLOOKUP(A58,'Données projet'!$A$87:$I$107,4,0)),0,VLOOKUP(A58,'Données projet'!$A$87:$I$107,4,0))</f>
        <v>65.053846153846152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197</v>
      </c>
      <c r="BW58" s="13">
        <f>VLOOKUP(A58,'Données projet'!$A$113:$I$133,9,0)</f>
        <v>8</v>
      </c>
      <c r="BX58" s="13">
        <f t="array" ref="BX58">INDEX(BW:BW,MIN(IF(ISNUMBER(BW58:BW254),ROW(BW58:BW254),"")))</f>
        <v>8</v>
      </c>
      <c r="BY58" s="13">
        <f>IF('Données projet'!$A$114&gt;35,BY57+BX58-CG57,IF(A58&lt;'Données projet'!$A$114,$BV$205^A58,IF(A58='Données projet'!$A$114,'Données projet'!$B$114,BY57+BX58-CG57)))</f>
        <v>197</v>
      </c>
      <c r="BZ58" s="14">
        <f>BY58*VLOOKUP('Données projet'!$B$12,Paramètres!$A$1:$I$89,3,0)*VLOOKUP('Données projet'!$B$12,Paramètres!$A$1:$I$89,5,0)</f>
        <v>178.2456</v>
      </c>
      <c r="CA58" s="14">
        <f t="shared" si="39"/>
        <v>44.931642269910427</v>
      </c>
      <c r="CB58" s="22">
        <f t="shared" si="10"/>
        <v>388.70036362009404</v>
      </c>
      <c r="CC58" s="60">
        <f t="shared" si="11"/>
        <v>682.03369695342735</v>
      </c>
      <c r="CD58" s="60">
        <f ca="1">AVERAGE(OFFSET($CC$3,0,0,'Données projet'!$E$12+1,1))-AVERAGE(OFFSET($H$3,0,0,'Données projet'!$E$12+1,1))</f>
        <v>428.8489304403459</v>
      </c>
      <c r="CE58" s="60">
        <f t="shared" si="40"/>
        <v>247.01165577562966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11.264615384615393</v>
      </c>
      <c r="CT58" s="13">
        <f>IF('Données projet'!$A$140&gt;35,CT57+CS58-DB57,IF(A58&lt;'Données projet'!$A$140,$CQ$205^A58,IF(A58='Données projet'!$A$140,'Données projet'!$B$140,CT57+CS58-DB57)))</f>
        <v>262.46615384615382</v>
      </c>
      <c r="CU58" s="18">
        <f>CT58*VLOOKUP('Données projet'!$B$13,Paramètres!$A$1:$I$89,3,0)*VLOOKUP('Données projet'!$B$13,Paramètres!$A$1:$I$89,5,0)</f>
        <v>122.83415999999998</v>
      </c>
      <c r="CV58" s="14">
        <f t="shared" si="41"/>
        <v>32.33511984104085</v>
      </c>
      <c r="CW58" s="22">
        <f t="shared" si="13"/>
        <v>270.25316238981276</v>
      </c>
      <c r="CX58" s="60">
        <f t="shared" si="14"/>
        <v>563.58649572314607</v>
      </c>
      <c r="CY58" s="60">
        <f ca="1">AVERAGE(OFFSET($CX$3,0,0,'Données projet'!$E$13+1,1))-AVERAGE(OFFSET($H$3,0,0,'Données projet'!$E$13+1,1))</f>
        <v>284.88646502866419</v>
      </c>
      <c r="CZ58" s="60">
        <f t="shared" si="42"/>
        <v>190.4880882944471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197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197</v>
      </c>
      <c r="DP58" s="18">
        <f>DO58*VLOOKUP('Données projet'!$B$14,Paramètres!$A$1:$I$89,3,0)*VLOOKUP('Données projet'!$B$14,Paramètres!$A$1:$I$89,5,0)</f>
        <v>212.05079999999998</v>
      </c>
      <c r="DQ58" s="14">
        <f t="shared" si="43"/>
        <v>52.383483303212302</v>
      </c>
      <c r="DR58" s="22">
        <f t="shared" si="16"/>
        <v>460.55637675309475</v>
      </c>
      <c r="DS58" s="60">
        <f t="shared" si="17"/>
        <v>753.88971008642807</v>
      </c>
      <c r="DT58" s="60">
        <f ca="1">AVERAGE(OFFSET($DS$3,0,0,'Données projet'!$E$14+1,1))-AVERAGE(OFFSET($H$3,0,0,'Données projet'!$E$14+1,1))</f>
        <v>502.07782026233912</v>
      </c>
      <c r="DU58" s="60">
        <f t="shared" si="44"/>
        <v>285.83623046025156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233</v>
      </c>
      <c r="EH58" s="13">
        <f>VLOOKUP(A58,'Données projet'!$A$191:$I$211,9,0)</f>
        <v>6.4</v>
      </c>
      <c r="EI58" s="13">
        <f t="array" ref="EI58">INDEX(EH:EH,MIN(IF(ISNUMBER(EH58:EH254),ROW(EH58:EH254),"")))</f>
        <v>6.4</v>
      </c>
      <c r="EJ58" s="13">
        <f>IF('Données projet'!$A$192&gt;35,EJ57+EI58-ER57,IF(A58&lt;'Données projet'!$A$192,$EG$205^A58,IF(A58='Données projet'!$A$192,'Données projet'!$B$192,EJ57+EI58-ER57)))</f>
        <v>232.99999999999986</v>
      </c>
      <c r="EK58" s="18">
        <f>EJ58*VLOOKUP('Données projet'!$B$15,Paramètres!$A$1:$I$89,3,0)*VLOOKUP('Données projet'!$B$15,Paramètres!$A$1:$I$89,5,0)</f>
        <v>203.54879999999991</v>
      </c>
      <c r="EL58" s="14">
        <f t="shared" si="45"/>
        <v>50.523286400023437</v>
      </c>
      <c r="EM58" s="22">
        <f t="shared" si="19"/>
        <v>442.50888381337398</v>
      </c>
      <c r="EN58" s="60">
        <f t="shared" si="20"/>
        <v>735.8422171467073</v>
      </c>
      <c r="EO58" s="60">
        <f ca="1">AVERAGE(OFFSET($EN$3,0,0,'Données projet'!$E$15+1,1))-AVERAGE(OFFSET($H$3,0,0,'Données projet'!$E$15+1,1))</f>
        <v>339.58437495284466</v>
      </c>
      <c r="EP58" s="60">
        <f t="shared" si="46"/>
        <v>371.26234252426531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197</v>
      </c>
      <c r="FC58" s="13">
        <f>VLOOKUP(A58,'Données projet'!$A$217:$I$237,9,0)</f>
        <v>8</v>
      </c>
      <c r="FD58" s="13">
        <f t="array" ref="FD58">INDEX(FC:FC,MIN(IF(ISNUMBER(FC58:FC254),ROW(FC58:FC254),"")))</f>
        <v>8</v>
      </c>
      <c r="FE58" s="13">
        <f>IF('Données projet'!$A$218&gt;35,FE57+FD58-FM57,IF(A58&lt;'Données projet'!$A$218,$FB$205^A58,IF(A58='Données projet'!$A$218,'Données projet'!$B$218,FE57+FD58-FM57)))</f>
        <v>197</v>
      </c>
      <c r="FF58" s="18">
        <f>FE58*VLOOKUP('Données projet'!$B$16,Paramètres!$A$1:$I$89,3,0)*VLOOKUP('Données projet'!$B$16,Paramètres!$A$1:$I$89,5,0)</f>
        <v>190.5384</v>
      </c>
      <c r="FG58" s="14">
        <f t="shared" si="47"/>
        <v>47.658965836673829</v>
      </c>
      <c r="FH58" s="22">
        <f t="shared" si="22"/>
        <v>414.86041216554025</v>
      </c>
      <c r="FI58" s="60">
        <f t="shared" si="23"/>
        <v>708.19374549887357</v>
      </c>
      <c r="FJ58" s="60">
        <f ca="1">AVERAGE(OFFSET($FI$3,0,0,'Données projet'!$E$16+1,1))-AVERAGE(OFFSET($H$3,0,0,'Données projet'!$E$16+1,1))</f>
        <v>455.50822833641354</v>
      </c>
      <c r="FK58" s="60">
        <f t="shared" si="48"/>
        <v>261.14722581688039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207.46440000000001</v>
      </c>
      <c r="P59" s="14">
        <f t="shared" si="33"/>
        <v>51.381102169014063</v>
      </c>
      <c r="Q59" s="22">
        <f t="shared" si="53"/>
        <v>450.82258294436616</v>
      </c>
      <c r="R59" s="60">
        <f t="shared" si="0"/>
        <v>744.15591627769948</v>
      </c>
      <c r="S59" s="60">
        <f ca="1">AVERAGE(OFFSET($R$3,0,0,'Données projet'!$E$9+1,1))-AVERAGE(OFFSET($H$3,0,0,'Données projet'!$E$9+1,1))</f>
        <v>475.47920969424894</v>
      </c>
      <c r="T59" s="60">
        <f t="shared" si="34"/>
        <v>271.73544012419364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10.66307692307692</v>
      </c>
      <c r="AI59" s="14">
        <f>IF('Données projet'!$A$62&gt;35,AI58+AH59-AQ58,IF(A59&lt;'Données projet'!$A$62,$AF$205^A59,IF(A59='Données projet'!$A$62,'Données projet'!$B$62,AI58+AH59-AQ58)))</f>
        <v>299.77076923076919</v>
      </c>
      <c r="AJ59" s="14">
        <f>AI59*VLOOKUP('Données projet'!$B$10,Paramètres!$A$1:$I$89,3,0)*VLOOKUP('Données projet'!$B$10,Paramètres!$A$1:$I$89,5,0)</f>
        <v>179.26291999999998</v>
      </c>
      <c r="AK59" s="14">
        <f t="shared" si="35"/>
        <v>45.158160305042841</v>
      </c>
      <c r="AL59" s="22">
        <f t="shared" si="4"/>
        <v>390.8667148646162</v>
      </c>
      <c r="AM59" s="60">
        <f t="shared" si="5"/>
        <v>684.20004819794951</v>
      </c>
      <c r="AN59" s="60">
        <f ca="1">AVERAGE(OFFSET($AM$3,0,0,'Données projet'!$E$10+1,1))-AVERAGE(OFFSET($H$3,0,0,'Données projet'!$E$10+1,1))</f>
        <v>289.24721145176682</v>
      </c>
      <c r="AO59" s="60">
        <f t="shared" si="36"/>
        <v>229.06617320689003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1.1026023817921249</v>
      </c>
      <c r="AW59" s="23">
        <f>EXP(-LN(2)/2)*AW58+(1-EXP(-LN(2)/2))/(LN(2)/2)*AQ59*AT59*VLOOKUP('Données projet'!$B$10,Paramètres!$A$1:$I$89,3,0)*0.475*44/12</f>
        <v>5.411990187549245E-4</v>
      </c>
      <c r="AX59" s="23">
        <f t="shared" si="6"/>
        <v>1.1031435808108798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7.343076923076933</v>
      </c>
      <c r="BD59" s="13">
        <f>IF('Données projet'!$A$88&gt;35,BD58+BC59-BL58,IF(A59&lt;'Données projet'!$A$88,$BA$205^A59,IF(A59='Données projet'!$A$88,'Données projet'!$B$88,BD58+BC59-BL58)))</f>
        <v>231.43538461538463</v>
      </c>
      <c r="BE59" s="14">
        <f>BD59*VLOOKUP('Données projet'!$B$11,Paramètres!$A$1:$I$89,3,0)*VLOOKUP('Données projet'!$B$11,Paramètres!$A$1:$I$89,5,0)</f>
        <v>138.39836000000003</v>
      </c>
      <c r="BF59" s="14">
        <f t="shared" si="37"/>
        <v>35.929846915707486</v>
      </c>
      <c r="BG59" s="22">
        <f t="shared" si="7"/>
        <v>303.62162704485723</v>
      </c>
      <c r="BH59" s="60">
        <f t="shared" si="8"/>
        <v>596.95496037819055</v>
      </c>
      <c r="BI59" s="60">
        <f ca="1">AVERAGE(OFFSET($BH$3,0,0,'Données projet'!$E$11+1,1))-AVERAGE(OFFSET($H$3,0,0,'Données projet'!$E$11+1,1))</f>
        <v>287.91374663515506</v>
      </c>
      <c r="BJ59" s="60">
        <f t="shared" si="38"/>
        <v>217.76240797006147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7.6</v>
      </c>
      <c r="BY59" s="13">
        <f>IF('Données projet'!$A$114&gt;35,BY58+BX59-CG58,IF(A59&lt;'Données projet'!$A$114,$BV$205^A59,IF(A59='Données projet'!$A$114,'Données projet'!$B$114,BY58+BX59-CG58)))</f>
        <v>204.6</v>
      </c>
      <c r="BZ59" s="14">
        <f>BY59*VLOOKUP('Données projet'!$B$12,Paramètres!$A$1:$I$89,3,0)*VLOOKUP('Données projet'!$B$12,Paramètres!$A$1:$I$89,5,0)</f>
        <v>185.12207999999998</v>
      </c>
      <c r="CA59" s="14">
        <f t="shared" si="39"/>
        <v>46.459887003478677</v>
      </c>
      <c r="CB59" s="22">
        <f t="shared" si="10"/>
        <v>403.33859253105862</v>
      </c>
      <c r="CC59" s="60">
        <f t="shared" si="11"/>
        <v>696.67192586439194</v>
      </c>
      <c r="CD59" s="60">
        <f ca="1">AVERAGE(OFFSET($CC$3,0,0,'Données projet'!$E$12+1,1))-AVERAGE(OFFSET($H$3,0,0,'Données projet'!$E$12+1,1))</f>
        <v>428.8489304403459</v>
      </c>
      <c r="CE59" s="60">
        <f t="shared" si="40"/>
        <v>247.01165577562966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>
        <f>VLOOKUP(A59,'Données projet'!$A$139:$I$159,2,0)</f>
        <v>273.73076923076923</v>
      </c>
      <c r="CR59" s="13">
        <f>VLOOKUP(A59,'Données projet'!$A$139:$I$159,9,0)</f>
        <v>11.264615384615393</v>
      </c>
      <c r="CS59" s="13">
        <f t="array" ref="CS59">INDEX(CR:CR,MIN(IF(ISNUMBER(CR59:CR255),ROW(CR59:CR255),"")))</f>
        <v>11.264615384615393</v>
      </c>
      <c r="CT59" s="13">
        <f>IF('Données projet'!$A$140&gt;35,CT58+CS59-DB58,IF(A59&lt;'Données projet'!$A$140,$CQ$205^A59,IF(A59='Données projet'!$A$140,'Données projet'!$B$140,CT58+CS59-DB58)))</f>
        <v>273.73076923076923</v>
      </c>
      <c r="CU59" s="18">
        <f>CT59*VLOOKUP('Données projet'!$B$13,Paramètres!$A$1:$I$89,3,0)*VLOOKUP('Données projet'!$B$13,Paramètres!$A$1:$I$89,5,0)</f>
        <v>128.10599999999999</v>
      </c>
      <c r="CV59" s="14">
        <f t="shared" si="41"/>
        <v>33.558338419591188</v>
      </c>
      <c r="CW59" s="22">
        <f t="shared" si="13"/>
        <v>281.56538941412128</v>
      </c>
      <c r="CX59" s="60">
        <f t="shared" si="14"/>
        <v>574.8987227474546</v>
      </c>
      <c r="CY59" s="60">
        <f ca="1">AVERAGE(OFFSET($CX$3,0,0,'Données projet'!$E$13+1,1))-AVERAGE(OFFSET($H$3,0,0,'Données projet'!$E$13+1,1))</f>
        <v>284.88646502866419</v>
      </c>
      <c r="CZ59" s="60">
        <f t="shared" si="42"/>
        <v>190.4880882944471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7.6</v>
      </c>
      <c r="DO59" s="13">
        <f>IF('Données projet'!$A$166&gt;35,DO58+DN59-DW58,IF(A59&lt;'Données projet'!$A$166,$DL$205^A59,IF(A59='Données projet'!$A$166,'Données projet'!$B$166,DO58+DN59-DW58)))</f>
        <v>204.6</v>
      </c>
      <c r="DP59" s="18">
        <f>DO59*VLOOKUP('Données projet'!$B$14,Paramètres!$A$1:$I$89,3,0)*VLOOKUP('Données projet'!$B$14,Paramètres!$A$1:$I$89,5,0)</f>
        <v>220.23143999999996</v>
      </c>
      <c r="DQ59" s="14">
        <f t="shared" si="43"/>
        <v>54.165184982469711</v>
      </c>
      <c r="DR59" s="22">
        <f t="shared" si="16"/>
        <v>477.9074551778013</v>
      </c>
      <c r="DS59" s="60">
        <f t="shared" si="17"/>
        <v>771.24078851113461</v>
      </c>
      <c r="DT59" s="60">
        <f ca="1">AVERAGE(OFFSET($DS$3,0,0,'Données projet'!$E$14+1,1))-AVERAGE(OFFSET($H$3,0,0,'Données projet'!$E$14+1,1))</f>
        <v>502.07782026233912</v>
      </c>
      <c r="DU59" s="60">
        <f t="shared" si="44"/>
        <v>285.83623046025156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</v>
      </c>
      <c r="EJ59" s="13">
        <f>IF('Données projet'!$A$192&gt;35,EJ58+EI59-ER58,IF(A59&lt;'Données projet'!$A$192,$EG$205^A59,IF(A59='Données projet'!$A$192,'Données projet'!$B$192,EJ58+EI59-ER58)))</f>
        <v>237.99999999999986</v>
      </c>
      <c r="EK59" s="18">
        <f>EJ59*VLOOKUP('Données projet'!$B$15,Paramètres!$A$1:$I$89,3,0)*VLOOKUP('Données projet'!$B$15,Paramètres!$A$1:$I$89,5,0)</f>
        <v>207.91679999999991</v>
      </c>
      <c r="EL59" s="14">
        <f t="shared" si="45"/>
        <v>51.4800902851525</v>
      </c>
      <c r="EM59" s="22">
        <f t="shared" si="19"/>
        <v>451.78291724664041</v>
      </c>
      <c r="EN59" s="60">
        <f t="shared" si="20"/>
        <v>745.11625057997367</v>
      </c>
      <c r="EO59" s="60">
        <f ca="1">AVERAGE(OFFSET($EN$3,0,0,'Données projet'!$E$15+1,1))-AVERAGE(OFFSET($H$3,0,0,'Données projet'!$E$15+1,1))</f>
        <v>339.58437495284466</v>
      </c>
      <c r="EP59" s="60">
        <f t="shared" si="46"/>
        <v>371.26234252426531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7.6</v>
      </c>
      <c r="FE59" s="13">
        <f>IF('Données projet'!$A$218&gt;35,FE58+FD59-FM58,IF(A59&lt;'Données projet'!$A$218,$FB$205^A59,IF(A59='Données projet'!$A$218,'Données projet'!$B$218,FE58+FD59-FM58)))</f>
        <v>204.6</v>
      </c>
      <c r="FF59" s="18">
        <f>FE59*VLOOKUP('Données projet'!$B$16,Paramètres!$A$1:$I$89,3,0)*VLOOKUP('Données projet'!$B$16,Paramètres!$A$1:$I$89,5,0)</f>
        <v>197.88911999999999</v>
      </c>
      <c r="FG59" s="14">
        <f t="shared" si="47"/>
        <v>49.279974103179534</v>
      </c>
      <c r="FH59" s="22">
        <f t="shared" si="22"/>
        <v>430.48617222970438</v>
      </c>
      <c r="FI59" s="60">
        <f t="shared" si="23"/>
        <v>723.81950556303764</v>
      </c>
      <c r="FJ59" s="60">
        <f ca="1">AVERAGE(OFFSET($FI$3,0,0,'Données projet'!$E$16+1,1))-AVERAGE(OFFSET($H$3,0,0,'Données projet'!$E$16+1,1))</f>
        <v>455.50822833641354</v>
      </c>
      <c r="FK59" s="60">
        <f t="shared" si="48"/>
        <v>261.14722581688039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215.17080000000001</v>
      </c>
      <c r="P60" s="14">
        <f t="shared" si="33"/>
        <v>53.063930965723607</v>
      </c>
      <c r="Q60" s="22">
        <f t="shared" si="53"/>
        <v>467.17548976530185</v>
      </c>
      <c r="R60" s="60">
        <f t="shared" si="0"/>
        <v>760.50882309863516</v>
      </c>
      <c r="S60" s="60">
        <f ca="1">AVERAGE(OFFSET($R$3,0,0,'Données projet'!$E$9+1,1))-AVERAGE(OFFSET($H$3,0,0,'Données projet'!$E$9+1,1))</f>
        <v>475.47920969424894</v>
      </c>
      <c r="T60" s="60">
        <f t="shared" si="34"/>
        <v>271.73544012419364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10.66307692307692</v>
      </c>
      <c r="AI60" s="14">
        <f>IF('Données projet'!$A$62&gt;35,AI59+AH60-AQ59,IF(A60&lt;'Données projet'!$A$62,$AF$205^A60,IF(A60='Données projet'!$A$62,'Données projet'!$B$62,AI59+AH60-AQ59)))</f>
        <v>310.4338461538461</v>
      </c>
      <c r="AJ60" s="14">
        <f>AI60*VLOOKUP('Données projet'!$B$10,Paramètres!$A$1:$I$89,3,0)*VLOOKUP('Données projet'!$B$10,Paramètres!$A$1:$I$89,5,0)</f>
        <v>185.63943999999998</v>
      </c>
      <c r="AK60" s="14">
        <f t="shared" si="35"/>
        <v>46.574596113982338</v>
      </c>
      <c r="AL60" s="22">
        <f t="shared" si="4"/>
        <v>404.43944623185251</v>
      </c>
      <c r="AM60" s="60">
        <f t="shared" si="5"/>
        <v>697.77277956518583</v>
      </c>
      <c r="AN60" s="60">
        <f ca="1">AVERAGE(OFFSET($AM$3,0,0,'Données projet'!$E$10+1,1))-AVERAGE(OFFSET($H$3,0,0,'Données projet'!$E$10+1,1))</f>
        <v>289.24721145176682</v>
      </c>
      <c r="AO60" s="60">
        <f t="shared" si="36"/>
        <v>229.06617320689003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1.0724516616786801</v>
      </c>
      <c r="AW60" s="23">
        <f>EXP(-LN(2)/2)*AW59+(1-EXP(-LN(2)/2))/(LN(2)/2)*AQ60*AT60*VLOOKUP('Données projet'!$B$10,Paramètres!$A$1:$I$89,3,0)*0.475*44/12</f>
        <v>3.8268549613311263E-4</v>
      </c>
      <c r="AX60" s="23">
        <f t="shared" si="6"/>
        <v>1.0728343471748132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7.343076923076933</v>
      </c>
      <c r="BD60" s="13">
        <f>IF('Données projet'!$A$88&gt;35,BD59+BC60-BL59,IF(A60&lt;'Données projet'!$A$88,$BA$205^A60,IF(A60='Données projet'!$A$88,'Données projet'!$B$88,BD59+BC60-BL59)))</f>
        <v>238.77846153846156</v>
      </c>
      <c r="BE60" s="14">
        <f>BD60*VLOOKUP('Données projet'!$B$11,Paramètres!$A$1:$I$89,3,0)*VLOOKUP('Données projet'!$B$11,Paramètres!$A$1:$I$89,5,0)</f>
        <v>142.78952000000001</v>
      </c>
      <c r="BF60" s="14">
        <f t="shared" si="37"/>
        <v>36.935309734566957</v>
      </c>
      <c r="BG60" s="22">
        <f t="shared" si="7"/>
        <v>313.02074512103746</v>
      </c>
      <c r="BH60" s="60">
        <f t="shared" si="8"/>
        <v>606.35407845437078</v>
      </c>
      <c r="BI60" s="60">
        <f ca="1">AVERAGE(OFFSET($BH$3,0,0,'Données projet'!$E$11+1,1))-AVERAGE(OFFSET($H$3,0,0,'Données projet'!$E$11+1,1))</f>
        <v>287.91374663515506</v>
      </c>
      <c r="BJ60" s="60">
        <f t="shared" si="38"/>
        <v>217.76240797006147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7.6</v>
      </c>
      <c r="BY60" s="13">
        <f>IF('Données projet'!$A$114&gt;35,BY59+BX60-CG59,IF(A60&lt;'Données projet'!$A$114,$BV$205^A60,IF(A60='Données projet'!$A$114,'Données projet'!$B$114,BY59+BX60-CG59)))</f>
        <v>212.2</v>
      </c>
      <c r="BZ60" s="14">
        <f>BY60*VLOOKUP('Données projet'!$B$12,Paramètres!$A$1:$I$89,3,0)*VLOOKUP('Données projet'!$B$12,Paramètres!$A$1:$I$89,5,0)</f>
        <v>191.99855999999997</v>
      </c>
      <c r="CA60" s="14">
        <f t="shared" si="39"/>
        <v>47.981536645873334</v>
      </c>
      <c r="CB60" s="22">
        <f t="shared" si="10"/>
        <v>417.96533499156266</v>
      </c>
      <c r="CC60" s="60">
        <f t="shared" si="11"/>
        <v>711.29866832489597</v>
      </c>
      <c r="CD60" s="60">
        <f ca="1">AVERAGE(OFFSET($CC$3,0,0,'Données projet'!$E$12+1,1))-AVERAGE(OFFSET($H$3,0,0,'Données projet'!$E$12+1,1))</f>
        <v>428.8489304403459</v>
      </c>
      <c r="CE60" s="60">
        <f t="shared" si="40"/>
        <v>247.01165577562966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11.076923076923084</v>
      </c>
      <c r="CT60" s="13">
        <f>IF('Données projet'!$A$140&gt;35,CT59+CS60-DB59,IF(A60&lt;'Données projet'!$A$140,$CQ$205^A60,IF(A60='Données projet'!$A$140,'Données projet'!$B$140,CT59+CS60-DB59)))</f>
        <v>284.80769230769232</v>
      </c>
      <c r="CU60" s="18">
        <f>CT60*VLOOKUP('Données projet'!$B$13,Paramètres!$A$1:$I$89,3,0)*VLOOKUP('Données projet'!$B$13,Paramètres!$A$1:$I$89,5,0)</f>
        <v>133.29000000000002</v>
      </c>
      <c r="CV60" s="14">
        <f t="shared" si="41"/>
        <v>34.755472404632187</v>
      </c>
      <c r="CW60" s="22">
        <f t="shared" si="13"/>
        <v>292.67919777140111</v>
      </c>
      <c r="CX60" s="60">
        <f t="shared" si="14"/>
        <v>586.01253110473442</v>
      </c>
      <c r="CY60" s="60">
        <f ca="1">AVERAGE(OFFSET($CX$3,0,0,'Données projet'!$E$13+1,1))-AVERAGE(OFFSET($H$3,0,0,'Données projet'!$E$13+1,1))</f>
        <v>284.88646502866419</v>
      </c>
      <c r="CZ60" s="60">
        <f t="shared" si="42"/>
        <v>190.4880882944471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7.6</v>
      </c>
      <c r="DO60" s="13">
        <f>IF('Données projet'!$A$166&gt;35,DO59+DN60-DW59,IF(A60&lt;'Données projet'!$A$166,$DL$205^A60,IF(A60='Données projet'!$A$166,'Données projet'!$B$166,DO59+DN60-DW59)))</f>
        <v>212.2</v>
      </c>
      <c r="DP60" s="18">
        <f>DO60*VLOOKUP('Données projet'!$B$14,Paramètres!$A$1:$I$89,3,0)*VLOOKUP('Données projet'!$B$14,Paramètres!$A$1:$I$89,5,0)</f>
        <v>228.41207999999997</v>
      </c>
      <c r="DQ60" s="14">
        <f t="shared" si="43"/>
        <v>55.939197785226767</v>
      </c>
      <c r="DR60" s="22">
        <f t="shared" si="16"/>
        <v>495.24514214260324</v>
      </c>
      <c r="DS60" s="60">
        <f t="shared" si="17"/>
        <v>788.57847547593656</v>
      </c>
      <c r="DT60" s="60">
        <f ca="1">AVERAGE(OFFSET($DS$3,0,0,'Données projet'!$E$14+1,1))-AVERAGE(OFFSET($H$3,0,0,'Données projet'!$E$14+1,1))</f>
        <v>502.07782026233912</v>
      </c>
      <c r="DU60" s="60">
        <f t="shared" si="44"/>
        <v>285.83623046025156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</v>
      </c>
      <c r="EJ60" s="13">
        <f>IF('Données projet'!$A$192&gt;35,EJ59+EI60-ER59,IF(A60&lt;'Données projet'!$A$192,$EG$205^A60,IF(A60='Données projet'!$A$192,'Données projet'!$B$192,EJ59+EI60-ER59)))</f>
        <v>242.99999999999986</v>
      </c>
      <c r="EK60" s="18">
        <f>EJ60*VLOOKUP('Données projet'!$B$15,Paramètres!$A$1:$I$89,3,0)*VLOOKUP('Données projet'!$B$15,Paramètres!$A$1:$I$89,5,0)</f>
        <v>212.2847999999999</v>
      </c>
      <c r="EL60" s="14">
        <f t="shared" si="45"/>
        <v>52.434557099704143</v>
      </c>
      <c r="EM60" s="22">
        <f t="shared" si="19"/>
        <v>461.05288028198453</v>
      </c>
      <c r="EN60" s="60">
        <f t="shared" si="20"/>
        <v>754.38621361531784</v>
      </c>
      <c r="EO60" s="60">
        <f ca="1">AVERAGE(OFFSET($EN$3,0,0,'Données projet'!$E$15+1,1))-AVERAGE(OFFSET($H$3,0,0,'Données projet'!$E$15+1,1))</f>
        <v>339.58437495284466</v>
      </c>
      <c r="EP60" s="60">
        <f t="shared" si="46"/>
        <v>371.26234252426531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7.6</v>
      </c>
      <c r="FE60" s="13">
        <f>IF('Données projet'!$A$218&gt;35,FE59+FD60-FM59,IF(A60&lt;'Données projet'!$A$218,$FB$205^A60,IF(A60='Données projet'!$A$218,'Données projet'!$B$218,FE59+FD60-FM59)))</f>
        <v>212.2</v>
      </c>
      <c r="FF60" s="18">
        <f>FE60*VLOOKUP('Données projet'!$B$16,Paramètres!$A$1:$I$89,3,0)*VLOOKUP('Données projet'!$B$16,Paramètres!$A$1:$I$89,5,0)</f>
        <v>205.23983999999999</v>
      </c>
      <c r="FG60" s="14">
        <f t="shared" si="47"/>
        <v>50.893986960458122</v>
      </c>
      <c r="FH60" s="22">
        <f t="shared" si="22"/>
        <v>446.0997486227979</v>
      </c>
      <c r="FI60" s="60">
        <f t="shared" si="23"/>
        <v>739.43308195613122</v>
      </c>
      <c r="FJ60" s="60">
        <f ca="1">AVERAGE(OFFSET($FI$3,0,0,'Données projet'!$E$16+1,1))-AVERAGE(OFFSET($H$3,0,0,'Données projet'!$E$16+1,1))</f>
        <v>455.50822833641354</v>
      </c>
      <c r="FK60" s="60">
        <f t="shared" si="48"/>
        <v>261.14722581688039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222.87720000000002</v>
      </c>
      <c r="P61" s="14">
        <f t="shared" si="33"/>
        <v>54.739757243913829</v>
      </c>
      <c r="Q61" s="22">
        <f t="shared" si="53"/>
        <v>483.51620053314986</v>
      </c>
      <c r="R61" s="60">
        <f t="shared" si="0"/>
        <v>776.84953386648317</v>
      </c>
      <c r="S61" s="60">
        <f ca="1">AVERAGE(OFFSET($R$3,0,0,'Données projet'!$E$9+1,1))-AVERAGE(OFFSET($H$3,0,0,'Données projet'!$E$9+1,1))</f>
        <v>475.47920969424894</v>
      </c>
      <c r="T61" s="60">
        <f t="shared" si="34"/>
        <v>271.73544012419364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10.66307692307692</v>
      </c>
      <c r="AI61" s="14">
        <f>IF('Données projet'!$A$62&gt;35,AI60+AH61-AQ60,IF(A61&lt;'Données projet'!$A$62,$AF$205^A61,IF(A61='Données projet'!$A$62,'Données projet'!$B$62,AI60+AH61-AQ60)))</f>
        <v>321.09692307692302</v>
      </c>
      <c r="AJ61" s="14">
        <f>AI61*VLOOKUP('Données projet'!$B$10,Paramètres!$A$1:$I$89,3,0)*VLOOKUP('Données projet'!$B$10,Paramètres!$A$1:$I$89,5,0)</f>
        <v>192.01595999999998</v>
      </c>
      <c r="AK61" s="14">
        <f t="shared" si="35"/>
        <v>47.985378835949042</v>
      </c>
      <c r="AL61" s="22">
        <f t="shared" si="4"/>
        <v>418.00233180594455</v>
      </c>
      <c r="AM61" s="60">
        <f t="shared" si="5"/>
        <v>711.33566513927781</v>
      </c>
      <c r="AN61" s="60">
        <f ca="1">AVERAGE(OFFSET($AM$3,0,0,'Données projet'!$E$10+1,1))-AVERAGE(OFFSET($H$3,0,0,'Données projet'!$E$10+1,1))</f>
        <v>289.24721145176682</v>
      </c>
      <c r="AO61" s="60">
        <f t="shared" si="36"/>
        <v>229.06617320689003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1.0431254145922948</v>
      </c>
      <c r="AW61" s="23">
        <f>EXP(-LN(2)/2)*AW60+(1-EXP(-LN(2)/2))/(LN(2)/2)*AQ61*AT61*VLOOKUP('Données projet'!$B$10,Paramètres!$A$1:$I$89,3,0)*0.475*44/12</f>
        <v>2.7059950937746225E-4</v>
      </c>
      <c r="AX61" s="23">
        <f t="shared" si="6"/>
        <v>1.0433960141016723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7.343076923076933</v>
      </c>
      <c r="BD61" s="13">
        <f>IF('Données projet'!$A$88&gt;35,BD60+BC61-BL60,IF(A61&lt;'Données projet'!$A$88,$BA$205^A61,IF(A61='Données projet'!$A$88,'Données projet'!$B$88,BD60+BC61-BL60)))</f>
        <v>246.12153846153848</v>
      </c>
      <c r="BE61" s="14">
        <f>BD61*VLOOKUP('Données projet'!$B$11,Paramètres!$A$1:$I$89,3,0)*VLOOKUP('Données projet'!$B$11,Paramètres!$A$1:$I$89,5,0)</f>
        <v>147.18068000000002</v>
      </c>
      <c r="BF61" s="14">
        <f t="shared" si="37"/>
        <v>37.937179222759184</v>
      </c>
      <c r="BG61" s="22">
        <f t="shared" si="7"/>
        <v>322.41360481297227</v>
      </c>
      <c r="BH61" s="60">
        <f t="shared" si="8"/>
        <v>615.74693814630564</v>
      </c>
      <c r="BI61" s="60">
        <f ca="1">AVERAGE(OFFSET($BH$3,0,0,'Données projet'!$E$11+1,1))-AVERAGE(OFFSET($H$3,0,0,'Données projet'!$E$11+1,1))</f>
        <v>287.91374663515506</v>
      </c>
      <c r="BJ61" s="60">
        <f t="shared" si="38"/>
        <v>217.76240797006147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7.6</v>
      </c>
      <c r="BY61" s="13">
        <f>IF('Données projet'!$A$114&gt;35,BY60+BX61-CG60,IF(A61&lt;'Données projet'!$A$114,$BV$205^A61,IF(A61='Données projet'!$A$114,'Données projet'!$B$114,BY60+BX61-CG60)))</f>
        <v>219.79999999999998</v>
      </c>
      <c r="BZ61" s="14">
        <f>BY61*VLOOKUP('Données projet'!$B$12,Paramètres!$A$1:$I$89,3,0)*VLOOKUP('Données projet'!$B$12,Paramètres!$A$1:$I$89,5,0)</f>
        <v>198.87503999999998</v>
      </c>
      <c r="CA61" s="14">
        <f t="shared" si="39"/>
        <v>49.496854461868558</v>
      </c>
      <c r="CB61" s="22">
        <f t="shared" si="10"/>
        <v>432.58104952108766</v>
      </c>
      <c r="CC61" s="60">
        <f t="shared" si="11"/>
        <v>725.91438285442098</v>
      </c>
      <c r="CD61" s="60">
        <f ca="1">AVERAGE(OFFSET($CC$3,0,0,'Données projet'!$E$12+1,1))-AVERAGE(OFFSET($H$3,0,0,'Données projet'!$E$12+1,1))</f>
        <v>428.8489304403459</v>
      </c>
      <c r="CE61" s="60">
        <f t="shared" si="40"/>
        <v>247.01165577562966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11.076923076923084</v>
      </c>
      <c r="CT61" s="13">
        <f>IF('Données projet'!$A$140&gt;35,CT60+CS61-DB60,IF(A61&lt;'Données projet'!$A$140,$CQ$205^A61,IF(A61='Données projet'!$A$140,'Données projet'!$B$140,CT60+CS61-DB60)))</f>
        <v>295.88461538461542</v>
      </c>
      <c r="CU61" s="18">
        <f>CT61*VLOOKUP('Données projet'!$B$13,Paramètres!$A$1:$I$89,3,0)*VLOOKUP('Données projet'!$B$13,Paramètres!$A$1:$I$89,5,0)</f>
        <v>138.47400000000002</v>
      </c>
      <c r="CV61" s="14">
        <f t="shared" si="41"/>
        <v>35.947197649185291</v>
      </c>
      <c r="CW61" s="22">
        <f t="shared" si="13"/>
        <v>303.78358590566432</v>
      </c>
      <c r="CX61" s="60">
        <f t="shared" si="14"/>
        <v>597.11691923899764</v>
      </c>
      <c r="CY61" s="60">
        <f ca="1">AVERAGE(OFFSET($CX$3,0,0,'Données projet'!$E$13+1,1))-AVERAGE(OFFSET($H$3,0,0,'Données projet'!$E$13+1,1))</f>
        <v>284.88646502866419</v>
      </c>
      <c r="CZ61" s="60">
        <f t="shared" si="42"/>
        <v>190.4880882944471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7.6</v>
      </c>
      <c r="DO61" s="13">
        <f>IF('Données projet'!$A$166&gt;35,DO60+DN61-DW60,IF(A61&lt;'Données projet'!$A$166,$DL$205^A61,IF(A61='Données projet'!$A$166,'Données projet'!$B$166,DO60+DN61-DW60)))</f>
        <v>219.79999999999998</v>
      </c>
      <c r="DP61" s="18">
        <f>DO61*VLOOKUP('Données projet'!$B$14,Paramètres!$A$1:$I$89,3,0)*VLOOKUP('Données projet'!$B$14,Paramètres!$A$1:$I$89,5,0)</f>
        <v>236.59271999999999</v>
      </c>
      <c r="DQ61" s="14">
        <f t="shared" si="43"/>
        <v>57.705828638299394</v>
      </c>
      <c r="DR61" s="22">
        <f t="shared" si="16"/>
        <v>512.56997221170479</v>
      </c>
      <c r="DS61" s="60">
        <f t="shared" si="17"/>
        <v>805.90330554503817</v>
      </c>
      <c r="DT61" s="60">
        <f ca="1">AVERAGE(OFFSET($DS$3,0,0,'Données projet'!$E$14+1,1))-AVERAGE(OFFSET($H$3,0,0,'Données projet'!$E$14+1,1))</f>
        <v>502.07782026233912</v>
      </c>
      <c r="DU61" s="60">
        <f t="shared" si="44"/>
        <v>285.83623046025156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</v>
      </c>
      <c r="EJ61" s="13">
        <f>IF('Données projet'!$A$192&gt;35,EJ60+EI61-ER60,IF(A61&lt;'Données projet'!$A$192,$EG$205^A61,IF(A61='Données projet'!$A$192,'Données projet'!$B$192,EJ60+EI61-ER60)))</f>
        <v>247.99999999999986</v>
      </c>
      <c r="EK61" s="18">
        <f>EJ61*VLOOKUP('Données projet'!$B$15,Paramètres!$A$1:$I$89,3,0)*VLOOKUP('Données projet'!$B$15,Paramètres!$A$1:$I$89,5,0)</f>
        <v>216.6527999999999</v>
      </c>
      <c r="EL61" s="14">
        <f t="shared" si="45"/>
        <v>53.38674047237982</v>
      </c>
      <c r="EM61" s="22">
        <f t="shared" si="19"/>
        <v>470.3188663227279</v>
      </c>
      <c r="EN61" s="60">
        <f t="shared" si="20"/>
        <v>763.65219965606116</v>
      </c>
      <c r="EO61" s="60">
        <f ca="1">AVERAGE(OFFSET($EN$3,0,0,'Données projet'!$E$15+1,1))-AVERAGE(OFFSET($H$3,0,0,'Données projet'!$E$15+1,1))</f>
        <v>339.58437495284466</v>
      </c>
      <c r="EP61" s="60">
        <f t="shared" si="46"/>
        <v>371.26234252426531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7.6</v>
      </c>
      <c r="FE61" s="13">
        <f>IF('Données projet'!$A$218&gt;35,FE60+FD61-FM60,IF(A61&lt;'Données projet'!$A$218,$FB$205^A61,IF(A61='Données projet'!$A$218,'Données projet'!$B$218,FE60+FD61-FM60)))</f>
        <v>219.79999999999998</v>
      </c>
      <c r="FF61" s="18">
        <f>FE61*VLOOKUP('Données projet'!$B$16,Paramètres!$A$1:$I$89,3,0)*VLOOKUP('Données projet'!$B$16,Paramètres!$A$1:$I$89,5,0)</f>
        <v>212.59055999999998</v>
      </c>
      <c r="FG61" s="14">
        <f t="shared" si="47"/>
        <v>52.501283653296404</v>
      </c>
      <c r="FH61" s="22">
        <f t="shared" si="22"/>
        <v>461.70162769615786</v>
      </c>
      <c r="FI61" s="60">
        <f t="shared" si="23"/>
        <v>755.03496102949111</v>
      </c>
      <c r="FJ61" s="60">
        <f ca="1">AVERAGE(OFFSET($FI$3,0,0,'Données projet'!$E$16+1,1))-AVERAGE(OFFSET($H$3,0,0,'Données projet'!$E$16+1,1))</f>
        <v>455.50822833641354</v>
      </c>
      <c r="FK61" s="60">
        <f t="shared" si="48"/>
        <v>261.14722581688039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230.58360000000002</v>
      </c>
      <c r="P62" s="14">
        <f t="shared" si="33"/>
        <v>56.408850878327968</v>
      </c>
      <c r="Q62" s="22">
        <f t="shared" si="53"/>
        <v>499.8451852797545</v>
      </c>
      <c r="R62" s="60">
        <f t="shared" si="0"/>
        <v>793.17851861308782</v>
      </c>
      <c r="S62" s="60">
        <f ca="1">AVERAGE(OFFSET($R$3,0,0,'Données projet'!$E$9+1,1))-AVERAGE(OFFSET($H$3,0,0,'Données projet'!$E$9+1,1))</f>
        <v>475.47920969424894</v>
      </c>
      <c r="T62" s="60">
        <f t="shared" si="34"/>
        <v>271.73544012419364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10.66307692307692</v>
      </c>
      <c r="AI62" s="14">
        <f>IF('Données projet'!$A$62&gt;35,AI61+AH62-AQ61,IF(A62&lt;'Données projet'!$A$62,$AF$205^A62,IF(A62='Données projet'!$A$62,'Données projet'!$B$62,AI61+AH62-AQ61)))</f>
        <v>331.75999999999993</v>
      </c>
      <c r="AJ62" s="14">
        <f>AI62*VLOOKUP('Données projet'!$B$10,Paramètres!$A$1:$I$89,3,0)*VLOOKUP('Données projet'!$B$10,Paramètres!$A$1:$I$89,5,0)</f>
        <v>198.39247999999998</v>
      </c>
      <c r="AK62" s="14">
        <f t="shared" si="35"/>
        <v>49.39071772551025</v>
      </c>
      <c r="AL62" s="22">
        <f t="shared" si="4"/>
        <v>431.55573603859693</v>
      </c>
      <c r="AM62" s="60">
        <f t="shared" si="5"/>
        <v>724.88906937193019</v>
      </c>
      <c r="AN62" s="60">
        <f ca="1">AVERAGE(OFFSET($AM$3,0,0,'Données projet'!$E$10+1,1))-AVERAGE(OFFSET($H$3,0,0,'Données projet'!$E$10+1,1))</f>
        <v>289.24721145176682</v>
      </c>
      <c r="AO62" s="60">
        <f t="shared" si="36"/>
        <v>229.06617320689003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1.0146010952746871</v>
      </c>
      <c r="AW62" s="23">
        <f>EXP(-LN(2)/2)*AW61+(1-EXP(-LN(2)/2))/(LN(2)/2)*AQ62*AT62*VLOOKUP('Données projet'!$B$10,Paramètres!$A$1:$I$89,3,0)*0.475*44/12</f>
        <v>1.9134274806655632E-4</v>
      </c>
      <c r="AX62" s="23">
        <f t="shared" si="6"/>
        <v>1.0147924380227538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7.343076923076933</v>
      </c>
      <c r="BD62" s="13">
        <f>IF('Données projet'!$A$88&gt;35,BD61+BC62-BL61,IF(A62&lt;'Données projet'!$A$88,$BA$205^A62,IF(A62='Données projet'!$A$88,'Données projet'!$B$88,BD61+BC62-BL61)))</f>
        <v>253.4646153846154</v>
      </c>
      <c r="BE62" s="14">
        <f>BD62*VLOOKUP('Données projet'!$B$11,Paramètres!$A$1:$I$89,3,0)*VLOOKUP('Données projet'!$B$11,Paramètres!$A$1:$I$89,5,0)</f>
        <v>151.57184000000001</v>
      </c>
      <c r="BF62" s="14">
        <f t="shared" si="37"/>
        <v>38.935574895235966</v>
      </c>
      <c r="BG62" s="22">
        <f t="shared" si="7"/>
        <v>331.80041427586929</v>
      </c>
      <c r="BH62" s="60">
        <f t="shared" si="8"/>
        <v>625.1337476092026</v>
      </c>
      <c r="BI62" s="60">
        <f ca="1">AVERAGE(OFFSET($BH$3,0,0,'Données projet'!$E$11+1,1))-AVERAGE(OFFSET($H$3,0,0,'Données projet'!$E$11+1,1))</f>
        <v>287.91374663515506</v>
      </c>
      <c r="BJ62" s="60">
        <f t="shared" si="38"/>
        <v>217.76240797006147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7.6</v>
      </c>
      <c r="BY62" s="13">
        <f>IF('Données projet'!$A$114&gt;35,BY61+BX62-CG61,IF(A62&lt;'Données projet'!$A$114,$BV$205^A62,IF(A62='Données projet'!$A$114,'Données projet'!$B$114,BY61+BX62-CG61)))</f>
        <v>227.39999999999998</v>
      </c>
      <c r="BZ62" s="14">
        <f>BY62*VLOOKUP('Données projet'!$B$12,Paramètres!$A$1:$I$89,3,0)*VLOOKUP('Données projet'!$B$12,Paramètres!$A$1:$I$89,5,0)</f>
        <v>205.75151999999994</v>
      </c>
      <c r="CA62" s="14">
        <f t="shared" si="39"/>
        <v>51.006084477955554</v>
      </c>
      <c r="CB62" s="22">
        <f t="shared" si="10"/>
        <v>447.18616113243911</v>
      </c>
      <c r="CC62" s="60">
        <f t="shared" si="11"/>
        <v>740.51949446577237</v>
      </c>
      <c r="CD62" s="60">
        <f ca="1">AVERAGE(OFFSET($CC$3,0,0,'Données projet'!$E$12+1,1))-AVERAGE(OFFSET($H$3,0,0,'Données projet'!$E$12+1,1))</f>
        <v>428.8489304403459</v>
      </c>
      <c r="CE62" s="60">
        <f t="shared" si="40"/>
        <v>247.01165577562966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11.076923076923084</v>
      </c>
      <c r="CT62" s="13">
        <f>IF('Données projet'!$A$140&gt;35,CT61+CS62-DB61,IF(A62&lt;'Données projet'!$A$140,$CQ$205^A62,IF(A62='Données projet'!$A$140,'Données projet'!$B$140,CT61+CS62-DB61)))</f>
        <v>306.96153846153851</v>
      </c>
      <c r="CU62" s="18">
        <f>CT62*VLOOKUP('Données projet'!$B$13,Paramètres!$A$1:$I$89,3,0)*VLOOKUP('Données projet'!$B$13,Paramètres!$A$1:$I$89,5,0)</f>
        <v>143.65800000000002</v>
      </c>
      <c r="CV62" s="14">
        <f t="shared" si="41"/>
        <v>37.133739822996013</v>
      </c>
      <c r="CW62" s="22">
        <f t="shared" si="13"/>
        <v>314.87894685838472</v>
      </c>
      <c r="CX62" s="60">
        <f t="shared" si="14"/>
        <v>608.21228019171804</v>
      </c>
      <c r="CY62" s="60">
        <f ca="1">AVERAGE(OFFSET($CX$3,0,0,'Données projet'!$E$13+1,1))-AVERAGE(OFFSET($H$3,0,0,'Données projet'!$E$13+1,1))</f>
        <v>284.88646502866419</v>
      </c>
      <c r="CZ62" s="60">
        <f t="shared" si="42"/>
        <v>190.4880882944471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7.6</v>
      </c>
      <c r="DO62" s="13">
        <f>IF('Données projet'!$A$166&gt;35,DO61+DN62-DW61,IF(A62&lt;'Données projet'!$A$166,$DL$205^A62,IF(A62='Données projet'!$A$166,'Données projet'!$B$166,DO61+DN62-DW61)))</f>
        <v>227.39999999999998</v>
      </c>
      <c r="DP62" s="18">
        <f>DO62*VLOOKUP('Données projet'!$B$14,Paramètres!$A$1:$I$89,3,0)*VLOOKUP('Données projet'!$B$14,Paramètres!$A$1:$I$89,5,0)</f>
        <v>244.77335999999997</v>
      </c>
      <c r="DQ62" s="14">
        <f t="shared" si="43"/>
        <v>59.465362039582196</v>
      </c>
      <c r="DR62" s="22">
        <f t="shared" si="16"/>
        <v>529.88244088560566</v>
      </c>
      <c r="DS62" s="60">
        <f t="shared" si="17"/>
        <v>823.21577421893903</v>
      </c>
      <c r="DT62" s="60">
        <f ca="1">AVERAGE(OFFSET($DS$3,0,0,'Données projet'!$E$14+1,1))-AVERAGE(OFFSET($H$3,0,0,'Données projet'!$E$14+1,1))</f>
        <v>502.07782026233912</v>
      </c>
      <c r="DU62" s="60">
        <f t="shared" si="44"/>
        <v>285.83623046025156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</v>
      </c>
      <c r="EJ62" s="13">
        <f>IF('Données projet'!$A$192&gt;35,EJ61+EI62-ER61,IF(A62&lt;'Données projet'!$A$192,$EG$205^A62,IF(A62='Données projet'!$A$192,'Données projet'!$B$192,EJ61+EI62-ER61)))</f>
        <v>252.99999999999986</v>
      </c>
      <c r="EK62" s="18">
        <f>EJ62*VLOOKUP('Données projet'!$B$15,Paramètres!$A$1:$I$89,3,0)*VLOOKUP('Données projet'!$B$15,Paramètres!$A$1:$I$89,5,0)</f>
        <v>221.02079999999989</v>
      </c>
      <c r="EL62" s="14">
        <f t="shared" si="45"/>
        <v>54.336691745796898</v>
      </c>
      <c r="EM62" s="22">
        <f t="shared" si="19"/>
        <v>479.58096479059606</v>
      </c>
      <c r="EN62" s="60">
        <f t="shared" si="20"/>
        <v>772.91429812392937</v>
      </c>
      <c r="EO62" s="60">
        <f ca="1">AVERAGE(OFFSET($EN$3,0,0,'Données projet'!$E$15+1,1))-AVERAGE(OFFSET($H$3,0,0,'Données projet'!$E$15+1,1))</f>
        <v>339.58437495284466</v>
      </c>
      <c r="EP62" s="60">
        <f t="shared" si="46"/>
        <v>371.26234252426531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7.6</v>
      </c>
      <c r="FE62" s="13">
        <f>IF('Données projet'!$A$218&gt;35,FE61+FD62-FM61,IF(A62&lt;'Données projet'!$A$218,$FB$205^A62,IF(A62='Données projet'!$A$218,'Données projet'!$B$218,FE61+FD62-FM61)))</f>
        <v>227.39999999999998</v>
      </c>
      <c r="FF62" s="18">
        <f>FE62*VLOOKUP('Données projet'!$B$16,Paramètres!$A$1:$I$89,3,0)*VLOOKUP('Données projet'!$B$16,Paramètres!$A$1:$I$89,5,0)</f>
        <v>219.94127999999995</v>
      </c>
      <c r="FG62" s="14">
        <f t="shared" si="47"/>
        <v>54.102123020446285</v>
      </c>
      <c r="FH62" s="22">
        <f t="shared" si="22"/>
        <v>477.29226026061059</v>
      </c>
      <c r="FI62" s="60">
        <f t="shared" si="23"/>
        <v>770.6255935939439</v>
      </c>
      <c r="FJ62" s="60">
        <f ca="1">AVERAGE(OFFSET($FI$3,0,0,'Données projet'!$E$16+1,1))-AVERAGE(OFFSET($H$3,0,0,'Données projet'!$E$16+1,1))</f>
        <v>455.50822833641354</v>
      </c>
      <c r="FK62" s="60">
        <f t="shared" si="48"/>
        <v>261.14722581688039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238.29000000000002</v>
      </c>
      <c r="P63" s="14">
        <f t="shared" si="33"/>
        <v>58.071462681001513</v>
      </c>
      <c r="Q63" s="22">
        <f t="shared" si="53"/>
        <v>516.16288083607753</v>
      </c>
      <c r="R63" s="60">
        <f t="shared" si="0"/>
        <v>809.49621416941091</v>
      </c>
      <c r="S63" s="60">
        <f ca="1">AVERAGE(OFFSET($R$3,0,0,'Données projet'!$E$9+1,1))-AVERAGE(OFFSET($H$3,0,0,'Données projet'!$E$9+1,1))</f>
        <v>475.47920969424894</v>
      </c>
      <c r="T63" s="60">
        <f t="shared" si="34"/>
        <v>271.73544012419364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342.42307692307691</v>
      </c>
      <c r="AG63" s="13">
        <f>VLOOKUP(A63,'Données projet'!$A$61:$I$81,9,0)</f>
        <v>10.66307692307692</v>
      </c>
      <c r="AH63" s="13">
        <f t="array" ref="AH63">INDEX(AG:AG,MIN(IF(ISNUMBER(AG63:AG259),ROW(AG63:AG259),"")))</f>
        <v>10.66307692307692</v>
      </c>
      <c r="AI63" s="14">
        <f>IF('Données projet'!$A$62&gt;35,AI62+AH63-AQ62,IF(A63&lt;'Données projet'!$A$62,$AF$205^A63,IF(A63='Données projet'!$A$62,'Données projet'!$B$62,AI62+AH63-AQ62)))</f>
        <v>342.42307692307685</v>
      </c>
      <c r="AJ63" s="14">
        <f>AI63*VLOOKUP('Données projet'!$B$10,Paramètres!$A$1:$I$89,3,0)*VLOOKUP('Données projet'!$B$10,Paramètres!$A$1:$I$89,5,0)</f>
        <v>204.76899999999998</v>
      </c>
      <c r="AK63" s="14">
        <f t="shared" si="35"/>
        <v>50.790807822253974</v>
      </c>
      <c r="AL63" s="22">
        <f t="shared" si="4"/>
        <v>445.09999862375895</v>
      </c>
      <c r="AM63" s="60">
        <f t="shared" si="5"/>
        <v>738.43333195709226</v>
      </c>
      <c r="AN63" s="60">
        <f ca="1">AVERAGE(OFFSET($AM$3,0,0,'Données projet'!$E$10+1,1))-AVERAGE(OFFSET($H$3,0,0,'Données projet'!$E$10+1,1))</f>
        <v>289.24721145176682</v>
      </c>
      <c r="AO63" s="60">
        <f t="shared" si="36"/>
        <v>229.06617320689003</v>
      </c>
      <c r="AP63" s="16">
        <f>IF(ISNA(VLOOKUP(A63,'Données projet'!$A$61:$I$81,3,0)),0,VLOOKUP(A63,'Données projet'!$A$61:$I$81,3,0))</f>
        <v>6</v>
      </c>
      <c r="AQ63" s="16">
        <f>IF(ISNA(VLOOKUP(A63,'Données projet'!$A$61:$I$81,4,0)),0,VLOOKUP(A63,'Données projet'!$A$61:$I$81,4,0))</f>
        <v>54.261538461538464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0.98685677496884805</v>
      </c>
      <c r="AW63" s="23">
        <f>EXP(-LN(2)/2)*AW62+(1-EXP(-LN(2)/2))/(LN(2)/2)*AQ63*AT63*VLOOKUP('Données projet'!$B$10,Paramètres!$A$1:$I$89,3,0)*0.475*44/12</f>
        <v>1.3529975468873113E-4</v>
      </c>
      <c r="AX63" s="23">
        <f t="shared" si="6"/>
        <v>0.98699207472353678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260.80769230769232</v>
      </c>
      <c r="BB63" s="13">
        <f>VLOOKUP(A63,'Données projet'!$A$87:$I$107,9,0)</f>
        <v>7.343076923076933</v>
      </c>
      <c r="BC63" s="13">
        <f t="array" ref="BC63">INDEX(BB:BB,MIN(IF(ISNUMBER(BB63:BB259),ROW(BB63:BB259),"")))</f>
        <v>7.343076923076933</v>
      </c>
      <c r="BD63" s="13">
        <f>IF('Données projet'!$A$88&gt;35,BD62+BC63-BL62,IF(A63&lt;'Données projet'!$A$88,$BA$205^A63,IF(A63='Données projet'!$A$88,'Données projet'!$B$88,BD62+BC63-BL62)))</f>
        <v>260.80769230769232</v>
      </c>
      <c r="BE63" s="14">
        <f>BD63*VLOOKUP('Données projet'!$B$11,Paramètres!$A$1:$I$89,3,0)*VLOOKUP('Données projet'!$B$11,Paramètres!$A$1:$I$89,5,0)</f>
        <v>155.96300000000002</v>
      </c>
      <c r="BF63" s="14">
        <f t="shared" si="37"/>
        <v>39.930608948271534</v>
      </c>
      <c r="BG63" s="22">
        <f t="shared" si="7"/>
        <v>341.18136891823957</v>
      </c>
      <c r="BH63" s="60">
        <f t="shared" si="8"/>
        <v>634.51470225157288</v>
      </c>
      <c r="BI63" s="60">
        <f ca="1">AVERAGE(OFFSET($BH$3,0,0,'Données projet'!$E$11+1,1))-AVERAGE(OFFSET($H$3,0,0,'Données projet'!$E$11+1,1))</f>
        <v>287.91374663515506</v>
      </c>
      <c r="BJ63" s="60">
        <f t="shared" si="38"/>
        <v>217.76240797006147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235</v>
      </c>
      <c r="BW63" s="13">
        <f>VLOOKUP(A63,'Données projet'!$A$113:$I$133,9,0)</f>
        <v>7.6</v>
      </c>
      <c r="BX63" s="13">
        <f t="array" ref="BX63">INDEX(BW:BW,MIN(IF(ISNUMBER(BW63:BW259),ROW(BW63:BW259),"")))</f>
        <v>7.6</v>
      </c>
      <c r="BY63" s="13">
        <f>IF('Données projet'!$A$114&gt;35,BY62+BX63-CG62,IF(A63&lt;'Données projet'!$A$114,$BV$205^A63,IF(A63='Données projet'!$A$114,'Données projet'!$B$114,BY62+BX63-CG62)))</f>
        <v>234.99999999999997</v>
      </c>
      <c r="BZ63" s="14">
        <f>BY63*VLOOKUP('Données projet'!$B$12,Paramètres!$A$1:$I$89,3,0)*VLOOKUP('Données projet'!$B$12,Paramètres!$A$1:$I$89,5,0)</f>
        <v>212.62799999999999</v>
      </c>
      <c r="CA63" s="14">
        <f t="shared" si="39"/>
        <v>52.509453483719035</v>
      </c>
      <c r="CB63" s="22">
        <f t="shared" si="10"/>
        <v>461.78106481747727</v>
      </c>
      <c r="CC63" s="60">
        <f t="shared" si="11"/>
        <v>755.11439815081053</v>
      </c>
      <c r="CD63" s="60">
        <f ca="1">AVERAGE(OFFSET($CC$3,0,0,'Données projet'!$E$12+1,1))-AVERAGE(OFFSET($H$3,0,0,'Données projet'!$E$12+1,1))</f>
        <v>428.8489304403459</v>
      </c>
      <c r="CE63" s="60">
        <f t="shared" si="40"/>
        <v>247.01165577562966</v>
      </c>
      <c r="CF63" s="16">
        <f>IF(ISNA(VLOOKUP(A63,'Données projet'!$A$113:$I$133,3,0)),0,VLOOKUP(A63,'Données projet'!$A$113:$I$133,3,0))</f>
        <v>4</v>
      </c>
      <c r="CG63" s="16">
        <f>IF(ISNA(VLOOKUP(A63,'Données projet'!$A$113:$I$133,4,0)),0,VLOOKUP(A63,'Données projet'!$A$113:$I$133,4,0))</f>
        <v>42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11.076923076923084</v>
      </c>
      <c r="CT63" s="13">
        <f>IF('Données projet'!$A$140&gt;35,CT62+CS63-DB62,IF(A63&lt;'Données projet'!$A$140,$CQ$205^A63,IF(A63='Données projet'!$A$140,'Données projet'!$B$140,CT62+CS63-DB62)))</f>
        <v>318.0384615384616</v>
      </c>
      <c r="CU63" s="18">
        <f>CT63*VLOOKUP('Données projet'!$B$13,Paramètres!$A$1:$I$89,3,0)*VLOOKUP('Données projet'!$B$13,Paramètres!$A$1:$I$89,5,0)</f>
        <v>148.84200000000004</v>
      </c>
      <c r="CV63" s="14">
        <f t="shared" si="41"/>
        <v>38.315307385764029</v>
      </c>
      <c r="CW63" s="22">
        <f t="shared" si="13"/>
        <v>325.96564369687235</v>
      </c>
      <c r="CX63" s="60">
        <f t="shared" si="14"/>
        <v>619.29897703020561</v>
      </c>
      <c r="CY63" s="60">
        <f ca="1">AVERAGE(OFFSET($CX$3,0,0,'Données projet'!$E$13+1,1))-AVERAGE(OFFSET($H$3,0,0,'Données projet'!$E$13+1,1))</f>
        <v>284.88646502866419</v>
      </c>
      <c r="CZ63" s="60">
        <f t="shared" si="42"/>
        <v>190.4880882944471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235</v>
      </c>
      <c r="DM63" s="13">
        <f>VLOOKUP(A63,'Données projet'!$A$165:$I$185,9,0)</f>
        <v>7.6</v>
      </c>
      <c r="DN63" s="13">
        <f t="array" ref="DN63">INDEX(DM:DM,MIN(IF(ISNUMBER(DM63:DM259),ROW(DM63:DM259),"")))</f>
        <v>7.6</v>
      </c>
      <c r="DO63" s="13">
        <f>IF('Données projet'!$A$166&gt;35,DO62+DN63-DW62,IF(A63&lt;'Données projet'!$A$166,$DL$205^A63,IF(A63='Données projet'!$A$166,'Données projet'!$B$166,DO62+DN63-DW62)))</f>
        <v>234.99999999999997</v>
      </c>
      <c r="DP63" s="18">
        <f>DO63*VLOOKUP('Données projet'!$B$14,Paramètres!$A$1:$I$89,3,0)*VLOOKUP('Données projet'!$B$14,Paramètres!$A$1:$I$89,5,0)</f>
        <v>252.95399999999998</v>
      </c>
      <c r="DQ63" s="14">
        <f t="shared" si="43"/>
        <v>61.218062391350081</v>
      </c>
      <c r="DR63" s="22">
        <f t="shared" si="16"/>
        <v>547.18300866493462</v>
      </c>
      <c r="DS63" s="60">
        <f t="shared" si="17"/>
        <v>840.51634199826799</v>
      </c>
      <c r="DT63" s="60">
        <f ca="1">AVERAGE(OFFSET($DS$3,0,0,'Données projet'!$E$14+1,1))-AVERAGE(OFFSET($H$3,0,0,'Données projet'!$E$14+1,1))</f>
        <v>502.07782026233912</v>
      </c>
      <c r="DU63" s="60">
        <f t="shared" si="44"/>
        <v>285.83623046025156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42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258</v>
      </c>
      <c r="EH63" s="13">
        <f>VLOOKUP(A63,'Données projet'!$A$191:$I$211,9,0)</f>
        <v>5</v>
      </c>
      <c r="EI63" s="13">
        <f t="array" ref="EI63">INDEX(EH:EH,MIN(IF(ISNUMBER(EH63:EH259),ROW(EH63:EH259),"")))</f>
        <v>5</v>
      </c>
      <c r="EJ63" s="13">
        <f>IF('Données projet'!$A$192&gt;35,EJ62+EI63-ER62,IF(A63&lt;'Données projet'!$A$192,$EG$205^A63,IF(A63='Données projet'!$A$192,'Données projet'!$B$192,EJ62+EI63-ER62)))</f>
        <v>257.99999999999989</v>
      </c>
      <c r="EK63" s="18">
        <f>EJ63*VLOOKUP('Données projet'!$B$15,Paramètres!$A$1:$I$89,3,0)*VLOOKUP('Données projet'!$B$15,Paramètres!$A$1:$I$89,5,0)</f>
        <v>225.38879999999995</v>
      </c>
      <c r="EL63" s="14">
        <f t="shared" si="45"/>
        <v>55.284460117161544</v>
      </c>
      <c r="EM63" s="22">
        <f t="shared" si="19"/>
        <v>488.83926137072285</v>
      </c>
      <c r="EN63" s="60">
        <f t="shared" si="20"/>
        <v>782.17259470405611</v>
      </c>
      <c r="EO63" s="60">
        <f ca="1">AVERAGE(OFFSET($EN$3,0,0,'Données projet'!$E$15+1,1))-AVERAGE(OFFSET($H$3,0,0,'Données projet'!$E$15+1,1))</f>
        <v>339.58437495284466</v>
      </c>
      <c r="EP63" s="60">
        <f t="shared" si="46"/>
        <v>371.26234252426531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25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235</v>
      </c>
      <c r="FC63" s="13">
        <f>VLOOKUP(A63,'Données projet'!$A$217:$I$237,9,0)</f>
        <v>7.6</v>
      </c>
      <c r="FD63" s="13">
        <f t="array" ref="FD63">INDEX(FC:FC,MIN(IF(ISNUMBER(FC63:FC259),ROW(FC63:FC259),"")))</f>
        <v>7.6</v>
      </c>
      <c r="FE63" s="13">
        <f>IF('Données projet'!$A$218&gt;35,FE62+FD63-FM62,IF(A63&lt;'Données projet'!$A$218,$FB$205^A63,IF(A63='Données projet'!$A$218,'Données projet'!$B$218,FE62+FD63-FM62)))</f>
        <v>234.99999999999997</v>
      </c>
      <c r="FF63" s="18">
        <f>FE63*VLOOKUP('Données projet'!$B$16,Paramètres!$A$1:$I$89,3,0)*VLOOKUP('Données projet'!$B$16,Paramètres!$A$1:$I$89,5,0)</f>
        <v>227.292</v>
      </c>
      <c r="FG63" s="14">
        <f t="shared" si="47"/>
        <v>55.6967456174837</v>
      </c>
      <c r="FH63" s="22">
        <f t="shared" si="22"/>
        <v>492.87206528378402</v>
      </c>
      <c r="FI63" s="60">
        <f t="shared" si="23"/>
        <v>786.20539861711734</v>
      </c>
      <c r="FJ63" s="60">
        <f ca="1">AVERAGE(OFFSET($FI$3,0,0,'Données projet'!$E$16+1,1))-AVERAGE(OFFSET($H$3,0,0,'Données projet'!$E$16+1,1))</f>
        <v>455.50822833641354</v>
      </c>
      <c r="FK63" s="60">
        <f t="shared" si="48"/>
        <v>261.14722581688039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42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203.00279999999995</v>
      </c>
      <c r="P64" s="14">
        <f t="shared" si="33"/>
        <v>50.403518824343074</v>
      </c>
      <c r="Q64" s="22">
        <f t="shared" si="53"/>
        <v>441.3493386190641</v>
      </c>
      <c r="R64" s="60">
        <f t="shared" si="0"/>
        <v>734.68267195239741</v>
      </c>
      <c r="S64" s="60">
        <f ca="1">AVERAGE(OFFSET($R$3,0,0,'Données projet'!$E$9+1,1))-AVERAGE(OFFSET($H$3,0,0,'Données projet'!$E$9+1,1))</f>
        <v>475.47920969424894</v>
      </c>
      <c r="T64" s="60">
        <f t="shared" si="34"/>
        <v>271.73544012419364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9.1830769230769249</v>
      </c>
      <c r="AI64" s="14">
        <f>IF('Données projet'!$A$62&gt;35,AI63+AH64-AQ63,IF(A64&lt;'Données projet'!$A$62,$AF$205^A64,IF(A64='Données projet'!$A$62,'Données projet'!$B$62,AI63+AH64-AQ63)))</f>
        <v>297.34461538461534</v>
      </c>
      <c r="AJ64" s="14">
        <f>AI64*VLOOKUP('Données projet'!$B$10,Paramètres!$A$1:$I$89,3,0)*VLOOKUP('Données projet'!$B$10,Paramètres!$A$1:$I$89,5,0)</f>
        <v>177.81207999999998</v>
      </c>
      <c r="AK64" s="14">
        <f t="shared" si="35"/>
        <v>44.835068353066951</v>
      </c>
      <c r="AL64" s="22">
        <f t="shared" si="4"/>
        <v>387.77711671492489</v>
      </c>
      <c r="AM64" s="60">
        <f t="shared" si="5"/>
        <v>681.11045004825814</v>
      </c>
      <c r="AN64" s="60">
        <f ca="1">AVERAGE(OFFSET($AM$3,0,0,'Données projet'!$E$10+1,1))-AVERAGE(OFFSET($H$3,0,0,'Données projet'!$E$10+1,1))</f>
        <v>289.24721145176682</v>
      </c>
      <c r="AO64" s="60">
        <f t="shared" si="36"/>
        <v>229.06617320689003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0.95987112456078261</v>
      </c>
      <c r="AW64" s="23">
        <f>EXP(-LN(2)/2)*AW63+(1-EXP(-LN(2)/2))/(LN(2)/2)*AQ64*AT64*VLOOKUP('Données projet'!$B$10,Paramètres!$A$1:$I$89,3,0)*0.475*44/12</f>
        <v>9.5671374033278158E-5</v>
      </c>
      <c r="AX64" s="23">
        <f t="shared" si="6"/>
        <v>0.95996679593481593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7.1061538461538474</v>
      </c>
      <c r="BD64" s="13">
        <f>IF('Données projet'!$A$88&gt;35,BD63+BC64-BL63,IF(A64&lt;'Données projet'!$A$88,$BA$205^A64,IF(A64='Données projet'!$A$88,'Données projet'!$B$88,BD63+BC64-BL63)))</f>
        <v>267.91384615384618</v>
      </c>
      <c r="BE64" s="14">
        <f>BD64*VLOOKUP('Données projet'!$B$11,Paramètres!$A$1:$I$89,3,0)*VLOOKUP('Données projet'!$B$11,Paramètres!$A$1:$I$89,5,0)</f>
        <v>160.21248000000003</v>
      </c>
      <c r="BF64" s="14">
        <f t="shared" si="37"/>
        <v>40.890437161488258</v>
      </c>
      <c r="BG64" s="22">
        <f t="shared" si="7"/>
        <v>350.25424738959208</v>
      </c>
      <c r="BH64" s="60">
        <f t="shared" si="8"/>
        <v>643.5875807229254</v>
      </c>
      <c r="BI64" s="60">
        <f ca="1">AVERAGE(OFFSET($BH$3,0,0,'Données projet'!$E$11+1,1))-AVERAGE(OFFSET($H$3,0,0,'Données projet'!$E$11+1,1))</f>
        <v>287.91374663515506</v>
      </c>
      <c r="BJ64" s="60">
        <f t="shared" si="38"/>
        <v>217.76240797006147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7.2</v>
      </c>
      <c r="BY64" s="13">
        <f>IF('Données projet'!$A$114&gt;35,BY63+BX64-CG63,IF(A64&lt;'Données projet'!$A$114,$BV$205^A64,IF(A64='Données projet'!$A$114,'Données projet'!$B$114,BY63+BX64-CG63)))</f>
        <v>200.19999999999996</v>
      </c>
      <c r="BZ64" s="14">
        <f>BY64*VLOOKUP('Données projet'!$B$12,Paramètres!$A$1:$I$89,3,0)*VLOOKUP('Données projet'!$B$12,Paramètres!$A$1:$I$89,5,0)</f>
        <v>181.14095999999995</v>
      </c>
      <c r="CA64" s="14">
        <f t="shared" si="39"/>
        <v>45.575935320610945</v>
      </c>
      <c r="CB64" s="22">
        <f t="shared" si="10"/>
        <v>394.86525935006392</v>
      </c>
      <c r="CC64" s="60">
        <f t="shared" si="11"/>
        <v>688.19859268339724</v>
      </c>
      <c r="CD64" s="60">
        <f ca="1">AVERAGE(OFFSET($CC$3,0,0,'Données projet'!$E$12+1,1))-AVERAGE(OFFSET($H$3,0,0,'Données projet'!$E$12+1,1))</f>
        <v>428.8489304403459</v>
      </c>
      <c r="CE64" s="60">
        <f t="shared" si="40"/>
        <v>247.01165577562966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>
        <f>VLOOKUP(A64,'Données projet'!$A$139:$I$159,2,0)</f>
        <v>329.11538461538464</v>
      </c>
      <c r="CR64" s="13">
        <f>VLOOKUP(A64,'Données projet'!$A$139:$I$159,9,0)</f>
        <v>11.076923076923084</v>
      </c>
      <c r="CS64" s="13">
        <f t="array" ref="CS64">INDEX(CR:CR,MIN(IF(ISNUMBER(CR64:CR260),ROW(CR64:CR260),"")))</f>
        <v>11.076923076923084</v>
      </c>
      <c r="CT64" s="13">
        <f>IF('Données projet'!$A$140&gt;35,CT63+CS64-DB63,IF(A64&lt;'Données projet'!$A$140,$CQ$205^A64,IF(A64='Données projet'!$A$140,'Données projet'!$B$140,CT63+CS64-DB63)))</f>
        <v>329.1153846153847</v>
      </c>
      <c r="CU64" s="18">
        <f>CT64*VLOOKUP('Données projet'!$B$13,Paramètres!$A$1:$I$89,3,0)*VLOOKUP('Données projet'!$B$13,Paramètres!$A$1:$I$89,5,0)</f>
        <v>154.02600000000004</v>
      </c>
      <c r="CV64" s="14">
        <f t="shared" si="41"/>
        <v>39.492093452898274</v>
      </c>
      <c r="CW64" s="22">
        <f t="shared" si="13"/>
        <v>337.04401276379787</v>
      </c>
      <c r="CX64" s="60">
        <f t="shared" si="14"/>
        <v>630.37734609713118</v>
      </c>
      <c r="CY64" s="60">
        <f ca="1">AVERAGE(OFFSET($CX$3,0,0,'Données projet'!$E$13+1,1))-AVERAGE(OFFSET($H$3,0,0,'Données projet'!$E$13+1,1))</f>
        <v>284.88646502866419</v>
      </c>
      <c r="CZ64" s="60">
        <f t="shared" si="42"/>
        <v>190.4880882944471</v>
      </c>
      <c r="DA64" s="16">
        <f>IF(ISNA(VLOOKUP(A64,'Données projet'!$A$139:$I$159,3,0)),0,VLOOKUP(A64,'Données projet'!$A$139:$I$159,3,0))</f>
        <v>2</v>
      </c>
      <c r="DB64" s="16">
        <f>IF(ISNA(VLOOKUP(A64,'Données projet'!$A$139:$I$159,4,0)),0,VLOOKUP(A64,'Données projet'!$A$139:$I$159,4,0))</f>
        <v>94.76153846153845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200.19999999999996</v>
      </c>
      <c r="DP64" s="18">
        <f>DO64*VLOOKUP('Données projet'!$B$14,Paramètres!$A$1:$I$89,3,0)*VLOOKUP('Données projet'!$B$14,Paramètres!$A$1:$I$89,5,0)</f>
        <v>215.49527999999992</v>
      </c>
      <c r="DQ64" s="14">
        <f t="shared" si="43"/>
        <v>53.134631326269272</v>
      </c>
      <c r="DR64" s="22">
        <f t="shared" si="16"/>
        <v>467.86376222658549</v>
      </c>
      <c r="DS64" s="60">
        <f t="shared" si="17"/>
        <v>761.19709555991881</v>
      </c>
      <c r="DT64" s="60">
        <f ca="1">AVERAGE(OFFSET($DS$3,0,0,'Données projet'!$E$14+1,1))-AVERAGE(OFFSET($H$3,0,0,'Données projet'!$E$14+1,1))</f>
        <v>502.07782026233912</v>
      </c>
      <c r="DU64" s="60">
        <f t="shared" si="44"/>
        <v>285.83623046025156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4.4000000000000004</v>
      </c>
      <c r="EJ64" s="13">
        <f>IF('Données projet'!$A$192&gt;35,EJ63+EI64-ER63,IF(A64&lt;'Données projet'!$A$192,$EG$205^A64,IF(A64='Données projet'!$A$192,'Données projet'!$B$192,EJ63+EI64-ER63)))</f>
        <v>237.39999999999986</v>
      </c>
      <c r="EK64" s="18">
        <f>EJ64*VLOOKUP('Données projet'!$B$15,Paramètres!$A$1:$I$89,3,0)*VLOOKUP('Données projet'!$B$15,Paramètres!$A$1:$I$89,5,0)</f>
        <v>207.39263999999989</v>
      </c>
      <c r="EL64" s="14">
        <f t="shared" si="45"/>
        <v>51.365398298247158</v>
      </c>
      <c r="EM64" s="22">
        <f t="shared" si="19"/>
        <v>450.67025003611349</v>
      </c>
      <c r="EN64" s="60">
        <f t="shared" si="20"/>
        <v>744.0035833694468</v>
      </c>
      <c r="EO64" s="60">
        <f ca="1">AVERAGE(OFFSET($EN$3,0,0,'Données projet'!$E$15+1,1))-AVERAGE(OFFSET($H$3,0,0,'Données projet'!$E$15+1,1))</f>
        <v>339.58437495284466</v>
      </c>
      <c r="EP64" s="60">
        <f t="shared" si="46"/>
        <v>371.26234252426531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7.2</v>
      </c>
      <c r="FE64" s="13">
        <f>IF('Données projet'!$A$218&gt;35,FE63+FD64-FM63,IF(A64&lt;'Données projet'!$A$218,$FB$205^A64,IF(A64='Données projet'!$A$218,'Données projet'!$B$218,FE63+FD64-FM63)))</f>
        <v>200.19999999999996</v>
      </c>
      <c r="FF64" s="18">
        <f>FE64*VLOOKUP('Données projet'!$B$16,Paramètres!$A$1:$I$89,3,0)*VLOOKUP('Données projet'!$B$16,Paramètres!$A$1:$I$89,5,0)</f>
        <v>193.63343999999998</v>
      </c>
      <c r="FG64" s="14">
        <f t="shared" si="47"/>
        <v>48.342367086681229</v>
      </c>
      <c r="FH64" s="22">
        <f t="shared" si="22"/>
        <v>421.44119734263637</v>
      </c>
      <c r="FI64" s="60">
        <f t="shared" si="23"/>
        <v>714.77453067596969</v>
      </c>
      <c r="FJ64" s="60">
        <f ca="1">AVERAGE(OFFSET($FI$3,0,0,'Données projet'!$E$16+1,1))-AVERAGE(OFFSET($H$3,0,0,'Données projet'!$E$16+1,1))</f>
        <v>455.50822833641354</v>
      </c>
      <c r="FK64" s="60">
        <f t="shared" si="48"/>
        <v>261.14722581688039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210.30359999999996</v>
      </c>
      <c r="P65" s="14">
        <f t="shared" si="33"/>
        <v>52.001924357524459</v>
      </c>
      <c r="Q65" s="22">
        <f t="shared" si="53"/>
        <v>456.84878825602163</v>
      </c>
      <c r="R65" s="60">
        <f t="shared" si="0"/>
        <v>750.18212158935489</v>
      </c>
      <c r="S65" s="60">
        <f ca="1">AVERAGE(OFFSET($R$3,0,0,'Données projet'!$E$9+1,1))-AVERAGE(OFFSET($H$3,0,0,'Données projet'!$E$9+1,1))</f>
        <v>475.47920969424894</v>
      </c>
      <c r="T65" s="60">
        <f t="shared" si="34"/>
        <v>271.73544012419364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9.1830769230769249</v>
      </c>
      <c r="AI65" s="14">
        <f>IF('Données projet'!$A$62&gt;35,AI64+AH65-AQ64,IF(A65&lt;'Données projet'!$A$62,$AF$205^A65,IF(A65='Données projet'!$A$62,'Données projet'!$B$62,AI64+AH65-AQ64)))</f>
        <v>306.52769230769229</v>
      </c>
      <c r="AJ65" s="14">
        <f>AI65*VLOOKUP('Données projet'!$B$10,Paramètres!$A$1:$I$89,3,0)*VLOOKUP('Données projet'!$B$10,Paramètres!$A$1:$I$89,5,0)</f>
        <v>183.30356</v>
      </c>
      <c r="AK65" s="14">
        <f t="shared" si="35"/>
        <v>46.056387641494027</v>
      </c>
      <c r="AL65" s="22">
        <f t="shared" si="4"/>
        <v>399.46857547560211</v>
      </c>
      <c r="AM65" s="60">
        <f t="shared" si="5"/>
        <v>692.80190880893542</v>
      </c>
      <c r="AN65" s="60">
        <f ca="1">AVERAGE(OFFSET($AM$3,0,0,'Données projet'!$E$10+1,1))-AVERAGE(OFFSET($H$3,0,0,'Données projet'!$E$10+1,1))</f>
        <v>289.24721145176682</v>
      </c>
      <c r="AO65" s="60">
        <f t="shared" si="36"/>
        <v>229.06617320689003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0.93362339818223938</v>
      </c>
      <c r="AW65" s="23">
        <f>EXP(-LN(2)/2)*AW64+(1-EXP(-LN(2)/2))/(LN(2)/2)*AQ65*AT65*VLOOKUP('Données projet'!$B$10,Paramètres!$A$1:$I$89,3,0)*0.475*44/12</f>
        <v>6.7649877344365563E-5</v>
      </c>
      <c r="AX65" s="23">
        <f t="shared" si="6"/>
        <v>0.93369104805958369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7.1061538461538474</v>
      </c>
      <c r="BD65" s="13">
        <f>IF('Données projet'!$A$88&gt;35,BD64+BC65-BL64,IF(A65&lt;'Données projet'!$A$88,$BA$205^A65,IF(A65='Données projet'!$A$88,'Données projet'!$B$88,BD64+BC65-BL64)))</f>
        <v>275.02000000000004</v>
      </c>
      <c r="BE65" s="14">
        <f>BD65*VLOOKUP('Données projet'!$B$11,Paramètres!$A$1:$I$89,3,0)*VLOOKUP('Données projet'!$B$11,Paramètres!$A$1:$I$89,5,0)</f>
        <v>164.46196000000003</v>
      </c>
      <c r="BF65" s="14">
        <f t="shared" si="37"/>
        <v>41.847306207488693</v>
      </c>
      <c r="BG65" s="22">
        <f t="shared" si="7"/>
        <v>359.32197197804288</v>
      </c>
      <c r="BH65" s="60">
        <f t="shared" si="8"/>
        <v>652.6553053113762</v>
      </c>
      <c r="BI65" s="60">
        <f ca="1">AVERAGE(OFFSET($BH$3,0,0,'Données projet'!$E$11+1,1))-AVERAGE(OFFSET($H$3,0,0,'Données projet'!$E$11+1,1))</f>
        <v>287.91374663515506</v>
      </c>
      <c r="BJ65" s="60">
        <f t="shared" si="38"/>
        <v>217.76240797006147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7.2</v>
      </c>
      <c r="BY65" s="13">
        <f>IF('Données projet'!$A$114&gt;35,BY64+BX65-CG64,IF(A65&lt;'Données projet'!$A$114,$BV$205^A65,IF(A65='Données projet'!$A$114,'Données projet'!$B$114,BY64+BX65-CG64)))</f>
        <v>207.39999999999995</v>
      </c>
      <c r="BZ65" s="14">
        <f>BY65*VLOOKUP('Données projet'!$B$12,Paramètres!$A$1:$I$89,3,0)*VLOOKUP('Données projet'!$B$12,Paramètres!$A$1:$I$89,5,0)</f>
        <v>187.65551999999994</v>
      </c>
      <c r="CA65" s="14">
        <f t="shared" si="39"/>
        <v>47.021247649900147</v>
      </c>
      <c r="CB65" s="22">
        <f t="shared" si="10"/>
        <v>408.72870365690932</v>
      </c>
      <c r="CC65" s="60">
        <f t="shared" si="11"/>
        <v>702.06203699024263</v>
      </c>
      <c r="CD65" s="60">
        <f ca="1">AVERAGE(OFFSET($CC$3,0,0,'Données projet'!$E$12+1,1))-AVERAGE(OFFSET($H$3,0,0,'Données projet'!$E$12+1,1))</f>
        <v>428.8489304403459</v>
      </c>
      <c r="CE65" s="60">
        <f t="shared" si="40"/>
        <v>247.01165577562966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10.171794871794864</v>
      </c>
      <c r="CT65" s="13">
        <f>IF('Données projet'!$A$140&gt;35,CT64+CS65-DB64,IF(A65&lt;'Données projet'!$A$140,$CQ$205^A65,IF(A65='Données projet'!$A$140,'Données projet'!$B$140,CT64+CS65-DB64)))</f>
        <v>244.52564102564111</v>
      </c>
      <c r="CU65" s="18">
        <f>CT65*VLOOKUP('Données projet'!$B$13,Paramètres!$A$1:$I$89,3,0)*VLOOKUP('Données projet'!$B$13,Paramètres!$A$1:$I$89,5,0)</f>
        <v>114.43800000000003</v>
      </c>
      <c r="CV65" s="14">
        <f t="shared" si="41"/>
        <v>30.374192839349661</v>
      </c>
      <c r="CW65" s="22">
        <f t="shared" si="13"/>
        <v>252.21456919520065</v>
      </c>
      <c r="CX65" s="60">
        <f t="shared" si="14"/>
        <v>545.547902528534</v>
      </c>
      <c r="CY65" s="60">
        <f ca="1">AVERAGE(OFFSET($CX$3,0,0,'Données projet'!$E$13+1,1))-AVERAGE(OFFSET($H$3,0,0,'Données projet'!$E$13+1,1))</f>
        <v>284.88646502866419</v>
      </c>
      <c r="CZ65" s="60">
        <f t="shared" si="42"/>
        <v>190.4880882944471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207.39999999999995</v>
      </c>
      <c r="DP65" s="18">
        <f>DO65*VLOOKUP('Données projet'!$B$14,Paramètres!$A$1:$I$89,3,0)*VLOOKUP('Données projet'!$B$14,Paramètres!$A$1:$I$89,5,0)</f>
        <v>223.24535999999995</v>
      </c>
      <c r="DQ65" s="14">
        <f t="shared" si="43"/>
        <v>54.819646394591118</v>
      </c>
      <c r="DR65" s="22">
        <f t="shared" si="16"/>
        <v>484.29655280391279</v>
      </c>
      <c r="DS65" s="60">
        <f t="shared" si="17"/>
        <v>777.6298861372461</v>
      </c>
      <c r="DT65" s="60">
        <f ca="1">AVERAGE(OFFSET($DS$3,0,0,'Données projet'!$E$14+1,1))-AVERAGE(OFFSET($H$3,0,0,'Données projet'!$E$14+1,1))</f>
        <v>502.07782026233912</v>
      </c>
      <c r="DU65" s="60">
        <f t="shared" si="44"/>
        <v>285.83623046025156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4.4000000000000004</v>
      </c>
      <c r="EJ65" s="13">
        <f>IF('Données projet'!$A$192&gt;35,EJ64+EI65-ER64,IF(A65&lt;'Données projet'!$A$192,$EG$205^A65,IF(A65='Données projet'!$A$192,'Données projet'!$B$192,EJ64+EI65-ER64)))</f>
        <v>241.79999999999987</v>
      </c>
      <c r="EK65" s="18">
        <f>EJ65*VLOOKUP('Données projet'!$B$15,Paramètres!$A$1:$I$89,3,0)*VLOOKUP('Données projet'!$B$15,Paramètres!$A$1:$I$89,5,0)</f>
        <v>211.23647999999989</v>
      </c>
      <c r="EL65" s="14">
        <f t="shared" si="45"/>
        <v>52.205695296687686</v>
      </c>
      <c r="EM65" s="22">
        <f t="shared" si="19"/>
        <v>458.82845530839751</v>
      </c>
      <c r="EN65" s="60">
        <f t="shared" si="20"/>
        <v>752.16178864173082</v>
      </c>
      <c r="EO65" s="60">
        <f ca="1">AVERAGE(OFFSET($EN$3,0,0,'Données projet'!$E$15+1,1))-AVERAGE(OFFSET($H$3,0,0,'Données projet'!$E$15+1,1))</f>
        <v>339.58437495284466</v>
      </c>
      <c r="EP65" s="60">
        <f t="shared" si="46"/>
        <v>371.26234252426531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7.2</v>
      </c>
      <c r="FE65" s="13">
        <f>IF('Données projet'!$A$218&gt;35,FE64+FD65-FM64,IF(A65&lt;'Données projet'!$A$218,$FB$205^A65,IF(A65='Données projet'!$A$218,'Données projet'!$B$218,FE64+FD65-FM64)))</f>
        <v>207.39999999999995</v>
      </c>
      <c r="FF65" s="18">
        <f>FE65*VLOOKUP('Données projet'!$B$16,Paramètres!$A$1:$I$89,3,0)*VLOOKUP('Données projet'!$B$16,Paramètres!$A$1:$I$89,5,0)</f>
        <v>200.59727999999996</v>
      </c>
      <c r="FG65" s="14">
        <f t="shared" si="47"/>
        <v>49.875409002022977</v>
      </c>
      <c r="FH65" s="22">
        <f t="shared" si="22"/>
        <v>436.23993334518991</v>
      </c>
      <c r="FI65" s="60">
        <f t="shared" si="23"/>
        <v>729.57326667852317</v>
      </c>
      <c r="FJ65" s="60">
        <f ca="1">AVERAGE(OFFSET($FI$3,0,0,'Données projet'!$E$16+1,1))-AVERAGE(OFFSET($H$3,0,0,'Données projet'!$E$16+1,1))</f>
        <v>455.50822833641354</v>
      </c>
      <c r="FK65" s="60">
        <f t="shared" si="48"/>
        <v>261.14722581688039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217.60439999999994</v>
      </c>
      <c r="P66" s="14">
        <f t="shared" si="33"/>
        <v>53.593882578706356</v>
      </c>
      <c r="Q66" s="22">
        <f t="shared" si="53"/>
        <v>472.33700882458015</v>
      </c>
      <c r="R66" s="60">
        <f t="shared" si="0"/>
        <v>765.67034215791341</v>
      </c>
      <c r="S66" s="60">
        <f ca="1">AVERAGE(OFFSET($R$3,0,0,'Données projet'!$E$9+1,1))-AVERAGE(OFFSET($H$3,0,0,'Données projet'!$E$9+1,1))</f>
        <v>475.47920969424894</v>
      </c>
      <c r="T66" s="60">
        <f t="shared" si="34"/>
        <v>271.73544012419364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9.1830769230769249</v>
      </c>
      <c r="AI66" s="14">
        <f>IF('Données projet'!$A$62&gt;35,AI65+AH66-AQ65,IF(A66&lt;'Données projet'!$A$62,$AF$205^A66,IF(A66='Données projet'!$A$62,'Données projet'!$B$62,AI65+AH66-AQ65)))</f>
        <v>315.71076923076919</v>
      </c>
      <c r="AJ66" s="14">
        <f>AI66*VLOOKUP('Données projet'!$B$10,Paramètres!$A$1:$I$89,3,0)*VLOOKUP('Données projet'!$B$10,Paramètres!$A$1:$I$89,5,0)</f>
        <v>188.79504</v>
      </c>
      <c r="AK66" s="14">
        <f t="shared" si="35"/>
        <v>47.273454743056831</v>
      </c>
      <c r="AL66" s="22">
        <f t="shared" si="4"/>
        <v>411.15262834415722</v>
      </c>
      <c r="AM66" s="60">
        <f t="shared" si="5"/>
        <v>704.48596167749054</v>
      </c>
      <c r="AN66" s="60">
        <f ca="1">AVERAGE(OFFSET($AM$3,0,0,'Données projet'!$E$10+1,1))-AVERAGE(OFFSET($H$3,0,0,'Données projet'!$E$10+1,1))</f>
        <v>289.24721145176682</v>
      </c>
      <c r="AO66" s="60">
        <f t="shared" si="36"/>
        <v>229.06617320689003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0.90809341726182535</v>
      </c>
      <c r="AW66" s="23">
        <f>EXP(-LN(2)/2)*AW65+(1-EXP(-LN(2)/2))/(LN(2)/2)*AQ66*AT66*VLOOKUP('Données projet'!$B$10,Paramètres!$A$1:$I$89,3,0)*0.475*44/12</f>
        <v>4.7835687016639079E-5</v>
      </c>
      <c r="AX66" s="23">
        <f t="shared" si="6"/>
        <v>0.90814125294884196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7.1061538461538474</v>
      </c>
      <c r="BD66" s="13">
        <f>IF('Données projet'!$A$88&gt;35,BD65+BC66-BL65,IF(A66&lt;'Données projet'!$A$88,$BA$205^A66,IF(A66='Données projet'!$A$88,'Données projet'!$B$88,BD65+BC66-BL65)))</f>
        <v>282.1261538461539</v>
      </c>
      <c r="BE66" s="14">
        <f>BD66*VLOOKUP('Données projet'!$B$11,Paramètres!$A$1:$I$89,3,0)*VLOOKUP('Données projet'!$B$11,Paramètres!$A$1:$I$89,5,0)</f>
        <v>168.71144000000007</v>
      </c>
      <c r="BF66" s="14">
        <f t="shared" si="37"/>
        <v>42.801301338266306</v>
      </c>
      <c r="BG66" s="22">
        <f t="shared" si="7"/>
        <v>368.38469116414734</v>
      </c>
      <c r="BH66" s="60">
        <f t="shared" si="8"/>
        <v>661.71802449748066</v>
      </c>
      <c r="BI66" s="60">
        <f ca="1">AVERAGE(OFFSET($BH$3,0,0,'Données projet'!$E$11+1,1))-AVERAGE(OFFSET($H$3,0,0,'Données projet'!$E$11+1,1))</f>
        <v>287.91374663515506</v>
      </c>
      <c r="BJ66" s="60">
        <f t="shared" si="38"/>
        <v>217.76240797006147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7.2</v>
      </c>
      <c r="BY66" s="13">
        <f>IF('Données projet'!$A$114&gt;35,BY65+BX66-CG65,IF(A66&lt;'Données projet'!$A$114,$BV$205^A66,IF(A66='Données projet'!$A$114,'Données projet'!$B$114,BY65+BX66-CG65)))</f>
        <v>214.59999999999994</v>
      </c>
      <c r="BZ66" s="14">
        <f>BY66*VLOOKUP('Données projet'!$B$12,Paramètres!$A$1:$I$89,3,0)*VLOOKUP('Données projet'!$B$12,Paramètres!$A$1:$I$89,5,0)</f>
        <v>194.17007999999996</v>
      </c>
      <c r="CA66" s="14">
        <f t="shared" si="39"/>
        <v>48.460730182351035</v>
      </c>
      <c r="CB66" s="22">
        <f t="shared" si="10"/>
        <v>422.5819944009279</v>
      </c>
      <c r="CC66" s="60">
        <f t="shared" si="11"/>
        <v>715.91532773426115</v>
      </c>
      <c r="CD66" s="60">
        <f ca="1">AVERAGE(OFFSET($CC$3,0,0,'Données projet'!$E$12+1,1))-AVERAGE(OFFSET($H$3,0,0,'Données projet'!$E$12+1,1))</f>
        <v>428.8489304403459</v>
      </c>
      <c r="CE66" s="60">
        <f t="shared" si="40"/>
        <v>247.01165577562966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10.171794871794864</v>
      </c>
      <c r="CT66" s="13">
        <f>IF('Données projet'!$A$140&gt;35,CT65+CS66-DB65,IF(A66&lt;'Données projet'!$A$140,$CQ$205^A66,IF(A66='Données projet'!$A$140,'Données projet'!$B$140,CT65+CS66-DB65)))</f>
        <v>254.69743589743598</v>
      </c>
      <c r="CU66" s="18">
        <f>CT66*VLOOKUP('Données projet'!$B$13,Paramètres!$A$1:$I$89,3,0)*VLOOKUP('Données projet'!$B$13,Paramètres!$A$1:$I$89,5,0)</f>
        <v>119.19840000000003</v>
      </c>
      <c r="CV66" s="14">
        <f t="shared" si="41"/>
        <v>31.48796639098763</v>
      </c>
      <c r="CW66" s="22">
        <f t="shared" si="13"/>
        <v>262.44542146430354</v>
      </c>
      <c r="CX66" s="60">
        <f t="shared" si="14"/>
        <v>555.77875479763679</v>
      </c>
      <c r="CY66" s="60">
        <f ca="1">AVERAGE(OFFSET($CX$3,0,0,'Données projet'!$E$13+1,1))-AVERAGE(OFFSET($H$3,0,0,'Données projet'!$E$13+1,1))</f>
        <v>284.88646502866419</v>
      </c>
      <c r="CZ66" s="60">
        <f t="shared" si="42"/>
        <v>190.4880882944471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214.59999999999994</v>
      </c>
      <c r="DP66" s="18">
        <f>DO66*VLOOKUP('Données projet'!$B$14,Paramètres!$A$1:$I$89,3,0)*VLOOKUP('Données projet'!$B$14,Paramètres!$A$1:$I$89,5,0)</f>
        <v>230.99543999999995</v>
      </c>
      <c r="DQ66" s="14">
        <f t="shared" si="43"/>
        <v>56.497864803589785</v>
      </c>
      <c r="DR66" s="22">
        <f t="shared" si="16"/>
        <v>500.71750586625211</v>
      </c>
      <c r="DS66" s="60">
        <f t="shared" si="17"/>
        <v>794.05083919958543</v>
      </c>
      <c r="DT66" s="60">
        <f ca="1">AVERAGE(OFFSET($DS$3,0,0,'Données projet'!$E$14+1,1))-AVERAGE(OFFSET($H$3,0,0,'Données projet'!$E$14+1,1))</f>
        <v>502.07782026233912</v>
      </c>
      <c r="DU66" s="60">
        <f t="shared" si="44"/>
        <v>285.83623046025156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4.4000000000000004</v>
      </c>
      <c r="EJ66" s="13">
        <f>IF('Données projet'!$A$192&gt;35,EJ65+EI66-ER65,IF(A66&lt;'Données projet'!$A$192,$EG$205^A66,IF(A66='Données projet'!$A$192,'Données projet'!$B$192,EJ65+EI66-ER65)))</f>
        <v>246.19999999999987</v>
      </c>
      <c r="EK66" s="18">
        <f>EJ66*VLOOKUP('Données projet'!$B$15,Paramètres!$A$1:$I$89,3,0)*VLOOKUP('Données projet'!$B$15,Paramètres!$A$1:$I$89,5,0)</f>
        <v>215.08031999999994</v>
      </c>
      <c r="EL66" s="14">
        <f t="shared" si="45"/>
        <v>53.044214230061456</v>
      </c>
      <c r="EM66" s="22">
        <f t="shared" si="19"/>
        <v>466.98356378402354</v>
      </c>
      <c r="EN66" s="60">
        <f t="shared" si="20"/>
        <v>760.3168971173568</v>
      </c>
      <c r="EO66" s="60">
        <f ca="1">AVERAGE(OFFSET($EN$3,0,0,'Données projet'!$E$15+1,1))-AVERAGE(OFFSET($H$3,0,0,'Données projet'!$E$15+1,1))</f>
        <v>339.58437495284466</v>
      </c>
      <c r="EP66" s="60">
        <f t="shared" si="46"/>
        <v>371.26234252426531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7.2</v>
      </c>
      <c r="FE66" s="13">
        <f>IF('Données projet'!$A$218&gt;35,FE65+FD66-FM65,IF(A66&lt;'Données projet'!$A$218,$FB$205^A66,IF(A66='Données projet'!$A$218,'Données projet'!$B$218,FE65+FD66-FM65)))</f>
        <v>214.59999999999994</v>
      </c>
      <c r="FF66" s="18">
        <f>FE66*VLOOKUP('Données projet'!$B$16,Paramètres!$A$1:$I$89,3,0)*VLOOKUP('Données projet'!$B$16,Paramètres!$A$1:$I$89,5,0)</f>
        <v>207.56111999999996</v>
      </c>
      <c r="FG66" s="14">
        <f t="shared" si="47"/>
        <v>51.40226725537714</v>
      </c>
      <c r="FH66" s="22">
        <f t="shared" si="22"/>
        <v>451.02789946978169</v>
      </c>
      <c r="FI66" s="60">
        <f t="shared" si="23"/>
        <v>744.36123280311494</v>
      </c>
      <c r="FJ66" s="60">
        <f ca="1">AVERAGE(OFFSET($FI$3,0,0,'Données projet'!$E$16+1,1))-AVERAGE(OFFSET($H$3,0,0,'Données projet'!$E$16+1,1))</f>
        <v>455.50822833641354</v>
      </c>
      <c r="FK66" s="60">
        <f t="shared" si="48"/>
        <v>261.14722581688039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224.90519999999995</v>
      </c>
      <c r="P67" s="14">
        <f t="shared" si="33"/>
        <v>55.17963460003309</v>
      </c>
      <c r="Q67" s="22">
        <f t="shared" ref="Q67:Q98" si="54">(O67+P67)*0.475*44/12</f>
        <v>487.81442026172425</v>
      </c>
      <c r="R67" s="60">
        <f t="shared" ref="R67:R130" si="55">Q67+(I67+J67)*44/12</f>
        <v>781.14775359505757</v>
      </c>
      <c r="S67" s="60">
        <f ca="1">AVERAGE(OFFSET($R$3,0,0,'Données projet'!$E$9+1,1))-AVERAGE(OFFSET($H$3,0,0,'Données projet'!$E$9+1,1))</f>
        <v>475.47920969424894</v>
      </c>
      <c r="T67" s="60">
        <f t="shared" si="34"/>
        <v>271.73544012419364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9.1830769230769249</v>
      </c>
      <c r="AI67" s="14">
        <f>IF('Données projet'!$A$62&gt;35,AI66+AH67-AQ66,IF(A67&lt;'Données projet'!$A$62,$AF$205^A67,IF(A67='Données projet'!$A$62,'Données projet'!$B$62,AI66+AH67-AQ66)))</f>
        <v>324.89384615384608</v>
      </c>
      <c r="AJ67" s="14">
        <f>AI67*VLOOKUP('Données projet'!$B$10,Paramètres!$A$1:$I$89,3,0)*VLOOKUP('Données projet'!$B$10,Paramètres!$A$1:$I$89,5,0)</f>
        <v>194.28651999999997</v>
      </c>
      <c r="AK67" s="14">
        <f t="shared" si="35"/>
        <v>48.486407543748122</v>
      </c>
      <c r="AL67" s="22">
        <f t="shared" si="4"/>
        <v>422.82951547202788</v>
      </c>
      <c r="AM67" s="60">
        <f t="shared" si="5"/>
        <v>716.16284880536114</v>
      </c>
      <c r="AN67" s="60">
        <f ca="1">AVERAGE(OFFSET($AM$3,0,0,'Données projet'!$E$10+1,1))-AVERAGE(OFFSET($H$3,0,0,'Données projet'!$E$10+1,1))</f>
        <v>289.24721145176682</v>
      </c>
      <c r="AO67" s="60">
        <f t="shared" si="36"/>
        <v>229.06617320689003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0.88326155501224335</v>
      </c>
      <c r="AW67" s="23">
        <f>EXP(-LN(2)/2)*AW66+(1-EXP(-LN(2)/2))/(LN(2)/2)*AQ67*AT67*VLOOKUP('Données projet'!$B$10,Paramètres!$A$1:$I$89,3,0)*0.475*44/12</f>
        <v>3.3824938672182781E-5</v>
      </c>
      <c r="AX67" s="23">
        <f t="shared" si="6"/>
        <v>0.88329537995091556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7.1061538461538474</v>
      </c>
      <c r="BD67" s="13">
        <f>IF('Données projet'!$A$88&gt;35,BD66+BC67-BL66,IF(A67&lt;'Données projet'!$A$88,$BA$205^A67,IF(A67='Données projet'!$A$88,'Données projet'!$B$88,BD66+BC67-BL66)))</f>
        <v>289.23230769230776</v>
      </c>
      <c r="BE67" s="14">
        <f>BD67*VLOOKUP('Données projet'!$B$11,Paramètres!$A$1:$I$89,3,0)*VLOOKUP('Données projet'!$B$11,Paramètres!$A$1:$I$89,5,0)</f>
        <v>172.96092000000004</v>
      </c>
      <c r="BF67" s="14">
        <f t="shared" si="37"/>
        <v>43.752503266444656</v>
      </c>
      <c r="BG67" s="22">
        <f t="shared" si="7"/>
        <v>377.44254552239113</v>
      </c>
      <c r="BH67" s="60">
        <f t="shared" si="8"/>
        <v>670.77587885572439</v>
      </c>
      <c r="BI67" s="60">
        <f ca="1">AVERAGE(OFFSET($BH$3,0,0,'Données projet'!$E$11+1,1))-AVERAGE(OFFSET($H$3,0,0,'Données projet'!$E$11+1,1))</f>
        <v>287.91374663515506</v>
      </c>
      <c r="BJ67" s="60">
        <f t="shared" si="38"/>
        <v>217.76240797006147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7.2</v>
      </c>
      <c r="BY67" s="13">
        <f>IF('Données projet'!$A$114&gt;35,BY66+BX67-CG66,IF(A67&lt;'Données projet'!$A$114,$BV$205^A67,IF(A67='Données projet'!$A$114,'Données projet'!$B$114,BY66+BX67-CG66)))</f>
        <v>221.79999999999993</v>
      </c>
      <c r="BZ67" s="14">
        <f>BY67*VLOOKUP('Données projet'!$B$12,Paramètres!$A$1:$I$89,3,0)*VLOOKUP('Données projet'!$B$12,Paramètres!$A$1:$I$89,5,0)</f>
        <v>200.68463999999992</v>
      </c>
      <c r="CA67" s="14">
        <f t="shared" si="39"/>
        <v>49.894600936700193</v>
      </c>
      <c r="CB67" s="22">
        <f t="shared" si="10"/>
        <v>436.42551129808606</v>
      </c>
      <c r="CC67" s="60">
        <f t="shared" si="11"/>
        <v>729.75884463141938</v>
      </c>
      <c r="CD67" s="60">
        <f ca="1">AVERAGE(OFFSET($CC$3,0,0,'Données projet'!$E$12+1,1))-AVERAGE(OFFSET($H$3,0,0,'Données projet'!$E$12+1,1))</f>
        <v>428.8489304403459</v>
      </c>
      <c r="CE67" s="60">
        <f t="shared" si="40"/>
        <v>247.01165577562966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10.171794871794864</v>
      </c>
      <c r="CT67" s="13">
        <f>IF('Données projet'!$A$140&gt;35,CT66+CS67-DB66,IF(A67&lt;'Données projet'!$A$140,$CQ$205^A67,IF(A67='Données projet'!$A$140,'Données projet'!$B$140,CT66+CS67-DB66)))</f>
        <v>264.86923076923085</v>
      </c>
      <c r="CU67" s="18">
        <f>CT67*VLOOKUP('Données projet'!$B$13,Paramètres!$A$1:$I$89,3,0)*VLOOKUP('Données projet'!$B$13,Paramètres!$A$1:$I$89,5,0)</f>
        <v>123.95880000000004</v>
      </c>
      <c r="CV67" s="14">
        <f t="shared" si="41"/>
        <v>32.596572974307513</v>
      </c>
      <c r="CW67" s="22">
        <f t="shared" si="13"/>
        <v>272.66727459691896</v>
      </c>
      <c r="CX67" s="60">
        <f t="shared" si="14"/>
        <v>566.00060793025227</v>
      </c>
      <c r="CY67" s="60">
        <f ca="1">AVERAGE(OFFSET($CX$3,0,0,'Données projet'!$E$13+1,1))-AVERAGE(OFFSET($H$3,0,0,'Données projet'!$E$13+1,1))</f>
        <v>284.88646502866419</v>
      </c>
      <c r="CZ67" s="60">
        <f t="shared" si="42"/>
        <v>190.4880882944471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221.79999999999993</v>
      </c>
      <c r="DP67" s="18">
        <f>DO67*VLOOKUP('Données projet'!$B$14,Paramètres!$A$1:$I$89,3,0)*VLOOKUP('Données projet'!$B$14,Paramètres!$A$1:$I$89,5,0)</f>
        <v>238.74551999999991</v>
      </c>
      <c r="DQ67" s="14">
        <f t="shared" si="43"/>
        <v>58.169540730060781</v>
      </c>
      <c r="DR67" s="22">
        <f t="shared" si="16"/>
        <v>517.12706410485578</v>
      </c>
      <c r="DS67" s="60">
        <f t="shared" si="17"/>
        <v>810.46039743818915</v>
      </c>
      <c r="DT67" s="60">
        <f ca="1">AVERAGE(OFFSET($DS$3,0,0,'Données projet'!$E$14+1,1))-AVERAGE(OFFSET($H$3,0,0,'Données projet'!$E$14+1,1))</f>
        <v>502.07782026233912</v>
      </c>
      <c r="DU67" s="60">
        <f t="shared" si="44"/>
        <v>285.83623046025156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4.4000000000000004</v>
      </c>
      <c r="EJ67" s="13">
        <f>IF('Données projet'!$A$192&gt;35,EJ66+EI67-ER66,IF(A67&lt;'Données projet'!$A$192,$EG$205^A67,IF(A67='Données projet'!$A$192,'Données projet'!$B$192,EJ66+EI67-ER66)))</f>
        <v>250.59999999999988</v>
      </c>
      <c r="EK67" s="18">
        <f>EJ67*VLOOKUP('Données projet'!$B$15,Paramètres!$A$1:$I$89,3,0)*VLOOKUP('Données projet'!$B$15,Paramètres!$A$1:$I$89,5,0)</f>
        <v>218.92415999999994</v>
      </c>
      <c r="EL67" s="14">
        <f t="shared" si="45"/>
        <v>53.880990541091087</v>
      </c>
      <c r="EM67" s="22">
        <f t="shared" si="19"/>
        <v>475.13563719240022</v>
      </c>
      <c r="EN67" s="60">
        <f t="shared" si="20"/>
        <v>768.46897052573354</v>
      </c>
      <c r="EO67" s="60">
        <f ca="1">AVERAGE(OFFSET($EN$3,0,0,'Données projet'!$E$15+1,1))-AVERAGE(OFFSET($H$3,0,0,'Données projet'!$E$15+1,1))</f>
        <v>339.58437495284466</v>
      </c>
      <c r="EP67" s="60">
        <f t="shared" si="46"/>
        <v>371.26234252426531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7.2</v>
      </c>
      <c r="FE67" s="13">
        <f>IF('Données projet'!$A$218&gt;35,FE66+FD67-FM66,IF(A67&lt;'Données projet'!$A$218,$FB$205^A67,IF(A67='Données projet'!$A$218,'Données projet'!$B$218,FE66+FD67-FM66)))</f>
        <v>221.79999999999993</v>
      </c>
      <c r="FF67" s="18">
        <f>FE67*VLOOKUP('Données projet'!$B$16,Paramètres!$A$1:$I$89,3,0)*VLOOKUP('Données projet'!$B$16,Paramètres!$A$1:$I$89,5,0)</f>
        <v>214.52495999999994</v>
      </c>
      <c r="FG67" s="14">
        <f t="shared" si="47"/>
        <v>52.923173099085716</v>
      </c>
      <c r="FH67" s="22">
        <f t="shared" si="22"/>
        <v>465.80549848090754</v>
      </c>
      <c r="FI67" s="60">
        <f t="shared" si="23"/>
        <v>759.1388318142408</v>
      </c>
      <c r="FJ67" s="60">
        <f ca="1">AVERAGE(OFFSET($FI$3,0,0,'Données projet'!$E$16+1,1))-AVERAGE(OFFSET($H$3,0,0,'Données projet'!$E$16+1,1))</f>
        <v>455.50822833641354</v>
      </c>
      <c r="FK67" s="60">
        <f t="shared" si="48"/>
        <v>261.14722581688039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232.2059999999999</v>
      </c>
      <c r="P68" s="14">
        <f t="shared" si="33"/>
        <v>56.759404991217522</v>
      </c>
      <c r="Q68" s="22">
        <f t="shared" si="54"/>
        <v>503.281413693037</v>
      </c>
      <c r="R68" s="60">
        <f t="shared" si="55"/>
        <v>796.61474702637031</v>
      </c>
      <c r="S68" s="60">
        <f ca="1">AVERAGE(OFFSET($R$3,0,0,'Données projet'!$E$9+1,1))-AVERAGE(OFFSET($H$3,0,0,'Données projet'!$E$9+1,1))</f>
        <v>475.47920969424894</v>
      </c>
      <c r="T68" s="60">
        <f t="shared" si="34"/>
        <v>271.73544012419364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9.1830769230769249</v>
      </c>
      <c r="AI68" s="14">
        <f>IF('Données projet'!$A$62&gt;35,AI67+AH68-AQ67,IF(A68&lt;'Données projet'!$A$62,$AF$205^A68,IF(A68='Données projet'!$A$62,'Données projet'!$B$62,AI67+AH68-AQ67)))</f>
        <v>334.07692307692298</v>
      </c>
      <c r="AJ68" s="14">
        <f>AI68*VLOOKUP('Données projet'!$B$10,Paramètres!$A$1:$I$89,3,0)*VLOOKUP('Données projet'!$B$10,Paramètres!$A$1:$I$89,5,0)</f>
        <v>199.77799999999996</v>
      </c>
      <c r="AK68" s="14">
        <f t="shared" si="35"/>
        <v>49.695375691492842</v>
      </c>
      <c r="AL68" s="22">
        <f t="shared" ref="AL68:AL131" si="58">(AJ68+AK68)*0.475*44/12</f>
        <v>434.4994626626833</v>
      </c>
      <c r="AM68" s="60">
        <f t="shared" ref="AM68:AM131" si="59">AL68+(AD68+AE68)*44/12</f>
        <v>727.83279599601656</v>
      </c>
      <c r="AN68" s="60">
        <f ca="1">AVERAGE(OFFSET($AM$3,0,0,'Données projet'!$E$10+1,1))-AVERAGE(OFFSET($H$3,0,0,'Données projet'!$E$10+1,1))</f>
        <v>289.24721145176682</v>
      </c>
      <c r="AO68" s="60">
        <f t="shared" si="36"/>
        <v>229.06617320689003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0.85910872134172711</v>
      </c>
      <c r="AW68" s="23">
        <f>EXP(-LN(2)/2)*AW67+(1-EXP(-LN(2)/2))/(LN(2)/2)*AQ68*AT68*VLOOKUP('Données projet'!$B$10,Paramètres!$A$1:$I$89,3,0)*0.475*44/12</f>
        <v>2.391784350831954E-5</v>
      </c>
      <c r="AX68" s="23">
        <f t="shared" ref="AX68:AX131" si="60">SUM(AU68:AW68)</f>
        <v>0.85913263918523541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296.33846153846156</v>
      </c>
      <c r="BB68" s="13">
        <f>VLOOKUP(A68,'Données projet'!$A$87:$I$107,9,0)</f>
        <v>7.1061538461538474</v>
      </c>
      <c r="BC68" s="13">
        <f t="array" ref="BC68">INDEX(BB:BB,MIN(IF(ISNUMBER(BB68:BB264),ROW(BB68:BB264),"")))</f>
        <v>7.1061538461538474</v>
      </c>
      <c r="BD68" s="13">
        <f>IF('Données projet'!$A$88&gt;35,BD67+BC68-BL67,IF(A68&lt;'Données projet'!$A$88,$BA$205^A68,IF(A68='Données projet'!$A$88,'Données projet'!$B$88,BD67+BC68-BL67)))</f>
        <v>296.33846153846162</v>
      </c>
      <c r="BE68" s="14">
        <f>BD68*VLOOKUP('Données projet'!$B$11,Paramètres!$A$1:$I$89,3,0)*VLOOKUP('Données projet'!$B$11,Paramètres!$A$1:$I$89,5,0)</f>
        <v>177.21040000000008</v>
      </c>
      <c r="BF68" s="14">
        <f t="shared" si="37"/>
        <v>44.70098851248742</v>
      </c>
      <c r="BG68" s="22">
        <f t="shared" ref="BG68:BG131" si="61">(BE68+BF68)*0.475*44/12</f>
        <v>386.49566832591569</v>
      </c>
      <c r="BH68" s="60">
        <f t="shared" ref="BH68:BH131" si="62">BG68+(AY68+AZ68)*44/12</f>
        <v>679.829001659249</v>
      </c>
      <c r="BI68" s="60">
        <f ca="1">AVERAGE(OFFSET($BH$3,0,0,'Données projet'!$E$11+1,1))-AVERAGE(OFFSET($H$3,0,0,'Données projet'!$E$11+1,1))</f>
        <v>287.91374663515506</v>
      </c>
      <c r="BJ68" s="60">
        <f t="shared" si="38"/>
        <v>217.76240797006147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229</v>
      </c>
      <c r="BW68" s="13">
        <f>VLOOKUP(A68,'Données projet'!$A$113:$I$133,9,0)</f>
        <v>7.2</v>
      </c>
      <c r="BX68" s="13">
        <f t="array" ref="BX68">INDEX(BW:BW,MIN(IF(ISNUMBER(BW68:BW264),ROW(BW68:BW264),"")))</f>
        <v>7.2</v>
      </c>
      <c r="BY68" s="13">
        <f>IF('Données projet'!$A$114&gt;35,BY67+BX68-CG67,IF(A68&lt;'Données projet'!$A$114,$BV$205^A68,IF(A68='Données projet'!$A$114,'Données projet'!$B$114,BY67+BX68-CG67)))</f>
        <v>228.99999999999991</v>
      </c>
      <c r="BZ68" s="14">
        <f>BY68*VLOOKUP('Données projet'!$B$12,Paramètres!$A$1:$I$89,3,0)*VLOOKUP('Données projet'!$B$12,Paramètres!$A$1:$I$89,5,0)</f>
        <v>207.19919999999991</v>
      </c>
      <c r="CA68" s="14">
        <f t="shared" si="39"/>
        <v>51.3230629736655</v>
      </c>
      <c r="CB68" s="22">
        <f t="shared" ref="CB68:CB131" si="64">(BZ68+CA68)*0.475*44/12</f>
        <v>450.25960801246725</v>
      </c>
      <c r="CC68" s="60">
        <f t="shared" ref="CC68:CC131" si="65">CB68+(BT68+BU68)*44/12</f>
        <v>743.59294134580057</v>
      </c>
      <c r="CD68" s="60">
        <f ca="1">AVERAGE(OFFSET($CC$3,0,0,'Données projet'!$E$12+1,1))-AVERAGE(OFFSET($H$3,0,0,'Données projet'!$E$12+1,1))</f>
        <v>428.8489304403459</v>
      </c>
      <c r="CE68" s="60">
        <f t="shared" si="40"/>
        <v>247.01165577562966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10.171794871794864</v>
      </c>
      <c r="CT68" s="13">
        <f>IF('Données projet'!$A$140&gt;35,CT67+CS68-DB67,IF(A68&lt;'Données projet'!$A$140,$CQ$205^A68,IF(A68='Données projet'!$A$140,'Données projet'!$B$140,CT67+CS68-DB67)))</f>
        <v>275.04102564102573</v>
      </c>
      <c r="CU68" s="18">
        <f>CT68*VLOOKUP('Données projet'!$B$13,Paramètres!$A$1:$I$89,3,0)*VLOOKUP('Données projet'!$B$13,Paramètres!$A$1:$I$89,5,0)</f>
        <v>128.71920000000006</v>
      </c>
      <c r="CV68" s="14">
        <f t="shared" si="41"/>
        <v>33.700233730079567</v>
      </c>
      <c r="CW68" s="22">
        <f t="shared" ref="CW68:CW131" si="67">(CU68+CV68)*0.475*44/12</f>
        <v>282.88051374655532</v>
      </c>
      <c r="CX68" s="60">
        <f t="shared" ref="CX68:CX131" si="68">CW68+(CO68+CP68)*44/12</f>
        <v>576.21384707988864</v>
      </c>
      <c r="CY68" s="60">
        <f ca="1">AVERAGE(OFFSET($CX$3,0,0,'Données projet'!$E$13+1,1))-AVERAGE(OFFSET($H$3,0,0,'Données projet'!$E$13+1,1))</f>
        <v>284.88646502866419</v>
      </c>
      <c r="CZ68" s="60">
        <f t="shared" si="42"/>
        <v>190.4880882944471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228.99999999999991</v>
      </c>
      <c r="DP68" s="18">
        <f>DO68*VLOOKUP('Données projet'!$B$14,Paramètres!$A$1:$I$89,3,0)*VLOOKUP('Données projet'!$B$14,Paramètres!$A$1:$I$89,5,0)</f>
        <v>246.49559999999991</v>
      </c>
      <c r="DQ68" s="14">
        <f t="shared" si="43"/>
        <v>59.834910912017278</v>
      </c>
      <c r="DR68" s="22">
        <f t="shared" ref="DR68:DR131" si="70">(DP68+DQ68)*0.475*44/12</f>
        <v>533.52563983842992</v>
      </c>
      <c r="DS68" s="60">
        <f t="shared" ref="DS68:DS131" si="71">DR68+(DJ68+DK68)*44/12</f>
        <v>826.85897317176318</v>
      </c>
      <c r="DT68" s="60">
        <f ca="1">AVERAGE(OFFSET($DS$3,0,0,'Données projet'!$E$14+1,1))-AVERAGE(OFFSET($H$3,0,0,'Données projet'!$E$14+1,1))</f>
        <v>502.07782026233912</v>
      </c>
      <c r="DU68" s="60">
        <f t="shared" si="44"/>
        <v>285.83623046025156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255</v>
      </c>
      <c r="EH68" s="13">
        <f>VLOOKUP(A68,'Données projet'!$A$191:$I$211,9,0)</f>
        <v>4.4000000000000004</v>
      </c>
      <c r="EI68" s="13">
        <f t="array" ref="EI68">INDEX(EH:EH,MIN(IF(ISNUMBER(EH68:EH264),ROW(EH68:EH264),"")))</f>
        <v>4.4000000000000004</v>
      </c>
      <c r="EJ68" s="13">
        <f>IF('Données projet'!$A$192&gt;35,EJ67+EI68-ER67,IF(A68&lt;'Données projet'!$A$192,$EG$205^A68,IF(A68='Données projet'!$A$192,'Données projet'!$B$192,EJ67+EI68-ER67)))</f>
        <v>254.99999999999989</v>
      </c>
      <c r="EK68" s="18">
        <f>EJ68*VLOOKUP('Données projet'!$B$15,Paramètres!$A$1:$I$89,3,0)*VLOOKUP('Données projet'!$B$15,Paramètres!$A$1:$I$89,5,0)</f>
        <v>222.76799999999994</v>
      </c>
      <c r="EL68" s="14">
        <f t="shared" si="45"/>
        <v>54.716058356609508</v>
      </c>
      <c r="EM68" s="22">
        <f t="shared" ref="EM68:EM131" si="73">(EK68+EL68)*0.475*44/12</f>
        <v>483.28473497109485</v>
      </c>
      <c r="EN68" s="60">
        <f t="shared" ref="EN68:EN131" si="74">EM68+(EE68+EF68)*44/12</f>
        <v>776.61806830442811</v>
      </c>
      <c r="EO68" s="60">
        <f ca="1">AVERAGE(OFFSET($EN$3,0,0,'Données projet'!$E$15+1,1))-AVERAGE(OFFSET($H$3,0,0,'Données projet'!$E$15+1,1))</f>
        <v>339.58437495284466</v>
      </c>
      <c r="EP68" s="60">
        <f t="shared" si="46"/>
        <v>371.26234252426531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229</v>
      </c>
      <c r="FC68" s="13">
        <f>VLOOKUP(A68,'Données projet'!$A$217:$I$237,9,0)</f>
        <v>7.2</v>
      </c>
      <c r="FD68" s="13">
        <f t="array" ref="FD68">INDEX(FC:FC,MIN(IF(ISNUMBER(FC68:FC264),ROW(FC68:FC264),"")))</f>
        <v>7.2</v>
      </c>
      <c r="FE68" s="13">
        <f>IF('Données projet'!$A$218&gt;35,FE67+FD68-FM67,IF(A68&lt;'Données projet'!$A$218,$FB$205^A68,IF(A68='Données projet'!$A$218,'Données projet'!$B$218,FE67+FD68-FM67)))</f>
        <v>228.99999999999991</v>
      </c>
      <c r="FF68" s="18">
        <f>FE68*VLOOKUP('Données projet'!$B$16,Paramètres!$A$1:$I$89,3,0)*VLOOKUP('Données projet'!$B$16,Paramètres!$A$1:$I$89,5,0)</f>
        <v>221.48879999999991</v>
      </c>
      <c r="FG68" s="14">
        <f t="shared" si="47"/>
        <v>54.43834191952984</v>
      </c>
      <c r="FH68" s="22">
        <f t="shared" ref="FH68:FH131" si="76">(FF68+FG68)*0.475*44/12</f>
        <v>480.57310550984766</v>
      </c>
      <c r="FI68" s="60">
        <f t="shared" ref="FI68:FI131" si="77">FH68+(EZ68+FA68)*44/12</f>
        <v>773.90643884318092</v>
      </c>
      <c r="FJ68" s="60">
        <f ca="1">AVERAGE(OFFSET($FI$3,0,0,'Données projet'!$E$16+1,1))-AVERAGE(OFFSET($H$3,0,0,'Données projet'!$E$16+1,1))</f>
        <v>455.50822833641354</v>
      </c>
      <c r="FK68" s="60">
        <f t="shared" si="48"/>
        <v>261.14722581688039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239.10119999999995</v>
      </c>
      <c r="P69" s="14">
        <f t="shared" ref="P69:P132" si="87">EXP(-1.0587+0.8836*LN(O69)+0.284)</f>
        <v>58.246107075777331</v>
      </c>
      <c r="Q69" s="22">
        <f t="shared" si="54"/>
        <v>517.87989315697871</v>
      </c>
      <c r="R69" s="60">
        <f t="shared" si="55"/>
        <v>811.21322649031208</v>
      </c>
      <c r="S69" s="60">
        <f ca="1">AVERAGE(OFFSET($R$3,0,0,'Données projet'!$E$9+1,1))-AVERAGE(OFFSET($H$3,0,0,'Données projet'!$E$9+1,1))</f>
        <v>475.47920969424894</v>
      </c>
      <c r="T69" s="60">
        <f t="shared" ref="T69:T132" si="88">$T$3</f>
        <v>271.73544012419364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9.1830769230769249</v>
      </c>
      <c r="AI69" s="14">
        <f>IF('Données projet'!$A$62&gt;35,AI68+AH69-AQ68,IF(A69&lt;'Données projet'!$A$62,$AF$205^A69,IF(A69='Données projet'!$A$62,'Données projet'!$B$62,AI68+AH69-AQ68)))</f>
        <v>343.25999999999988</v>
      </c>
      <c r="AJ69" s="14">
        <f>AI69*VLOOKUP('Données projet'!$B$10,Paramètres!$A$1:$I$89,3,0)*VLOOKUP('Données projet'!$B$10,Paramètres!$A$1:$I$89,5,0)</f>
        <v>205.26947999999996</v>
      </c>
      <c r="AK69" s="14">
        <f t="shared" ref="AK69:AK132" si="89">EXP(-1.0587+0.8836*LN(AJ69)+0.284)</f>
        <v>50.900481301079942</v>
      </c>
      <c r="AL69" s="22">
        <f t="shared" si="58"/>
        <v>446.16268259938084</v>
      </c>
      <c r="AM69" s="60">
        <f t="shared" si="59"/>
        <v>739.49601593271416</v>
      </c>
      <c r="AN69" s="60">
        <f ca="1">AVERAGE(OFFSET($AM$3,0,0,'Données projet'!$E$10+1,1))-AVERAGE(OFFSET($H$3,0,0,'Données projet'!$E$10+1,1))</f>
        <v>289.24721145176682</v>
      </c>
      <c r="AO69" s="60">
        <f t="shared" ref="AO69:AO132" si="90">$AO$3</f>
        <v>229.06617320689003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0.8356163481780734</v>
      </c>
      <c r="AW69" s="23">
        <f>EXP(-LN(2)/2)*AW68+(1-EXP(-LN(2)/2))/(LN(2)/2)*AQ69*AT69*VLOOKUP('Données projet'!$B$10,Paramètres!$A$1:$I$89,3,0)*0.475*44/12</f>
        <v>1.6912469336091391E-5</v>
      </c>
      <c r="AX69" s="23">
        <f t="shared" si="60"/>
        <v>0.8356332606474095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7.3692307692307626</v>
      </c>
      <c r="BD69" s="13">
        <f>IF('Données projet'!$A$88&gt;35,BD68+BC69-BL68,IF(A69&lt;'Données projet'!$A$88,$BA$205^A69,IF(A69='Données projet'!$A$88,'Données projet'!$B$88,BD68+BC69-BL68)))</f>
        <v>303.70769230769235</v>
      </c>
      <c r="BE69" s="14">
        <f>BD69*VLOOKUP('Données projet'!$B$11,Paramètres!$A$1:$I$89,3,0)*VLOOKUP('Données projet'!$B$11,Paramètres!$A$1:$I$89,5,0)</f>
        <v>181.61720000000003</v>
      </c>
      <c r="BF69" s="14">
        <f t="shared" ref="BF69:BF132" si="91">EXP(-1.0587+0.8836*LN(BE69)+0.284)</f>
        <v>45.681795861425101</v>
      </c>
      <c r="BG69" s="22">
        <f t="shared" si="61"/>
        <v>395.87908445864872</v>
      </c>
      <c r="BH69" s="60">
        <f t="shared" si="62"/>
        <v>689.21241779198203</v>
      </c>
      <c r="BI69" s="60">
        <f ca="1">AVERAGE(OFFSET($BH$3,0,0,'Données projet'!$E$11+1,1))-AVERAGE(OFFSET($H$3,0,0,'Données projet'!$E$11+1,1))</f>
        <v>287.91374663515506</v>
      </c>
      <c r="BJ69" s="60">
        <f t="shared" ref="BJ69:BJ132" si="92">$BJ$3</f>
        <v>217.76240797006147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6.8</v>
      </c>
      <c r="BY69" s="13">
        <f>IF('Données projet'!$A$114&gt;35,BY68+BX69-CG68,IF(A69&lt;'Données projet'!$A$114,$BV$205^A69,IF(A69='Données projet'!$A$114,'Données projet'!$B$114,BY68+BX69-CG68)))</f>
        <v>235.79999999999993</v>
      </c>
      <c r="BZ69" s="14">
        <f>BY69*VLOOKUP('Données projet'!$B$12,Paramètres!$A$1:$I$89,3,0)*VLOOKUP('Données projet'!$B$12,Paramètres!$A$1:$I$89,5,0)</f>
        <v>213.35183999999992</v>
      </c>
      <c r="CA69" s="14">
        <f t="shared" ref="CA69:CA132" si="93">EXP(-1.0587+0.8836*LN(BZ69)+0.284)</f>
        <v>52.667370665417188</v>
      </c>
      <c r="CB69" s="22">
        <f t="shared" si="64"/>
        <v>463.31679190893482</v>
      </c>
      <c r="CC69" s="60">
        <f t="shared" si="65"/>
        <v>756.65012524226813</v>
      </c>
      <c r="CD69" s="60">
        <f ca="1">AVERAGE(OFFSET($CC$3,0,0,'Données projet'!$E$12+1,1))-AVERAGE(OFFSET($H$3,0,0,'Données projet'!$E$12+1,1))</f>
        <v>428.8489304403459</v>
      </c>
      <c r="CE69" s="60">
        <f t="shared" ref="CE69:CE132" si="94">$CE$3</f>
        <v>247.01165577562966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10.171794871794864</v>
      </c>
      <c r="CT69" s="13">
        <f>IF('Données projet'!$A$140&gt;35,CT68+CS69-DB68,IF(A69&lt;'Données projet'!$A$140,$CQ$205^A69,IF(A69='Données projet'!$A$140,'Données projet'!$B$140,CT68+CS69-DB68)))</f>
        <v>285.2128205128206</v>
      </c>
      <c r="CU69" s="18">
        <f>CT69*VLOOKUP('Données projet'!$B$13,Paramètres!$A$1:$I$89,3,0)*VLOOKUP('Données projet'!$B$13,Paramètres!$A$1:$I$89,5,0)</f>
        <v>133.47960000000003</v>
      </c>
      <c r="CV69" s="14">
        <f t="shared" ref="CV69:CV132" si="95">EXP(-1.0587+0.8836*LN(CU69)+0.284)</f>
        <v>34.799152515460499</v>
      </c>
      <c r="CW69" s="22">
        <f t="shared" si="67"/>
        <v>293.08549396442709</v>
      </c>
      <c r="CX69" s="60">
        <f t="shared" si="68"/>
        <v>586.41882729776034</v>
      </c>
      <c r="CY69" s="60">
        <f ca="1">AVERAGE(OFFSET($CX$3,0,0,'Données projet'!$E$13+1,1))-AVERAGE(OFFSET($H$3,0,0,'Données projet'!$E$13+1,1))</f>
        <v>284.88646502866419</v>
      </c>
      <c r="CZ69" s="60">
        <f t="shared" ref="CZ69:CZ132" si="96">$CZ$3</f>
        <v>190.4880882944471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235.79999999999993</v>
      </c>
      <c r="DP69" s="18">
        <f>DO69*VLOOKUP('Données projet'!$B$14,Paramètres!$A$1:$I$89,3,0)*VLOOKUP('Données projet'!$B$14,Paramètres!$A$1:$I$89,5,0)</f>
        <v>253.81511999999992</v>
      </c>
      <c r="DQ69" s="14">
        <f t="shared" ref="DQ69:DQ132" si="97">EXP(-1.0587+0.8836*LN(DP69)+0.284)</f>
        <v>61.402169885153235</v>
      </c>
      <c r="DR69" s="22">
        <f t="shared" si="70"/>
        <v>549.00344654997514</v>
      </c>
      <c r="DS69" s="60">
        <f t="shared" si="71"/>
        <v>842.33677988330851</v>
      </c>
      <c r="DT69" s="60">
        <f ca="1">AVERAGE(OFFSET($DS$3,0,0,'Données projet'!$E$14+1,1))-AVERAGE(OFFSET($H$3,0,0,'Données projet'!$E$14+1,1))</f>
        <v>502.07782026233912</v>
      </c>
      <c r="DU69" s="60">
        <f t="shared" ref="DU69:DU132" si="98">$DU$3</f>
        <v>285.83623046025156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3.8</v>
      </c>
      <c r="EJ69" s="13">
        <f>IF('Données projet'!$A$192&gt;35,EJ68+EI69-ER68,IF(A69&lt;'Données projet'!$A$192,$EG$205^A69,IF(A69='Données projet'!$A$192,'Données projet'!$B$192,EJ68+EI69-ER68)))</f>
        <v>258.7999999999999</v>
      </c>
      <c r="EK69" s="18">
        <f>EJ69*VLOOKUP('Données projet'!$B$15,Paramètres!$A$1:$I$89,3,0)*VLOOKUP('Données projet'!$B$15,Paramètres!$A$1:$I$89,5,0)</f>
        <v>226.08767999999995</v>
      </c>
      <c r="EL69" s="14">
        <f t="shared" ref="EL69:EL132" si="99">EXP(-1.0587+0.8836*LN(EK69)+0.284)</f>
        <v>55.435903662934471</v>
      </c>
      <c r="EM69" s="22">
        <f t="shared" si="73"/>
        <v>490.32024154627743</v>
      </c>
      <c r="EN69" s="60">
        <f t="shared" si="74"/>
        <v>783.65357487961069</v>
      </c>
      <c r="EO69" s="60">
        <f ca="1">AVERAGE(OFFSET($EN$3,0,0,'Données projet'!$E$15+1,1))-AVERAGE(OFFSET($H$3,0,0,'Données projet'!$E$15+1,1))</f>
        <v>339.58437495284466</v>
      </c>
      <c r="EP69" s="60">
        <f t="shared" ref="EP69:EP132" si="100">$EP$3</f>
        <v>371.26234252426531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6.8</v>
      </c>
      <c r="FE69" s="13">
        <f>IF('Données projet'!$A$218&gt;35,FE68+FD69-FM68,IF(A69&lt;'Données projet'!$A$218,$FB$205^A69,IF(A69='Données projet'!$A$218,'Données projet'!$B$218,FE68+FD69-FM68)))</f>
        <v>235.79999999999993</v>
      </c>
      <c r="FF69" s="18">
        <f>FE69*VLOOKUP('Données projet'!$B$16,Paramètres!$A$1:$I$89,3,0)*VLOOKUP('Données projet'!$B$16,Paramètres!$A$1:$I$89,5,0)</f>
        <v>228.06575999999993</v>
      </c>
      <c r="FG69" s="14">
        <f t="shared" ref="FG69:FG132" si="101">EXP(-1.0587+0.8836*LN(FF69)+0.284)</f>
        <v>55.864248276798108</v>
      </c>
      <c r="FH69" s="22">
        <f t="shared" si="76"/>
        <v>494.51143108208981</v>
      </c>
      <c r="FI69" s="60">
        <f t="shared" si="77"/>
        <v>787.84476441542313</v>
      </c>
      <c r="FJ69" s="60">
        <f ca="1">AVERAGE(OFFSET($FI$3,0,0,'Données projet'!$E$16+1,1))-AVERAGE(OFFSET($H$3,0,0,'Données projet'!$E$16+1,1))</f>
        <v>455.50822833641354</v>
      </c>
      <c r="FK69" s="60">
        <f t="shared" ref="FK69:FK132" si="102">$FK$3</f>
        <v>261.14722581688039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245.99639999999997</v>
      </c>
      <c r="P70" s="14">
        <f t="shared" si="87"/>
        <v>59.72782632026442</v>
      </c>
      <c r="Q70" s="22">
        <f t="shared" si="54"/>
        <v>532.46969417446041</v>
      </c>
      <c r="R70" s="60">
        <f t="shared" si="55"/>
        <v>825.80302750779379</v>
      </c>
      <c r="S70" s="60">
        <f ca="1">AVERAGE(OFFSET($R$3,0,0,'Données projet'!$E$9+1,1))-AVERAGE(OFFSET($H$3,0,0,'Données projet'!$E$9+1,1))</f>
        <v>475.47920969424894</v>
      </c>
      <c r="T70" s="60">
        <f t="shared" si="88"/>
        <v>271.73544012419364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9.1830769230769249</v>
      </c>
      <c r="AI70" s="14">
        <f>IF('Données projet'!$A$62&gt;35,AI69+AH70-AQ69,IF(A70&lt;'Données projet'!$A$62,$AF$205^A70,IF(A70='Données projet'!$A$62,'Données projet'!$B$62,AI69+AH70-AQ69)))</f>
        <v>352.44307692307677</v>
      </c>
      <c r="AJ70" s="14">
        <f>AI70*VLOOKUP('Données projet'!$B$10,Paramètres!$A$1:$I$89,3,0)*VLOOKUP('Données projet'!$B$10,Paramètres!$A$1:$I$89,5,0)</f>
        <v>210.76095999999993</v>
      </c>
      <c r="AK70" s="14">
        <f t="shared" si="89"/>
        <v>52.101839581538208</v>
      </c>
      <c r="AL70" s="22">
        <f t="shared" si="58"/>
        <v>457.81937593784551</v>
      </c>
      <c r="AM70" s="60">
        <f t="shared" si="59"/>
        <v>751.15270927117876</v>
      </c>
      <c r="AN70" s="60">
        <f ca="1">AVERAGE(OFFSET($AM$3,0,0,'Données projet'!$E$10+1,1))-AVERAGE(OFFSET($H$3,0,0,'Données projet'!$E$10+1,1))</f>
        <v>289.24721145176682</v>
      </c>
      <c r="AO70" s="60">
        <f t="shared" si="90"/>
        <v>229.06617320689003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0.81276637519399009</v>
      </c>
      <c r="AW70" s="23">
        <f>EXP(-LN(2)/2)*AW69+(1-EXP(-LN(2)/2))/(LN(2)/2)*AQ70*AT70*VLOOKUP('Données projet'!$B$10,Paramètres!$A$1:$I$89,3,0)*0.475*44/12</f>
        <v>1.195892175415977E-5</v>
      </c>
      <c r="AX70" s="23">
        <f t="shared" si="60"/>
        <v>0.81277833411574429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7.3692307692307626</v>
      </c>
      <c r="BD70" s="13">
        <f>IF('Données projet'!$A$88&gt;35,BD69+BC70-BL69,IF(A70&lt;'Données projet'!$A$88,$BA$205^A70,IF(A70='Données projet'!$A$88,'Données projet'!$B$88,BD69+BC70-BL69)))</f>
        <v>311.07692307692309</v>
      </c>
      <c r="BE70" s="14">
        <f>BD70*VLOOKUP('Données projet'!$B$11,Paramètres!$A$1:$I$89,3,0)*VLOOKUP('Données projet'!$B$11,Paramètres!$A$1:$I$89,5,0)</f>
        <v>186.02400000000003</v>
      </c>
      <c r="BF70" s="14">
        <f t="shared" si="91"/>
        <v>46.659836683188253</v>
      </c>
      <c r="BG70" s="22">
        <f t="shared" si="61"/>
        <v>405.25768222321955</v>
      </c>
      <c r="BH70" s="60">
        <f t="shared" si="62"/>
        <v>698.59101555655286</v>
      </c>
      <c r="BI70" s="60">
        <f ca="1">AVERAGE(OFFSET($BH$3,0,0,'Données projet'!$E$11+1,1))-AVERAGE(OFFSET($H$3,0,0,'Données projet'!$E$11+1,1))</f>
        <v>287.91374663515506</v>
      </c>
      <c r="BJ70" s="60">
        <f t="shared" si="92"/>
        <v>217.76240797006147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6.8</v>
      </c>
      <c r="BY70" s="13">
        <f>IF('Données projet'!$A$114&gt;35,BY69+BX70-CG69,IF(A70&lt;'Données projet'!$A$114,$BV$205^A70,IF(A70='Données projet'!$A$114,'Données projet'!$B$114,BY69+BX70-CG69)))</f>
        <v>242.59999999999994</v>
      </c>
      <c r="BZ70" s="14">
        <f>BY70*VLOOKUP('Données projet'!$B$12,Paramètres!$A$1:$I$89,3,0)*VLOOKUP('Données projet'!$B$12,Paramètres!$A$1:$I$89,5,0)</f>
        <v>219.50447999999992</v>
      </c>
      <c r="CA70" s="14">
        <f t="shared" si="93"/>
        <v>54.007172767040167</v>
      </c>
      <c r="CB70" s="22">
        <f t="shared" si="64"/>
        <v>476.36612856926143</v>
      </c>
      <c r="CC70" s="60">
        <f t="shared" si="65"/>
        <v>769.69946190259475</v>
      </c>
      <c r="CD70" s="60">
        <f ca="1">AVERAGE(OFFSET($CC$3,0,0,'Données projet'!$E$12+1,1))-AVERAGE(OFFSET($H$3,0,0,'Données projet'!$E$12+1,1))</f>
        <v>428.8489304403459</v>
      </c>
      <c r="CE70" s="60">
        <f t="shared" si="94"/>
        <v>247.01165577562966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>
        <f>VLOOKUP(A70,'Données projet'!$A$139:$I$159,2,0)</f>
        <v>295.38461538461536</v>
      </c>
      <c r="CR70" s="13">
        <f>VLOOKUP(A70,'Données projet'!$A$139:$I$159,9,0)</f>
        <v>10.171794871794864</v>
      </c>
      <c r="CS70" s="13">
        <f t="array" ref="CS70">INDEX(CR:CR,MIN(IF(ISNUMBER(CR70:CR266),ROW(CR70:CR266),"")))</f>
        <v>10.171794871794864</v>
      </c>
      <c r="CT70" s="13">
        <f>IF('Données projet'!$A$140&gt;35,CT69+CS70-DB69,IF(A70&lt;'Données projet'!$A$140,$CQ$205^A70,IF(A70='Données projet'!$A$140,'Données projet'!$B$140,CT69+CS70-DB69)))</f>
        <v>295.38461538461547</v>
      </c>
      <c r="CU70" s="18">
        <f>CT70*VLOOKUP('Données projet'!$B$13,Paramètres!$A$1:$I$89,3,0)*VLOOKUP('Données projet'!$B$13,Paramètres!$A$1:$I$89,5,0)</f>
        <v>138.24000000000004</v>
      </c>
      <c r="CV70" s="14">
        <f t="shared" si="95"/>
        <v>35.893517822631601</v>
      </c>
      <c r="CW70" s="22">
        <f t="shared" si="67"/>
        <v>303.28254354108338</v>
      </c>
      <c r="CX70" s="60">
        <f t="shared" si="68"/>
        <v>596.6158768744167</v>
      </c>
      <c r="CY70" s="60">
        <f ca="1">AVERAGE(OFFSET($CX$3,0,0,'Données projet'!$E$13+1,1))-AVERAGE(OFFSET($H$3,0,0,'Données projet'!$E$13+1,1))</f>
        <v>284.88646502866419</v>
      </c>
      <c r="CZ70" s="60">
        <f t="shared" si="96"/>
        <v>190.4880882944471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242.59999999999994</v>
      </c>
      <c r="DP70" s="18">
        <f>DO70*VLOOKUP('Données projet'!$B$14,Paramètres!$A$1:$I$89,3,0)*VLOOKUP('Données projet'!$B$14,Paramètres!$A$1:$I$89,5,0)</f>
        <v>261.13463999999993</v>
      </c>
      <c r="DQ70" s="14">
        <f t="shared" si="97"/>
        <v>62.964176023241265</v>
      </c>
      <c r="DR70" s="22">
        <f t="shared" si="70"/>
        <v>564.47210457381163</v>
      </c>
      <c r="DS70" s="60">
        <f t="shared" si="71"/>
        <v>857.80543790714501</v>
      </c>
      <c r="DT70" s="60">
        <f ca="1">AVERAGE(OFFSET($DS$3,0,0,'Données projet'!$E$14+1,1))-AVERAGE(OFFSET($H$3,0,0,'Données projet'!$E$14+1,1))</f>
        <v>502.07782026233912</v>
      </c>
      <c r="DU70" s="60">
        <f t="shared" si="98"/>
        <v>285.83623046025156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3.8</v>
      </c>
      <c r="EJ70" s="13">
        <f>IF('Données projet'!$A$192&gt;35,EJ69+EI70-ER69,IF(A70&lt;'Données projet'!$A$192,$EG$205^A70,IF(A70='Données projet'!$A$192,'Données projet'!$B$192,EJ69+EI70-ER69)))</f>
        <v>262.59999999999991</v>
      </c>
      <c r="EK70" s="18">
        <f>EJ70*VLOOKUP('Données projet'!$B$15,Paramètres!$A$1:$I$89,3,0)*VLOOKUP('Données projet'!$B$15,Paramètres!$A$1:$I$89,5,0)</f>
        <v>229.40735999999993</v>
      </c>
      <c r="EL70" s="14">
        <f t="shared" si="99"/>
        <v>56.15451967202349</v>
      </c>
      <c r="EM70" s="22">
        <f t="shared" si="73"/>
        <v>497.35360709544074</v>
      </c>
      <c r="EN70" s="60">
        <f t="shared" si="74"/>
        <v>790.68694042877405</v>
      </c>
      <c r="EO70" s="60">
        <f ca="1">AVERAGE(OFFSET($EN$3,0,0,'Données projet'!$E$15+1,1))-AVERAGE(OFFSET($H$3,0,0,'Données projet'!$E$15+1,1))</f>
        <v>339.58437495284466</v>
      </c>
      <c r="EP70" s="60">
        <f t="shared" si="100"/>
        <v>371.26234252426531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6.8</v>
      </c>
      <c r="FE70" s="13">
        <f>IF('Données projet'!$A$218&gt;35,FE69+FD70-FM69,IF(A70&lt;'Données projet'!$A$218,$FB$205^A70,IF(A70='Données projet'!$A$218,'Données projet'!$B$218,FE69+FD70-FM69)))</f>
        <v>242.59999999999994</v>
      </c>
      <c r="FF70" s="18">
        <f>FE70*VLOOKUP('Données projet'!$B$16,Paramètres!$A$1:$I$89,3,0)*VLOOKUP('Données projet'!$B$16,Paramètres!$A$1:$I$89,5,0)</f>
        <v>234.64271999999994</v>
      </c>
      <c r="FG70" s="14">
        <f t="shared" si="101"/>
        <v>57.285375557336316</v>
      </c>
      <c r="FH70" s="22">
        <f t="shared" si="76"/>
        <v>508.44143309569387</v>
      </c>
      <c r="FI70" s="60">
        <f t="shared" si="77"/>
        <v>801.77476642902718</v>
      </c>
      <c r="FJ70" s="60">
        <f ca="1">AVERAGE(OFFSET($FI$3,0,0,'Données projet'!$E$16+1,1))-AVERAGE(OFFSET($H$3,0,0,'Données projet'!$E$16+1,1))</f>
        <v>455.50822833641354</v>
      </c>
      <c r="FK70" s="60">
        <f t="shared" si="102"/>
        <v>261.14722581688039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252.89159999999998</v>
      </c>
      <c r="P71" s="14">
        <f t="shared" si="87"/>
        <v>61.204718436590312</v>
      </c>
      <c r="Q71" s="22">
        <f t="shared" si="54"/>
        <v>547.05108794372802</v>
      </c>
      <c r="R71" s="60">
        <f t="shared" si="55"/>
        <v>840.38442127706139</v>
      </c>
      <c r="S71" s="60">
        <f ca="1">AVERAGE(OFFSET($R$3,0,0,'Données projet'!$E$9+1,1))-AVERAGE(OFFSET($H$3,0,0,'Données projet'!$E$9+1,1))</f>
        <v>475.47920969424894</v>
      </c>
      <c r="T71" s="60">
        <f t="shared" si="88"/>
        <v>271.73544012419364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9.1830769230769249</v>
      </c>
      <c r="AI71" s="14">
        <f>IF('Données projet'!$A$62&gt;35,AI70+AH71-AQ70,IF(A71&lt;'Données projet'!$A$62,$AF$205^A71,IF(A71='Données projet'!$A$62,'Données projet'!$B$62,AI70+AH71-AQ70)))</f>
        <v>361.62615384615367</v>
      </c>
      <c r="AJ71" s="14">
        <f>AI71*VLOOKUP('Données projet'!$B$10,Paramètres!$A$1:$I$89,3,0)*VLOOKUP('Données projet'!$B$10,Paramètres!$A$1:$I$89,5,0)</f>
        <v>216.25243999999989</v>
      </c>
      <c r="AK71" s="14">
        <f t="shared" si="89"/>
        <v>53.299559396285737</v>
      </c>
      <c r="AL71" s="22">
        <f t="shared" si="58"/>
        <v>469.46973228186403</v>
      </c>
      <c r="AM71" s="60">
        <f t="shared" si="59"/>
        <v>762.80306561519728</v>
      </c>
      <c r="AN71" s="60">
        <f ca="1">AVERAGE(OFFSET($AM$3,0,0,'Données projet'!$E$10+1,1))-AVERAGE(OFFSET($H$3,0,0,'Données projet'!$E$10+1,1))</f>
        <v>289.24721145176682</v>
      </c>
      <c r="AO71" s="60">
        <f t="shared" si="90"/>
        <v>229.06617320689003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0.79054123592278436</v>
      </c>
      <c r="AW71" s="23">
        <f>EXP(-LN(2)/2)*AW70+(1-EXP(-LN(2)/2))/(LN(2)/2)*AQ71*AT71*VLOOKUP('Données projet'!$B$10,Paramètres!$A$1:$I$89,3,0)*0.475*44/12</f>
        <v>8.4562346680456953E-6</v>
      </c>
      <c r="AX71" s="23">
        <f t="shared" si="60"/>
        <v>0.79054969215745241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7.3692307692307626</v>
      </c>
      <c r="BD71" s="13">
        <f>IF('Données projet'!$A$88&gt;35,BD70+BC71-BL70,IF(A71&lt;'Données projet'!$A$88,$BA$205^A71,IF(A71='Données projet'!$A$88,'Données projet'!$B$88,BD70+BC71-BL70)))</f>
        <v>318.44615384615383</v>
      </c>
      <c r="BE71" s="14">
        <f>BD71*VLOOKUP('Données projet'!$B$11,Paramètres!$A$1:$I$89,3,0)*VLOOKUP('Données projet'!$B$11,Paramètres!$A$1:$I$89,5,0)</f>
        <v>190.43080000000003</v>
      </c>
      <c r="BF71" s="14">
        <f t="shared" si="91"/>
        <v>47.635184056782364</v>
      </c>
      <c r="BG71" s="22">
        <f t="shared" si="61"/>
        <v>414.63158889889593</v>
      </c>
      <c r="BH71" s="60">
        <f t="shared" si="62"/>
        <v>707.96492223222924</v>
      </c>
      <c r="BI71" s="60">
        <f ca="1">AVERAGE(OFFSET($BH$3,0,0,'Données projet'!$E$11+1,1))-AVERAGE(OFFSET($H$3,0,0,'Données projet'!$E$11+1,1))</f>
        <v>287.91374663515506</v>
      </c>
      <c r="BJ71" s="60">
        <f t="shared" si="92"/>
        <v>217.76240797006147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6.8</v>
      </c>
      <c r="BY71" s="13">
        <f>IF('Données projet'!$A$114&gt;35,BY70+BX71-CG70,IF(A71&lt;'Données projet'!$A$114,$BV$205^A71,IF(A71='Données projet'!$A$114,'Données projet'!$B$114,BY70+BX71-CG70)))</f>
        <v>249.39999999999995</v>
      </c>
      <c r="BZ71" s="14">
        <f>BY71*VLOOKUP('Données projet'!$B$12,Paramètres!$A$1:$I$89,3,0)*VLOOKUP('Données projet'!$B$12,Paramètres!$A$1:$I$89,5,0)</f>
        <v>225.65711999999994</v>
      </c>
      <c r="CA71" s="14">
        <f t="shared" si="93"/>
        <v>55.342610076561513</v>
      </c>
      <c r="CB71" s="22">
        <f t="shared" si="64"/>
        <v>489.40786321667775</v>
      </c>
      <c r="CC71" s="60">
        <f t="shared" si="65"/>
        <v>782.74119655001107</v>
      </c>
      <c r="CD71" s="60">
        <f ca="1">AVERAGE(OFFSET($CC$3,0,0,'Données projet'!$E$12+1,1))-AVERAGE(OFFSET($H$3,0,0,'Données projet'!$E$12+1,1))</f>
        <v>428.8489304403459</v>
      </c>
      <c r="CE71" s="60">
        <f t="shared" si="94"/>
        <v>247.01165577562966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10.457692307692307</v>
      </c>
      <c r="CT71" s="13">
        <f>IF('Données projet'!$A$140&gt;35,CT70+CS71-DB70,IF(A71&lt;'Données projet'!$A$140,$CQ$205^A71,IF(A71='Données projet'!$A$140,'Données projet'!$B$140,CT70+CS71-DB70)))</f>
        <v>305.84230769230777</v>
      </c>
      <c r="CU71" s="18">
        <f>CT71*VLOOKUP('Données projet'!$B$13,Paramètres!$A$1:$I$89,3,0)*VLOOKUP('Données projet'!$B$13,Paramètres!$A$1:$I$89,5,0)</f>
        <v>143.13420000000002</v>
      </c>
      <c r="CV71" s="14">
        <f t="shared" si="95"/>
        <v>37.014078899239095</v>
      </c>
      <c r="CW71" s="22">
        <f t="shared" si="67"/>
        <v>313.7582524161748</v>
      </c>
      <c r="CX71" s="60">
        <f t="shared" si="68"/>
        <v>607.09158574950811</v>
      </c>
      <c r="CY71" s="60">
        <f ca="1">AVERAGE(OFFSET($CX$3,0,0,'Données projet'!$E$13+1,1))-AVERAGE(OFFSET($H$3,0,0,'Données projet'!$E$13+1,1))</f>
        <v>284.88646502866419</v>
      </c>
      <c r="CZ71" s="60">
        <f t="shared" si="96"/>
        <v>190.4880882944471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249.39999999999995</v>
      </c>
      <c r="DP71" s="18">
        <f>DO71*VLOOKUP('Données projet'!$B$14,Paramètres!$A$1:$I$89,3,0)*VLOOKUP('Données projet'!$B$14,Paramètres!$A$1:$I$89,5,0)</f>
        <v>268.45415999999994</v>
      </c>
      <c r="DQ71" s="14">
        <f t="shared" si="97"/>
        <v>64.521093475436089</v>
      </c>
      <c r="DR71" s="22">
        <f t="shared" si="70"/>
        <v>579.93189980305101</v>
      </c>
      <c r="DS71" s="60">
        <f t="shared" si="71"/>
        <v>873.26523313638427</v>
      </c>
      <c r="DT71" s="60">
        <f ca="1">AVERAGE(OFFSET($DS$3,0,0,'Données projet'!$E$14+1,1))-AVERAGE(OFFSET($H$3,0,0,'Données projet'!$E$14+1,1))</f>
        <v>502.07782026233912</v>
      </c>
      <c r="DU71" s="60">
        <f t="shared" si="98"/>
        <v>285.83623046025156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3.8</v>
      </c>
      <c r="EJ71" s="13">
        <f>IF('Données projet'!$A$192&gt;35,EJ70+EI71-ER70,IF(A71&lt;'Données projet'!$A$192,$EG$205^A71,IF(A71='Données projet'!$A$192,'Données projet'!$B$192,EJ70+EI71-ER70)))</f>
        <v>266.39999999999992</v>
      </c>
      <c r="EK71" s="18">
        <f>EJ71*VLOOKUP('Données projet'!$B$15,Paramètres!$A$1:$I$89,3,0)*VLOOKUP('Données projet'!$B$15,Paramètres!$A$1:$I$89,5,0)</f>
        <v>232.72703999999996</v>
      </c>
      <c r="EL71" s="14">
        <f t="shared" si="99"/>
        <v>56.871926227931105</v>
      </c>
      <c r="EM71" s="22">
        <f t="shared" si="73"/>
        <v>504.38486618031317</v>
      </c>
      <c r="EN71" s="60">
        <f t="shared" si="74"/>
        <v>797.71819951364648</v>
      </c>
      <c r="EO71" s="60">
        <f ca="1">AVERAGE(OFFSET($EN$3,0,0,'Données projet'!$E$15+1,1))-AVERAGE(OFFSET($H$3,0,0,'Données projet'!$E$15+1,1))</f>
        <v>339.58437495284466</v>
      </c>
      <c r="EP71" s="60">
        <f t="shared" si="100"/>
        <v>371.26234252426531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6.8</v>
      </c>
      <c r="FE71" s="13">
        <f>IF('Données projet'!$A$218&gt;35,FE70+FD71-FM70,IF(A71&lt;'Données projet'!$A$218,$FB$205^A71,IF(A71='Données projet'!$A$218,'Données projet'!$B$218,FE70+FD71-FM70)))</f>
        <v>249.39999999999995</v>
      </c>
      <c r="FF71" s="18">
        <f>FE71*VLOOKUP('Données projet'!$B$16,Paramètres!$A$1:$I$89,3,0)*VLOOKUP('Données projet'!$B$16,Paramètres!$A$1:$I$89,5,0)</f>
        <v>241.21967999999995</v>
      </c>
      <c r="FG71" s="14">
        <f t="shared" si="101"/>
        <v>58.701873105526744</v>
      </c>
      <c r="FH71" s="22">
        <f t="shared" si="76"/>
        <v>522.36337165879229</v>
      </c>
      <c r="FI71" s="60">
        <f t="shared" si="77"/>
        <v>815.69670499212566</v>
      </c>
      <c r="FJ71" s="60">
        <f ca="1">AVERAGE(OFFSET($FI$3,0,0,'Données projet'!$E$16+1,1))-AVERAGE(OFFSET($H$3,0,0,'Données projet'!$E$16+1,1))</f>
        <v>455.50822833641354</v>
      </c>
      <c r="FK71" s="60">
        <f t="shared" si="102"/>
        <v>261.14722581688039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259.78679999999997</v>
      </c>
      <c r="P72" s="14">
        <f t="shared" si="87"/>
        <v>62.676930162260739</v>
      </c>
      <c r="Q72" s="22">
        <f t="shared" si="54"/>
        <v>561.62433003260401</v>
      </c>
      <c r="R72" s="60">
        <f t="shared" si="55"/>
        <v>854.95766336593738</v>
      </c>
      <c r="S72" s="60">
        <f ca="1">AVERAGE(OFFSET($R$3,0,0,'Données projet'!$E$9+1,1))-AVERAGE(OFFSET($H$3,0,0,'Données projet'!$E$9+1,1))</f>
        <v>475.47920969424894</v>
      </c>
      <c r="T72" s="60">
        <f t="shared" si="88"/>
        <v>271.73544012419364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9.1830769230769249</v>
      </c>
      <c r="AI72" s="14">
        <f>IF('Données projet'!$A$62&gt;35,AI71+AH72-AQ71,IF(A72&lt;'Données projet'!$A$62,$AF$205^A72,IF(A72='Données projet'!$A$62,'Données projet'!$B$62,AI71+AH72-AQ71)))</f>
        <v>370.80923076923057</v>
      </c>
      <c r="AJ72" s="14">
        <f>AI72*VLOOKUP('Données projet'!$B$10,Paramètres!$A$1:$I$89,3,0)*VLOOKUP('Données projet'!$B$10,Paramètres!$A$1:$I$89,5,0)</f>
        <v>221.74391999999989</v>
      </c>
      <c r="AK72" s="14">
        <f t="shared" si="89"/>
        <v>54.493743764780973</v>
      </c>
      <c r="AL72" s="22">
        <f t="shared" si="58"/>
        <v>481.11393105699329</v>
      </c>
      <c r="AM72" s="60">
        <f t="shared" si="59"/>
        <v>774.44726439032661</v>
      </c>
      <c r="AN72" s="60">
        <f ca="1">AVERAGE(OFFSET($AM$3,0,0,'Données projet'!$E$10+1,1))-AVERAGE(OFFSET($H$3,0,0,'Données projet'!$E$10+1,1))</f>
        <v>289.24721145176682</v>
      </c>
      <c r="AO72" s="60">
        <f t="shared" si="90"/>
        <v>229.06617320689003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0.76892384425371907</v>
      </c>
      <c r="AW72" s="23">
        <f>EXP(-LN(2)/2)*AW71+(1-EXP(-LN(2)/2))/(LN(2)/2)*AQ72*AT72*VLOOKUP('Données projet'!$B$10,Paramètres!$A$1:$I$89,3,0)*0.475*44/12</f>
        <v>5.9794608770798849E-6</v>
      </c>
      <c r="AX72" s="23">
        <f t="shared" si="60"/>
        <v>0.76892982371459617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7.3692307692307626</v>
      </c>
      <c r="BD72" s="13">
        <f>IF('Données projet'!$A$88&gt;35,BD71+BC72-BL71,IF(A72&lt;'Données projet'!$A$88,$BA$205^A72,IF(A72='Données projet'!$A$88,'Données projet'!$B$88,BD71+BC72-BL71)))</f>
        <v>325.81538461538457</v>
      </c>
      <c r="BE72" s="14">
        <f>BD72*VLOOKUP('Données projet'!$B$11,Paramètres!$A$1:$I$89,3,0)*VLOOKUP('Données projet'!$B$11,Paramètres!$A$1:$I$89,5,0)</f>
        <v>194.83759999999998</v>
      </c>
      <c r="BF72" s="14">
        <f t="shared" si="91"/>
        <v>48.607907485946264</v>
      </c>
      <c r="BG72" s="22">
        <f t="shared" si="61"/>
        <v>424.00092553802301</v>
      </c>
      <c r="BH72" s="60">
        <f t="shared" si="62"/>
        <v>717.33425887135627</v>
      </c>
      <c r="BI72" s="60">
        <f ca="1">AVERAGE(OFFSET($BH$3,0,0,'Données projet'!$E$11+1,1))-AVERAGE(OFFSET($H$3,0,0,'Données projet'!$E$11+1,1))</f>
        <v>287.91374663515506</v>
      </c>
      <c r="BJ72" s="60">
        <f t="shared" si="92"/>
        <v>217.76240797006147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6.8</v>
      </c>
      <c r="BY72" s="13">
        <f>IF('Données projet'!$A$114&gt;35,BY71+BX72-CG71,IF(A72&lt;'Données projet'!$A$114,$BV$205^A72,IF(A72='Données projet'!$A$114,'Données projet'!$B$114,BY71+BX72-CG71)))</f>
        <v>256.19999999999993</v>
      </c>
      <c r="BZ72" s="14">
        <f>BY72*VLOOKUP('Données projet'!$B$12,Paramètres!$A$1:$I$89,3,0)*VLOOKUP('Données projet'!$B$12,Paramètres!$A$1:$I$89,5,0)</f>
        <v>231.80975999999993</v>
      </c>
      <c r="CA72" s="14">
        <f t="shared" si="93"/>
        <v>56.673815277159328</v>
      </c>
      <c r="CB72" s="22">
        <f t="shared" si="64"/>
        <v>502.44222694105241</v>
      </c>
      <c r="CC72" s="60">
        <f t="shared" si="65"/>
        <v>795.77556027438573</v>
      </c>
      <c r="CD72" s="60">
        <f ca="1">AVERAGE(OFFSET($CC$3,0,0,'Données projet'!$E$12+1,1))-AVERAGE(OFFSET($H$3,0,0,'Données projet'!$E$12+1,1))</f>
        <v>428.8489304403459</v>
      </c>
      <c r="CE72" s="60">
        <f t="shared" si="94"/>
        <v>247.01165577562966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10.457692307692307</v>
      </c>
      <c r="CT72" s="13">
        <f>IF('Données projet'!$A$140&gt;35,CT71+CS72-DB71,IF(A72&lt;'Données projet'!$A$140,$CQ$205^A72,IF(A72='Données projet'!$A$140,'Données projet'!$B$140,CT71+CS72-DB71)))</f>
        <v>316.30000000000007</v>
      </c>
      <c r="CU72" s="18">
        <f>CT72*VLOOKUP('Données projet'!$B$13,Paramètres!$A$1:$I$89,3,0)*VLOOKUP('Données projet'!$B$13,Paramètres!$A$1:$I$89,5,0)</f>
        <v>148.02840000000003</v>
      </c>
      <c r="CV72" s="14">
        <f t="shared" si="95"/>
        <v>38.130188005693356</v>
      </c>
      <c r="CW72" s="22">
        <f t="shared" si="67"/>
        <v>324.22620744324928</v>
      </c>
      <c r="CX72" s="60">
        <f t="shared" si="68"/>
        <v>617.55954077658259</v>
      </c>
      <c r="CY72" s="60">
        <f ca="1">AVERAGE(OFFSET($CX$3,0,0,'Données projet'!$E$13+1,1))-AVERAGE(OFFSET($H$3,0,0,'Données projet'!$E$13+1,1))</f>
        <v>284.88646502866419</v>
      </c>
      <c r="CZ72" s="60">
        <f t="shared" si="96"/>
        <v>190.4880882944471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256.19999999999993</v>
      </c>
      <c r="DP72" s="18">
        <f>DO72*VLOOKUP('Données projet'!$B$14,Paramètres!$A$1:$I$89,3,0)*VLOOKUP('Données projet'!$B$14,Paramètres!$A$1:$I$89,5,0)</f>
        <v>275.7736799999999</v>
      </c>
      <c r="DQ72" s="14">
        <f t="shared" si="97"/>
        <v>66.073076930208813</v>
      </c>
      <c r="DR72" s="22">
        <f t="shared" si="70"/>
        <v>595.38310165344672</v>
      </c>
      <c r="DS72" s="60">
        <f t="shared" si="71"/>
        <v>888.71643498678009</v>
      </c>
      <c r="DT72" s="60">
        <f ca="1">AVERAGE(OFFSET($DS$3,0,0,'Données projet'!$E$14+1,1))-AVERAGE(OFFSET($H$3,0,0,'Données projet'!$E$14+1,1))</f>
        <v>502.07782026233912</v>
      </c>
      <c r="DU72" s="60">
        <f t="shared" si="98"/>
        <v>285.83623046025156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3.8</v>
      </c>
      <c r="EJ72" s="13">
        <f>IF('Données projet'!$A$192&gt;35,EJ71+EI72-ER71,IF(A72&lt;'Données projet'!$A$192,$EG$205^A72,IF(A72='Données projet'!$A$192,'Données projet'!$B$192,EJ71+EI72-ER71)))</f>
        <v>270.19999999999993</v>
      </c>
      <c r="EK72" s="18">
        <f>EJ72*VLOOKUP('Données projet'!$B$15,Paramètres!$A$1:$I$89,3,0)*VLOOKUP('Données projet'!$B$15,Paramètres!$A$1:$I$89,5,0)</f>
        <v>236.04671999999999</v>
      </c>
      <c r="EL72" s="14">
        <f t="shared" si="99"/>
        <v>57.588142576078461</v>
      </c>
      <c r="EM72" s="22">
        <f t="shared" si="73"/>
        <v>511.41405232000324</v>
      </c>
      <c r="EN72" s="60">
        <f t="shared" si="74"/>
        <v>804.74738565333655</v>
      </c>
      <c r="EO72" s="60">
        <f ca="1">AVERAGE(OFFSET($EN$3,0,0,'Données projet'!$E$15+1,1))-AVERAGE(OFFSET($H$3,0,0,'Données projet'!$E$15+1,1))</f>
        <v>339.58437495284466</v>
      </c>
      <c r="EP72" s="60">
        <f t="shared" si="100"/>
        <v>371.26234252426531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6.8</v>
      </c>
      <c r="FE72" s="13">
        <f>IF('Données projet'!$A$218&gt;35,FE71+FD72-FM71,IF(A72&lt;'Données projet'!$A$218,$FB$205^A72,IF(A72='Données projet'!$A$218,'Données projet'!$B$218,FE71+FD72-FM71)))</f>
        <v>256.19999999999993</v>
      </c>
      <c r="FF72" s="18">
        <f>FE72*VLOOKUP('Données projet'!$B$16,Paramètres!$A$1:$I$89,3,0)*VLOOKUP('Données projet'!$B$16,Paramètres!$A$1:$I$89,5,0)</f>
        <v>247.79663999999997</v>
      </c>
      <c r="FG72" s="14">
        <f t="shared" si="101"/>
        <v>60.113881658336368</v>
      </c>
      <c r="FH72" s="22">
        <f t="shared" si="76"/>
        <v>536.27749188826908</v>
      </c>
      <c r="FI72" s="60">
        <f t="shared" si="77"/>
        <v>829.61082522160245</v>
      </c>
      <c r="FJ72" s="60">
        <f ca="1">AVERAGE(OFFSET($FI$3,0,0,'Données projet'!$E$16+1,1))-AVERAGE(OFFSET($H$3,0,0,'Données projet'!$E$16+1,1))</f>
        <v>455.50822833641354</v>
      </c>
      <c r="FK72" s="60">
        <f t="shared" si="102"/>
        <v>261.14722581688039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266.68199999999996</v>
      </c>
      <c r="P73" s="14">
        <f t="shared" si="87"/>
        <v>64.144600001897771</v>
      </c>
      <c r="Q73" s="22">
        <f t="shared" si="54"/>
        <v>576.189661669972</v>
      </c>
      <c r="R73" s="60">
        <f t="shared" si="55"/>
        <v>869.52299500330537</v>
      </c>
      <c r="S73" s="60">
        <f ca="1">AVERAGE(OFFSET($R$3,0,0,'Données projet'!$E$9+1,1))-AVERAGE(OFFSET($H$3,0,0,'Données projet'!$E$9+1,1))</f>
        <v>475.47920969424894</v>
      </c>
      <c r="T73" s="60">
        <f t="shared" si="88"/>
        <v>271.73544012419364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379.99230769230769</v>
      </c>
      <c r="AG73" s="13">
        <f>VLOOKUP(A73,'Données projet'!$A$61:$I$81,9,0)</f>
        <v>9.1830769230769249</v>
      </c>
      <c r="AH73" s="13">
        <f t="array" ref="AH73">INDEX(AG:AG,MIN(IF(ISNUMBER(AG73:AG269),ROW(AG73:AG269),"")))</f>
        <v>9.1830769230769249</v>
      </c>
      <c r="AI73" s="14">
        <f>IF('Données projet'!$A$62&gt;35,AI72+AH73-AQ72,IF(A73&lt;'Données projet'!$A$62,$AF$205^A73,IF(A73='Données projet'!$A$62,'Données projet'!$B$62,AI72+AH73-AQ72)))</f>
        <v>379.99230769230746</v>
      </c>
      <c r="AJ73" s="14">
        <f>AI73*VLOOKUP('Données projet'!$B$10,Paramètres!$A$1:$I$89,3,0)*VLOOKUP('Données projet'!$B$10,Paramètres!$A$1:$I$89,5,0)</f>
        <v>227.23539999999988</v>
      </c>
      <c r="AK73" s="14">
        <f t="shared" si="89"/>
        <v>55.684490313081348</v>
      </c>
      <c r="AL73" s="22">
        <f t="shared" si="58"/>
        <v>492.75214229528314</v>
      </c>
      <c r="AM73" s="60">
        <f t="shared" si="59"/>
        <v>786.08547562861645</v>
      </c>
      <c r="AN73" s="60">
        <f ca="1">AVERAGE(OFFSET($AM$3,0,0,'Données projet'!$E$10+1,1))-AVERAGE(OFFSET($H$3,0,0,'Données projet'!$E$10+1,1))</f>
        <v>289.24721145176682</v>
      </c>
      <c r="AO73" s="60">
        <f t="shared" si="90"/>
        <v>229.06617320689003</v>
      </c>
      <c r="AP73" s="16">
        <f>IF(ISNA(VLOOKUP(A73,'Données projet'!$A$61:$I$81,3,0)),0,VLOOKUP(A73,'Données projet'!$A$61:$I$81,3,0))</f>
        <v>7</v>
      </c>
      <c r="AQ73" s="16">
        <f>IF(ISNA(VLOOKUP(A73,'Données projet'!$A$61:$I$81,4,0)),0,VLOOKUP(A73,'Données projet'!$A$61:$I$81,4,0))</f>
        <v>52.669230769230765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0.74789758129665351</v>
      </c>
      <c r="AW73" s="23">
        <f>EXP(-LN(2)/2)*AW72+(1-EXP(-LN(2)/2))/(LN(2)/2)*AQ73*AT73*VLOOKUP('Données projet'!$B$10,Paramètres!$A$1:$I$89,3,0)*0.475*44/12</f>
        <v>4.2281173340228477E-6</v>
      </c>
      <c r="AX73" s="23">
        <f t="shared" si="60"/>
        <v>0.74790180941398754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333.18461538461537</v>
      </c>
      <c r="BB73" s="13">
        <f>VLOOKUP(A73,'Données projet'!$A$87:$I$107,9,0)</f>
        <v>7.3692307692307626</v>
      </c>
      <c r="BC73" s="13">
        <f t="array" ref="BC73">INDEX(BB:BB,MIN(IF(ISNUMBER(BB73:BB269),ROW(BB73:BB269),"")))</f>
        <v>7.3692307692307626</v>
      </c>
      <c r="BD73" s="13">
        <f>IF('Données projet'!$A$88&gt;35,BD72+BC73-BL72,IF(A73&lt;'Données projet'!$A$88,$BA$205^A73,IF(A73='Données projet'!$A$88,'Données projet'!$B$88,BD72+BC73-BL72)))</f>
        <v>333.18461538461531</v>
      </c>
      <c r="BE73" s="14">
        <f>BD73*VLOOKUP('Données projet'!$B$11,Paramètres!$A$1:$I$89,3,0)*VLOOKUP('Données projet'!$B$11,Paramètres!$A$1:$I$89,5,0)</f>
        <v>199.24439999999998</v>
      </c>
      <c r="BF73" s="14">
        <f t="shared" si="91"/>
        <v>49.578073150914477</v>
      </c>
      <c r="BG73" s="22">
        <f t="shared" si="61"/>
        <v>433.36580740450927</v>
      </c>
      <c r="BH73" s="60">
        <f t="shared" si="62"/>
        <v>726.69914073784253</v>
      </c>
      <c r="BI73" s="60">
        <f ca="1">AVERAGE(OFFSET($BH$3,0,0,'Données projet'!$E$11+1,1))-AVERAGE(OFFSET($H$3,0,0,'Données projet'!$E$11+1,1))</f>
        <v>287.91374663515506</v>
      </c>
      <c r="BJ73" s="60">
        <f t="shared" si="92"/>
        <v>217.76240797006147</v>
      </c>
      <c r="BK73" s="16">
        <f>IF(ISNA(VLOOKUP(A73,'Données projet'!$A$87:$I$107,3,0)),0,VLOOKUP(A73,'Données projet'!$A$87:$I$107,3,0))</f>
        <v>3</v>
      </c>
      <c r="BL73" s="16">
        <f>IF(ISNA(VLOOKUP(A73,'Données projet'!$A$87:$I$107,4,0)),0,VLOOKUP(A73,'Données projet'!$A$87:$I$107,4,0))</f>
        <v>62.976923076923079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263</v>
      </c>
      <c r="BW73" s="13">
        <f>VLOOKUP(A73,'Données projet'!$A$113:$I$133,9,0)</f>
        <v>6.8</v>
      </c>
      <c r="BX73" s="13">
        <f t="array" ref="BX73">INDEX(BW:BW,MIN(IF(ISNUMBER(BW73:BW269),ROW(BW73:BW269),"")))</f>
        <v>6.8</v>
      </c>
      <c r="BY73" s="13">
        <f>IF('Données projet'!$A$114&gt;35,BY72+BX73-CG72,IF(A73&lt;'Données projet'!$A$114,$BV$205^A73,IF(A73='Données projet'!$A$114,'Données projet'!$B$114,BY72+BX73-CG72)))</f>
        <v>262.99999999999994</v>
      </c>
      <c r="BZ73" s="14">
        <f>BY73*VLOOKUP('Données projet'!$B$12,Paramètres!$A$1:$I$89,3,0)*VLOOKUP('Données projet'!$B$12,Paramètres!$A$1:$I$89,5,0)</f>
        <v>237.96239999999995</v>
      </c>
      <c r="CA73" s="14">
        <f t="shared" si="93"/>
        <v>58.00091360766335</v>
      </c>
      <c r="CB73" s="22">
        <f t="shared" si="64"/>
        <v>515.4694378666801</v>
      </c>
      <c r="CC73" s="60">
        <f t="shared" si="65"/>
        <v>808.80277120001347</v>
      </c>
      <c r="CD73" s="60">
        <f ca="1">AVERAGE(OFFSET($CC$3,0,0,'Données projet'!$E$12+1,1))-AVERAGE(OFFSET($H$3,0,0,'Données projet'!$E$12+1,1))</f>
        <v>428.8489304403459</v>
      </c>
      <c r="CE73" s="60">
        <f t="shared" si="94"/>
        <v>247.01165577562966</v>
      </c>
      <c r="CF73" s="16">
        <f>IF(ISNA(VLOOKUP(A73,'Données projet'!$A$113:$I$133,3,0)),0,VLOOKUP(A73,'Données projet'!$A$113:$I$133,3,0))</f>
        <v>5</v>
      </c>
      <c r="CG73" s="16">
        <f>IF(ISNA(VLOOKUP(A73,'Données projet'!$A$113:$I$133,4,0)),0,VLOOKUP(A73,'Données projet'!$A$113:$I$133,4,0))</f>
        <v>42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10.457692307692307</v>
      </c>
      <c r="CT73" s="13">
        <f>IF('Données projet'!$A$140&gt;35,CT72+CS73-DB72,IF(A73&lt;'Données projet'!$A$140,$CQ$205^A73,IF(A73='Données projet'!$A$140,'Données projet'!$B$140,CT72+CS73-DB72)))</f>
        <v>326.75769230769237</v>
      </c>
      <c r="CU73" s="18">
        <f>CT73*VLOOKUP('Données projet'!$B$13,Paramètres!$A$1:$I$89,3,0)*VLOOKUP('Données projet'!$B$13,Paramètres!$A$1:$I$89,5,0)</f>
        <v>152.92260000000002</v>
      </c>
      <c r="CV73" s="14">
        <f t="shared" si="95"/>
        <v>39.242009213831587</v>
      </c>
      <c r="CW73" s="22">
        <f t="shared" si="67"/>
        <v>334.68669438075665</v>
      </c>
      <c r="CX73" s="60">
        <f t="shared" si="68"/>
        <v>628.02002771409002</v>
      </c>
      <c r="CY73" s="60">
        <f ca="1">AVERAGE(OFFSET($CX$3,0,0,'Données projet'!$E$13+1,1))-AVERAGE(OFFSET($H$3,0,0,'Données projet'!$E$13+1,1))</f>
        <v>284.88646502866419</v>
      </c>
      <c r="CZ73" s="60">
        <f t="shared" si="96"/>
        <v>190.4880882944471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263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262.99999999999994</v>
      </c>
      <c r="DP73" s="18">
        <f>DO73*VLOOKUP('Données projet'!$B$14,Paramètres!$A$1:$I$89,3,0)*VLOOKUP('Données projet'!$B$14,Paramètres!$A$1:$I$89,5,0)</f>
        <v>283.09319999999991</v>
      </c>
      <c r="DQ73" s="14">
        <f t="shared" si="97"/>
        <v>67.620272397048666</v>
      </c>
      <c r="DR73" s="22">
        <f t="shared" si="70"/>
        <v>610.82596442485954</v>
      </c>
      <c r="DS73" s="60">
        <f t="shared" si="71"/>
        <v>904.15929775819291</v>
      </c>
      <c r="DT73" s="60">
        <f ca="1">AVERAGE(OFFSET($DS$3,0,0,'Données projet'!$E$14+1,1))-AVERAGE(OFFSET($H$3,0,0,'Données projet'!$E$14+1,1))</f>
        <v>502.07782026233912</v>
      </c>
      <c r="DU73" s="60">
        <f t="shared" si="98"/>
        <v>285.83623046025156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42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274</v>
      </c>
      <c r="EH73" s="13">
        <f>VLOOKUP(A73,'Données projet'!$A$191:$I$211,9,0)</f>
        <v>3.8</v>
      </c>
      <c r="EI73" s="13">
        <f t="array" ref="EI73">INDEX(EH:EH,MIN(IF(ISNUMBER(EH73:EH269),ROW(EH73:EH269),"")))</f>
        <v>3.8</v>
      </c>
      <c r="EJ73" s="13">
        <f>IF('Données projet'!$A$192&gt;35,EJ72+EI73-ER72,IF(A73&lt;'Données projet'!$A$192,$EG$205^A73,IF(A73='Données projet'!$A$192,'Données projet'!$B$192,EJ72+EI73-ER72)))</f>
        <v>273.99999999999994</v>
      </c>
      <c r="EK73" s="18">
        <f>EJ73*VLOOKUP('Données projet'!$B$15,Paramètres!$A$1:$I$89,3,0)*VLOOKUP('Données projet'!$B$15,Paramètres!$A$1:$I$89,5,0)</f>
        <v>239.36639999999997</v>
      </c>
      <c r="EL73" s="14">
        <f t="shared" si="99"/>
        <v>58.303187389471979</v>
      </c>
      <c r="EM73" s="22">
        <f t="shared" si="73"/>
        <v>518.44119803666365</v>
      </c>
      <c r="EN73" s="60">
        <f t="shared" si="74"/>
        <v>811.77453136999702</v>
      </c>
      <c r="EO73" s="60">
        <f ca="1">AVERAGE(OFFSET($EN$3,0,0,'Données projet'!$E$15+1,1))-AVERAGE(OFFSET($H$3,0,0,'Données projet'!$E$15+1,1))</f>
        <v>339.58437495284466</v>
      </c>
      <c r="EP73" s="60">
        <f t="shared" si="100"/>
        <v>371.26234252426531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21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263</v>
      </c>
      <c r="FC73" s="13">
        <f>VLOOKUP(A73,'Données projet'!$A$217:$I$237,9,0)</f>
        <v>6.8</v>
      </c>
      <c r="FD73" s="13">
        <f t="array" ref="FD73">INDEX(FC:FC,MIN(IF(ISNUMBER(FC73:FC269),ROW(FC73:FC269),"")))</f>
        <v>6.8</v>
      </c>
      <c r="FE73" s="13">
        <f>IF('Données projet'!$A$218&gt;35,FE72+FD73-FM72,IF(A73&lt;'Données projet'!$A$218,$FB$205^A73,IF(A73='Données projet'!$A$218,'Données projet'!$B$218,FE72+FD73-FM72)))</f>
        <v>262.99999999999994</v>
      </c>
      <c r="FF73" s="18">
        <f>FE73*VLOOKUP('Données projet'!$B$16,Paramètres!$A$1:$I$89,3,0)*VLOOKUP('Données projet'!$B$16,Paramètres!$A$1:$I$89,5,0)</f>
        <v>254.37359999999998</v>
      </c>
      <c r="FG73" s="14">
        <f t="shared" si="101"/>
        <v>61.521534056516209</v>
      </c>
      <c r="FH73" s="22">
        <f t="shared" si="76"/>
        <v>550.1840251484324</v>
      </c>
      <c r="FI73" s="60">
        <f t="shared" si="77"/>
        <v>843.51735848176577</v>
      </c>
      <c r="FJ73" s="60">
        <f ca="1">AVERAGE(OFFSET($FI$3,0,0,'Données projet'!$E$16+1,1))-AVERAGE(OFFSET($H$3,0,0,'Données projet'!$E$16+1,1))</f>
        <v>455.50822833641354</v>
      </c>
      <c r="FK73" s="60">
        <f t="shared" si="102"/>
        <v>261.14722581688039</v>
      </c>
      <c r="FL73" s="16">
        <f>IF(ISNA(VLOOKUP(A73,'Données projet'!$A$217:$I$237,3,0)),0,VLOOKUP(A73,'Données projet'!$A$217:$I$237,3,0))</f>
        <v>5</v>
      </c>
      <c r="FM73" s="16">
        <f>IF(ISNA(VLOOKUP(A73,'Données projet'!$A$217:$I$237,4,0)),0,VLOOKUP(A73,'Données projet'!$A$217:$I$237,4,0))</f>
        <v>42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230.38079999999994</v>
      </c>
      <c r="P74" s="14">
        <f t="shared" si="87"/>
        <v>56.365011465139979</v>
      </c>
      <c r="Q74" s="22">
        <f t="shared" si="54"/>
        <v>499.41562163511867</v>
      </c>
      <c r="R74" s="60">
        <f t="shared" si="55"/>
        <v>792.74895496845193</v>
      </c>
      <c r="S74" s="60">
        <f ca="1">AVERAGE(OFFSET($R$3,0,0,'Données projet'!$E$9+1,1))-AVERAGE(OFFSET($H$3,0,0,'Données projet'!$E$9+1,1))</f>
        <v>475.47920969424894</v>
      </c>
      <c r="T74" s="60">
        <f t="shared" si="88"/>
        <v>271.73544012419364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7.5584615384615343</v>
      </c>
      <c r="AI74" s="14">
        <f>IF('Données projet'!$A$62&gt;35,AI73+AH74-AQ73,IF(A74&lt;'Données projet'!$A$62,$AF$205^A74,IF(A74='Données projet'!$A$62,'Données projet'!$B$62,AI73+AH74-AQ73)))</f>
        <v>334.88153846153824</v>
      </c>
      <c r="AJ74" s="14">
        <f>AI74*VLOOKUP('Données projet'!$B$10,Paramètres!$A$1:$I$89,3,0)*VLOOKUP('Données projet'!$B$10,Paramètres!$A$1:$I$89,5,0)</f>
        <v>200.25915999999989</v>
      </c>
      <c r="AK74" s="14">
        <f t="shared" si="89"/>
        <v>49.801118956127333</v>
      </c>
      <c r="AL74" s="22">
        <f t="shared" si="58"/>
        <v>435.52165251525486</v>
      </c>
      <c r="AM74" s="60">
        <f t="shared" si="59"/>
        <v>728.85498584858817</v>
      </c>
      <c r="AN74" s="60">
        <f ca="1">AVERAGE(OFFSET($AM$3,0,0,'Données projet'!$E$10+1,1))-AVERAGE(OFFSET($H$3,0,0,'Données projet'!$E$10+1,1))</f>
        <v>289.24721145176682</v>
      </c>
      <c r="AO74" s="60">
        <f t="shared" si="90"/>
        <v>229.06617320689003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0.72744628260587207</v>
      </c>
      <c r="AW74" s="23">
        <f>EXP(-LN(2)/2)*AW73+(1-EXP(-LN(2)/2))/(LN(2)/2)*AQ74*AT74*VLOOKUP('Données projet'!$B$10,Paramètres!$A$1:$I$89,3,0)*0.475*44/12</f>
        <v>2.9897304385399424E-6</v>
      </c>
      <c r="AX74" s="23">
        <f t="shared" si="60"/>
        <v>0.72744927233631063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6.5030769230769234</v>
      </c>
      <c r="BD74" s="13">
        <f>IF('Données projet'!$A$88&gt;35,BD73+BC74-BL73,IF(A74&lt;'Données projet'!$A$88,$BA$205^A74,IF(A74='Données projet'!$A$88,'Données projet'!$B$88,BD73+BC74-BL73)))</f>
        <v>276.71076923076919</v>
      </c>
      <c r="BE74" s="14">
        <f>BD74*VLOOKUP('Données projet'!$B$11,Paramètres!$A$1:$I$89,3,0)*VLOOKUP('Données projet'!$B$11,Paramètres!$A$1:$I$89,5,0)</f>
        <v>165.47304</v>
      </c>
      <c r="BF74" s="14">
        <f t="shared" si="91"/>
        <v>42.074548000442554</v>
      </c>
      <c r="BG74" s="22">
        <f t="shared" si="61"/>
        <v>361.47871576743745</v>
      </c>
      <c r="BH74" s="60">
        <f t="shared" si="62"/>
        <v>654.81204910077076</v>
      </c>
      <c r="BI74" s="60">
        <f ca="1">AVERAGE(OFFSET($BH$3,0,0,'Données projet'!$E$11+1,1))-AVERAGE(OFFSET($H$3,0,0,'Données projet'!$E$11+1,1))</f>
        <v>287.91374663515506</v>
      </c>
      <c r="BJ74" s="60">
        <f t="shared" si="92"/>
        <v>217.76240797006147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6.2</v>
      </c>
      <c r="BY74" s="13">
        <f>IF('Données projet'!$A$114&gt;35,BY73+BX74-CG73,IF(A74&lt;'Données projet'!$A$114,$BV$205^A74,IF(A74='Données projet'!$A$114,'Données projet'!$B$114,BY73+BX74-CG73)))</f>
        <v>227.19999999999993</v>
      </c>
      <c r="BZ74" s="14">
        <f>BY74*VLOOKUP('Données projet'!$B$12,Paramètres!$A$1:$I$89,3,0)*VLOOKUP('Données projet'!$B$12,Paramètres!$A$1:$I$89,5,0)</f>
        <v>205.57055999999994</v>
      </c>
      <c r="CA74" s="14">
        <f t="shared" si="93"/>
        <v>50.966443946767392</v>
      </c>
      <c r="CB74" s="22">
        <f t="shared" si="64"/>
        <v>446.80194854061978</v>
      </c>
      <c r="CC74" s="60">
        <f t="shared" si="65"/>
        <v>740.13528187395309</v>
      </c>
      <c r="CD74" s="60">
        <f ca="1">AVERAGE(OFFSET($CC$3,0,0,'Données projet'!$E$12+1,1))-AVERAGE(OFFSET($H$3,0,0,'Données projet'!$E$12+1,1))</f>
        <v>428.8489304403459</v>
      </c>
      <c r="CE74" s="60">
        <f t="shared" si="94"/>
        <v>247.01165577562966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10.457692307692307</v>
      </c>
      <c r="CT74" s="13">
        <f>IF('Données projet'!$A$140&gt;35,CT73+CS74-DB73,IF(A74&lt;'Données projet'!$A$140,$CQ$205^A74,IF(A74='Données projet'!$A$140,'Données projet'!$B$140,CT73+CS74-DB73)))</f>
        <v>337.21538461538466</v>
      </c>
      <c r="CU74" s="18">
        <f>CT74*VLOOKUP('Données projet'!$B$13,Paramètres!$A$1:$I$89,3,0)*VLOOKUP('Données projet'!$B$13,Paramètres!$A$1:$I$89,5,0)</f>
        <v>157.81680000000003</v>
      </c>
      <c r="CV74" s="14">
        <f t="shared" si="95"/>
        <v>40.34969549714323</v>
      </c>
      <c r="CW74" s="22">
        <f t="shared" si="67"/>
        <v>345.13997965752452</v>
      </c>
      <c r="CX74" s="60">
        <f t="shared" si="68"/>
        <v>638.47331299085783</v>
      </c>
      <c r="CY74" s="60">
        <f ca="1">AVERAGE(OFFSET($CX$3,0,0,'Données projet'!$E$13+1,1))-AVERAGE(OFFSET($H$3,0,0,'Données projet'!$E$13+1,1))</f>
        <v>284.88646502866419</v>
      </c>
      <c r="CZ74" s="60">
        <f t="shared" si="96"/>
        <v>190.4880882944471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6.2</v>
      </c>
      <c r="DO74" s="13">
        <f>IF('Données projet'!$A$166&gt;35,DO73+DN74-DW73,IF(A74&lt;'Données projet'!$A$166,$DL$205^A74,IF(A74='Données projet'!$A$166,'Données projet'!$B$166,DO73+DN74-DW73)))</f>
        <v>227.19999999999993</v>
      </c>
      <c r="DP74" s="18">
        <f>DO74*VLOOKUP('Données projet'!$B$14,Paramètres!$A$1:$I$89,3,0)*VLOOKUP('Données projet'!$B$14,Paramètres!$A$1:$I$89,5,0)</f>
        <v>244.55807999999993</v>
      </c>
      <c r="DQ74" s="14">
        <f t="shared" si="97"/>
        <v>59.419147189674156</v>
      </c>
      <c r="DR74" s="22">
        <f t="shared" si="70"/>
        <v>529.42700402201569</v>
      </c>
      <c r="DS74" s="60">
        <f t="shared" si="71"/>
        <v>822.76033735534907</v>
      </c>
      <c r="DT74" s="60">
        <f ca="1">AVERAGE(OFFSET($DS$3,0,0,'Données projet'!$E$14+1,1))-AVERAGE(OFFSET($H$3,0,0,'Données projet'!$E$14+1,1))</f>
        <v>502.07782026233912</v>
      </c>
      <c r="DU74" s="60">
        <f t="shared" si="98"/>
        <v>285.83623046025156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3.4</v>
      </c>
      <c r="EJ74" s="13">
        <f>IF('Données projet'!$A$192&gt;35,EJ73+EI74-ER73,IF(A74&lt;'Données projet'!$A$192,$EG$205^A74,IF(A74='Données projet'!$A$192,'Données projet'!$B$192,EJ73+EI74-ER73)))</f>
        <v>256.39999999999992</v>
      </c>
      <c r="EK74" s="18">
        <f>EJ74*VLOOKUP('Données projet'!$B$15,Paramètres!$A$1:$I$89,3,0)*VLOOKUP('Données projet'!$B$15,Paramètres!$A$1:$I$89,5,0)</f>
        <v>223.99103999999997</v>
      </c>
      <c r="EL74" s="14">
        <f t="shared" si="99"/>
        <v>54.981408824201601</v>
      </c>
      <c r="EM74" s="22">
        <f t="shared" si="73"/>
        <v>485.87701503548442</v>
      </c>
      <c r="EN74" s="60">
        <f t="shared" si="74"/>
        <v>779.21034836881768</v>
      </c>
      <c r="EO74" s="60">
        <f ca="1">AVERAGE(OFFSET($EN$3,0,0,'Données projet'!$E$15+1,1))-AVERAGE(OFFSET($H$3,0,0,'Données projet'!$E$15+1,1))</f>
        <v>339.58437495284466</v>
      </c>
      <c r="EP74" s="60">
        <f t="shared" si="100"/>
        <v>371.26234252426531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6.2</v>
      </c>
      <c r="FE74" s="13">
        <f>IF('Données projet'!$A$218&gt;35,FE73+FD74-FM73,IF(A74&lt;'Données projet'!$A$218,$FB$205^A74,IF(A74='Données projet'!$A$218,'Données projet'!$B$218,FE73+FD74-FM73)))</f>
        <v>227.19999999999993</v>
      </c>
      <c r="FF74" s="18">
        <f>FE74*VLOOKUP('Données projet'!$B$16,Paramètres!$A$1:$I$89,3,0)*VLOOKUP('Données projet'!$B$16,Paramètres!$A$1:$I$89,5,0)</f>
        <v>219.74783999999994</v>
      </c>
      <c r="FG74" s="14">
        <f t="shared" si="101"/>
        <v>54.060076332940561</v>
      </c>
      <c r="FH74" s="22">
        <f t="shared" si="76"/>
        <v>476.88212094653812</v>
      </c>
      <c r="FI74" s="60">
        <f t="shared" si="77"/>
        <v>770.21545427987144</v>
      </c>
      <c r="FJ74" s="60">
        <f ca="1">AVERAGE(OFFSET($FI$3,0,0,'Données projet'!$E$16+1,1))-AVERAGE(OFFSET($H$3,0,0,'Données projet'!$E$16+1,1))</f>
        <v>455.50822833641354</v>
      </c>
      <c r="FK74" s="60">
        <f t="shared" si="102"/>
        <v>261.14722581688039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236.66759999999994</v>
      </c>
      <c r="P75" s="14">
        <f t="shared" si="87"/>
        <v>57.721965974560838</v>
      </c>
      <c r="Q75" s="22">
        <f t="shared" si="54"/>
        <v>512.72849407235992</v>
      </c>
      <c r="R75" s="60">
        <f t="shared" si="55"/>
        <v>806.06182740569329</v>
      </c>
      <c r="S75" s="60">
        <f ca="1">AVERAGE(OFFSET($R$3,0,0,'Données projet'!$E$9+1,1))-AVERAGE(OFFSET($H$3,0,0,'Données projet'!$E$9+1,1))</f>
        <v>475.47920969424894</v>
      </c>
      <c r="T75" s="60">
        <f t="shared" si="88"/>
        <v>271.73544012419364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7.5584615384615343</v>
      </c>
      <c r="AI75" s="14">
        <f>IF('Données projet'!$A$62&gt;35,AI74+AH75-AQ74,IF(A75&lt;'Données projet'!$A$62,$AF$205^A75,IF(A75='Données projet'!$A$62,'Données projet'!$B$62,AI74+AH75-AQ74)))</f>
        <v>342.43999999999977</v>
      </c>
      <c r="AJ75" s="14">
        <f>AI75*VLOOKUP('Données projet'!$B$10,Paramètres!$A$1:$I$89,3,0)*VLOOKUP('Données projet'!$B$10,Paramètres!$A$1:$I$89,5,0)</f>
        <v>204.77911999999986</v>
      </c>
      <c r="AK75" s="14">
        <f t="shared" si="89"/>
        <v>50.79302579334589</v>
      </c>
      <c r="AL75" s="22">
        <f t="shared" si="58"/>
        <v>445.12148725674388</v>
      </c>
      <c r="AM75" s="60">
        <f t="shared" si="59"/>
        <v>738.45482059007713</v>
      </c>
      <c r="AN75" s="60">
        <f ca="1">AVERAGE(OFFSET($AM$3,0,0,'Données projet'!$E$10+1,1))-AVERAGE(OFFSET($H$3,0,0,'Données projet'!$E$10+1,1))</f>
        <v>289.24721145176682</v>
      </c>
      <c r="AO75" s="60">
        <f t="shared" si="90"/>
        <v>229.06617320689003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0.70755422575327709</v>
      </c>
      <c r="AW75" s="23">
        <f>EXP(-LN(2)/2)*AW74+(1-EXP(-LN(2)/2))/(LN(2)/2)*AQ75*AT75*VLOOKUP('Données projet'!$B$10,Paramètres!$A$1:$I$89,3,0)*0.475*44/12</f>
        <v>2.1140586670114238E-6</v>
      </c>
      <c r="AX75" s="23">
        <f t="shared" si="60"/>
        <v>0.7075563398119441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6.5030769230769234</v>
      </c>
      <c r="BD75" s="13">
        <f>IF('Données projet'!$A$88&gt;35,BD74+BC75-BL74,IF(A75&lt;'Données projet'!$A$88,$BA$205^A75,IF(A75='Données projet'!$A$88,'Données projet'!$B$88,BD74+BC75-BL74)))</f>
        <v>283.21384615384613</v>
      </c>
      <c r="BE75" s="14">
        <f>BD75*VLOOKUP('Données projet'!$B$11,Paramètres!$A$1:$I$89,3,0)*VLOOKUP('Données projet'!$B$11,Paramètres!$A$1:$I$89,5,0)</f>
        <v>169.36187999999999</v>
      </c>
      <c r="BF75" s="14">
        <f t="shared" si="91"/>
        <v>42.947074666974054</v>
      </c>
      <c r="BG75" s="22">
        <f t="shared" si="61"/>
        <v>369.77142937831314</v>
      </c>
      <c r="BH75" s="60">
        <f t="shared" si="62"/>
        <v>663.10476271164646</v>
      </c>
      <c r="BI75" s="60">
        <f ca="1">AVERAGE(OFFSET($BH$3,0,0,'Données projet'!$E$11+1,1))-AVERAGE(OFFSET($H$3,0,0,'Données projet'!$E$11+1,1))</f>
        <v>287.91374663515506</v>
      </c>
      <c r="BJ75" s="60">
        <f t="shared" si="92"/>
        <v>217.76240797006147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6.2</v>
      </c>
      <c r="BY75" s="13">
        <f>IF('Données projet'!$A$114&gt;35,BY74+BX75-CG74,IF(A75&lt;'Données projet'!$A$114,$BV$205^A75,IF(A75='Données projet'!$A$114,'Données projet'!$B$114,BY74+BX75-CG74)))</f>
        <v>233.39999999999992</v>
      </c>
      <c r="BZ75" s="14">
        <f>BY75*VLOOKUP('Données projet'!$B$12,Paramètres!$A$1:$I$89,3,0)*VLOOKUP('Données projet'!$B$12,Paramètres!$A$1:$I$89,5,0)</f>
        <v>211.18031999999994</v>
      </c>
      <c r="CA75" s="14">
        <f t="shared" si="93"/>
        <v>52.193431117443019</v>
      </c>
      <c r="CB75" s="22">
        <f t="shared" si="64"/>
        <v>458.70928319621316</v>
      </c>
      <c r="CC75" s="60">
        <f t="shared" si="65"/>
        <v>752.04261652954642</v>
      </c>
      <c r="CD75" s="60">
        <f ca="1">AVERAGE(OFFSET($CC$3,0,0,'Données projet'!$E$12+1,1))-AVERAGE(OFFSET($H$3,0,0,'Données projet'!$E$12+1,1))</f>
        <v>428.8489304403459</v>
      </c>
      <c r="CE75" s="60">
        <f t="shared" si="94"/>
        <v>247.01165577562966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10.457692307692307</v>
      </c>
      <c r="CT75" s="13">
        <f>IF('Données projet'!$A$140&gt;35,CT74+CS75-DB74,IF(A75&lt;'Données projet'!$A$140,$CQ$205^A75,IF(A75='Données projet'!$A$140,'Données projet'!$B$140,CT74+CS75-DB74)))</f>
        <v>347.67307692307696</v>
      </c>
      <c r="CU75" s="18">
        <f>CT75*VLOOKUP('Données projet'!$B$13,Paramètres!$A$1:$I$89,3,0)*VLOOKUP('Données projet'!$B$13,Paramètres!$A$1:$I$89,5,0)</f>
        <v>162.71100000000001</v>
      </c>
      <c r="CV75" s="14">
        <f t="shared" si="95"/>
        <v>41.453389802140954</v>
      </c>
      <c r="CW75" s="22">
        <f t="shared" si="67"/>
        <v>355.58631223872879</v>
      </c>
      <c r="CX75" s="60">
        <f t="shared" si="68"/>
        <v>648.91964557206211</v>
      </c>
      <c r="CY75" s="60">
        <f ca="1">AVERAGE(OFFSET($CX$3,0,0,'Données projet'!$E$13+1,1))-AVERAGE(OFFSET($H$3,0,0,'Données projet'!$E$13+1,1))</f>
        <v>284.88646502866419</v>
      </c>
      <c r="CZ75" s="60">
        <f t="shared" si="96"/>
        <v>190.4880882944471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6.2</v>
      </c>
      <c r="DO75" s="13">
        <f>IF('Données projet'!$A$166&gt;35,DO74+DN75-DW74,IF(A75&lt;'Données projet'!$A$166,$DL$205^A75,IF(A75='Données projet'!$A$166,'Données projet'!$B$166,DO74+DN75-DW74)))</f>
        <v>233.39999999999992</v>
      </c>
      <c r="DP75" s="18">
        <f>DO75*VLOOKUP('Données projet'!$B$14,Paramètres!$A$1:$I$89,3,0)*VLOOKUP('Données projet'!$B$14,Paramètres!$A$1:$I$89,5,0)</f>
        <v>251.23175999999989</v>
      </c>
      <c r="DQ75" s="14">
        <f t="shared" si="97"/>
        <v>60.849628220886878</v>
      </c>
      <c r="DR75" s="22">
        <f t="shared" si="70"/>
        <v>543.54175115137775</v>
      </c>
      <c r="DS75" s="60">
        <f t="shared" si="71"/>
        <v>836.87508448471112</v>
      </c>
      <c r="DT75" s="60">
        <f ca="1">AVERAGE(OFFSET($DS$3,0,0,'Données projet'!$E$14+1,1))-AVERAGE(OFFSET($H$3,0,0,'Données projet'!$E$14+1,1))</f>
        <v>502.07782026233912</v>
      </c>
      <c r="DU75" s="60">
        <f t="shared" si="98"/>
        <v>285.83623046025156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3.4</v>
      </c>
      <c r="EJ75" s="13">
        <f>IF('Données projet'!$A$192&gt;35,EJ74+EI75-ER74,IF(A75&lt;'Données projet'!$A$192,$EG$205^A75,IF(A75='Données projet'!$A$192,'Données projet'!$B$192,EJ74+EI75-ER74)))</f>
        <v>259.7999999999999</v>
      </c>
      <c r="EK75" s="18">
        <f>EJ75*VLOOKUP('Données projet'!$B$15,Paramètres!$A$1:$I$89,3,0)*VLOOKUP('Données projet'!$B$15,Paramètres!$A$1:$I$89,5,0)</f>
        <v>226.96127999999993</v>
      </c>
      <c r="EL75" s="14">
        <f t="shared" si="99"/>
        <v>55.625131501998617</v>
      </c>
      <c r="EM75" s="22">
        <f t="shared" si="73"/>
        <v>492.17133336598084</v>
      </c>
      <c r="EN75" s="60">
        <f t="shared" si="74"/>
        <v>785.50466669931416</v>
      </c>
      <c r="EO75" s="60">
        <f ca="1">AVERAGE(OFFSET($EN$3,0,0,'Données projet'!$E$15+1,1))-AVERAGE(OFFSET($H$3,0,0,'Données projet'!$E$15+1,1))</f>
        <v>339.58437495284466</v>
      </c>
      <c r="EP75" s="60">
        <f t="shared" si="100"/>
        <v>371.26234252426531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6.2</v>
      </c>
      <c r="FE75" s="13">
        <f>IF('Données projet'!$A$218&gt;35,FE74+FD75-FM74,IF(A75&lt;'Données projet'!$A$218,$FB$205^A75,IF(A75='Données projet'!$A$218,'Données projet'!$B$218,FE74+FD75-FM74)))</f>
        <v>233.39999999999992</v>
      </c>
      <c r="FF75" s="18">
        <f>FE75*VLOOKUP('Données projet'!$B$16,Paramètres!$A$1:$I$89,3,0)*VLOOKUP('Données projet'!$B$16,Paramètres!$A$1:$I$89,5,0)</f>
        <v>225.74447999999992</v>
      </c>
      <c r="FG75" s="14">
        <f t="shared" si="101"/>
        <v>55.36154088431374</v>
      </c>
      <c r="FH75" s="22">
        <f t="shared" si="76"/>
        <v>489.59298637351299</v>
      </c>
      <c r="FI75" s="60">
        <f t="shared" si="77"/>
        <v>782.92631970684624</v>
      </c>
      <c r="FJ75" s="60">
        <f ca="1">AVERAGE(OFFSET($FI$3,0,0,'Données projet'!$E$16+1,1))-AVERAGE(OFFSET($H$3,0,0,'Données projet'!$E$16+1,1))</f>
        <v>455.50822833641354</v>
      </c>
      <c r="FK75" s="60">
        <f t="shared" si="102"/>
        <v>261.14722581688039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242.95439999999994</v>
      </c>
      <c r="P76" s="14">
        <f t="shared" si="87"/>
        <v>59.074730698078945</v>
      </c>
      <c r="Q76" s="22">
        <f t="shared" si="54"/>
        <v>526.034069299154</v>
      </c>
      <c r="R76" s="60">
        <f t="shared" si="55"/>
        <v>819.36740263248726</v>
      </c>
      <c r="S76" s="60">
        <f ca="1">AVERAGE(OFFSET($R$3,0,0,'Données projet'!$E$9+1,1))-AVERAGE(OFFSET($H$3,0,0,'Données projet'!$E$9+1,1))</f>
        <v>475.47920969424894</v>
      </c>
      <c r="T76" s="60">
        <f t="shared" si="88"/>
        <v>271.73544012419364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7.5584615384615343</v>
      </c>
      <c r="AI76" s="14">
        <f>IF('Données projet'!$A$62&gt;35,AI75+AH76-AQ75,IF(A76&lt;'Données projet'!$A$62,$AF$205^A76,IF(A76='Données projet'!$A$62,'Données projet'!$B$62,AI75+AH76-AQ75)))</f>
        <v>349.9984615384613</v>
      </c>
      <c r="AJ76" s="14">
        <f>AI76*VLOOKUP('Données projet'!$B$10,Paramètres!$A$1:$I$89,3,0)*VLOOKUP('Données projet'!$B$10,Paramètres!$A$1:$I$89,5,0)</f>
        <v>209.29907999999986</v>
      </c>
      <c r="AK76" s="14">
        <f t="shared" si="89"/>
        <v>51.782387252616175</v>
      </c>
      <c r="AL76" s="22">
        <f t="shared" si="58"/>
        <v>454.71688879830623</v>
      </c>
      <c r="AM76" s="60">
        <f t="shared" si="59"/>
        <v>748.05022213163954</v>
      </c>
      <c r="AN76" s="60">
        <f ca="1">AVERAGE(OFFSET($AM$3,0,0,'Données projet'!$E$10+1,1))-AVERAGE(OFFSET($H$3,0,0,'Données projet'!$E$10+1,1))</f>
        <v>289.24721145176682</v>
      </c>
      <c r="AO76" s="60">
        <f t="shared" si="90"/>
        <v>229.06617320689003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0.6882061182413941</v>
      </c>
      <c r="AW76" s="23">
        <f>EXP(-LN(2)/2)*AW75+(1-EXP(-LN(2)/2))/(LN(2)/2)*AQ76*AT76*VLOOKUP('Données projet'!$B$10,Paramètres!$A$1:$I$89,3,0)*0.475*44/12</f>
        <v>1.4948652192699712E-6</v>
      </c>
      <c r="AX76" s="23">
        <f t="shared" si="60"/>
        <v>0.68820761310661338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6.5030769230769234</v>
      </c>
      <c r="BD76" s="13">
        <f>IF('Données projet'!$A$88&gt;35,BD75+BC76-BL75,IF(A76&lt;'Données projet'!$A$88,$BA$205^A76,IF(A76='Données projet'!$A$88,'Données projet'!$B$88,BD75+BC76-BL75)))</f>
        <v>289.71692307692308</v>
      </c>
      <c r="BE76" s="14">
        <f>BD76*VLOOKUP('Données projet'!$B$11,Paramètres!$A$1:$I$89,3,0)*VLOOKUP('Données projet'!$B$11,Paramètres!$A$1:$I$89,5,0)</f>
        <v>173.25072000000003</v>
      </c>
      <c r="BF76" s="14">
        <f t="shared" si="91"/>
        <v>43.81727219033089</v>
      </c>
      <c r="BG76" s="22">
        <f t="shared" si="61"/>
        <v>378.06008639815968</v>
      </c>
      <c r="BH76" s="60">
        <f t="shared" si="62"/>
        <v>671.39341973149294</v>
      </c>
      <c r="BI76" s="60">
        <f ca="1">AVERAGE(OFFSET($BH$3,0,0,'Données projet'!$E$11+1,1))-AVERAGE(OFFSET($H$3,0,0,'Données projet'!$E$11+1,1))</f>
        <v>287.91374663515506</v>
      </c>
      <c r="BJ76" s="60">
        <f t="shared" si="92"/>
        <v>217.76240797006147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6.2</v>
      </c>
      <c r="BY76" s="13">
        <f>IF('Données projet'!$A$114&gt;35,BY75+BX76-CG75,IF(A76&lt;'Données projet'!$A$114,$BV$205^A76,IF(A76='Données projet'!$A$114,'Données projet'!$B$114,BY75+BX76-CG75)))</f>
        <v>239.59999999999991</v>
      </c>
      <c r="BZ76" s="14">
        <f>BY76*VLOOKUP('Données projet'!$B$12,Paramètres!$A$1:$I$89,3,0)*VLOOKUP('Données projet'!$B$12,Paramètres!$A$1:$I$89,5,0)</f>
        <v>216.7900799999999</v>
      </c>
      <c r="CA76" s="14">
        <f t="shared" si="93"/>
        <v>53.416629794462551</v>
      </c>
      <c r="CB76" s="22">
        <f t="shared" si="64"/>
        <v>470.61001955868869</v>
      </c>
      <c r="CC76" s="60">
        <f t="shared" si="65"/>
        <v>763.94335289202195</v>
      </c>
      <c r="CD76" s="60">
        <f ca="1">AVERAGE(OFFSET($CC$3,0,0,'Données projet'!$E$12+1,1))-AVERAGE(OFFSET($H$3,0,0,'Données projet'!$E$12+1,1))</f>
        <v>428.8489304403459</v>
      </c>
      <c r="CE76" s="60">
        <f t="shared" si="94"/>
        <v>247.01165577562966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>
        <f>VLOOKUP(A76,'Données projet'!$A$139:$I$159,2,0)</f>
        <v>358.1307692307692</v>
      </c>
      <c r="CR76" s="13">
        <f>VLOOKUP(A76,'Données projet'!$A$139:$I$159,9,0)</f>
        <v>10.457692307692307</v>
      </c>
      <c r="CS76" s="13">
        <f t="array" ref="CS76">INDEX(CR:CR,MIN(IF(ISNUMBER(CR76:CR272),ROW(CR76:CR272),"")))</f>
        <v>10.457692307692307</v>
      </c>
      <c r="CT76" s="13">
        <f>IF('Données projet'!$A$140&gt;35,CT75+CS76-DB75,IF(A76&lt;'Données projet'!$A$140,$CQ$205^A76,IF(A76='Données projet'!$A$140,'Données projet'!$B$140,CT75+CS76-DB75)))</f>
        <v>358.13076923076926</v>
      </c>
      <c r="CU76" s="18">
        <f>CT76*VLOOKUP('Données projet'!$B$13,Paramètres!$A$1:$I$89,3,0)*VLOOKUP('Données projet'!$B$13,Paramètres!$A$1:$I$89,5,0)</f>
        <v>167.6052</v>
      </c>
      <c r="CV76" s="14">
        <f t="shared" si="95"/>
        <v>42.553225987206737</v>
      </c>
      <c r="CW76" s="22">
        <f t="shared" si="67"/>
        <v>366.02592526105173</v>
      </c>
      <c r="CX76" s="60">
        <f t="shared" si="68"/>
        <v>659.35925859438498</v>
      </c>
      <c r="CY76" s="60">
        <f ca="1">AVERAGE(OFFSET($CX$3,0,0,'Données projet'!$E$13+1,1))-AVERAGE(OFFSET($H$3,0,0,'Données projet'!$E$13+1,1))</f>
        <v>284.88646502866419</v>
      </c>
      <c r="CZ76" s="60">
        <f t="shared" si="96"/>
        <v>190.4880882944471</v>
      </c>
      <c r="DA76" s="16">
        <f>IF(ISNA(VLOOKUP(A76,'Données projet'!$A$139:$I$159,3,0)),0,VLOOKUP(A76,'Données projet'!$A$139:$I$159,3,0))</f>
        <v>3</v>
      </c>
      <c r="DB76" s="16">
        <f>IF(ISNA(VLOOKUP(A76,'Données projet'!$A$139:$I$159,4,0)),0,VLOOKUP(A76,'Données projet'!$A$139:$I$159,4,0))</f>
        <v>93.584615384615375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6.2</v>
      </c>
      <c r="DO76" s="13">
        <f>IF('Données projet'!$A$166&gt;35,DO75+DN76-DW75,IF(A76&lt;'Données projet'!$A$166,$DL$205^A76,IF(A76='Données projet'!$A$166,'Données projet'!$B$166,DO75+DN76-DW75)))</f>
        <v>239.59999999999991</v>
      </c>
      <c r="DP76" s="18">
        <f>DO76*VLOOKUP('Données projet'!$B$14,Paramètres!$A$1:$I$89,3,0)*VLOOKUP('Données projet'!$B$14,Paramètres!$A$1:$I$89,5,0)</f>
        <v>257.90543999999989</v>
      </c>
      <c r="DQ76" s="14">
        <f t="shared" si="97"/>
        <v>62.275692442827719</v>
      </c>
      <c r="DR76" s="22">
        <f t="shared" si="70"/>
        <v>557.64880567125817</v>
      </c>
      <c r="DS76" s="60">
        <f t="shared" si="71"/>
        <v>850.98213900459155</v>
      </c>
      <c r="DT76" s="60">
        <f ca="1">AVERAGE(OFFSET($DS$3,0,0,'Données projet'!$E$14+1,1))-AVERAGE(OFFSET($H$3,0,0,'Données projet'!$E$14+1,1))</f>
        <v>502.07782026233912</v>
      </c>
      <c r="DU76" s="60">
        <f t="shared" si="98"/>
        <v>285.83623046025156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3.4</v>
      </c>
      <c r="EJ76" s="13">
        <f>IF('Données projet'!$A$192&gt;35,EJ75+EI76-ER75,IF(A76&lt;'Données projet'!$A$192,$EG$205^A76,IF(A76='Données projet'!$A$192,'Données projet'!$B$192,EJ75+EI76-ER75)))</f>
        <v>263.19999999999987</v>
      </c>
      <c r="EK76" s="18">
        <f>EJ76*VLOOKUP('Données projet'!$B$15,Paramètres!$A$1:$I$89,3,0)*VLOOKUP('Données projet'!$B$15,Paramètres!$A$1:$I$89,5,0)</f>
        <v>229.93151999999992</v>
      </c>
      <c r="EL76" s="14">
        <f t="shared" si="99"/>
        <v>56.26787429746841</v>
      </c>
      <c r="EM76" s="22">
        <f t="shared" si="73"/>
        <v>498.4639450680906</v>
      </c>
      <c r="EN76" s="60">
        <f t="shared" si="74"/>
        <v>791.79727840142391</v>
      </c>
      <c r="EO76" s="60">
        <f ca="1">AVERAGE(OFFSET($EN$3,0,0,'Données projet'!$E$15+1,1))-AVERAGE(OFFSET($H$3,0,0,'Données projet'!$E$15+1,1))</f>
        <v>339.58437495284466</v>
      </c>
      <c r="EP76" s="60">
        <f t="shared" si="100"/>
        <v>371.26234252426531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6.2</v>
      </c>
      <c r="FE76" s="13">
        <f>IF('Données projet'!$A$218&gt;35,FE75+FD76-FM75,IF(A76&lt;'Données projet'!$A$218,$FB$205^A76,IF(A76='Données projet'!$A$218,'Données projet'!$B$218,FE75+FD76-FM75)))</f>
        <v>239.59999999999991</v>
      </c>
      <c r="FF76" s="18">
        <f>FE76*VLOOKUP('Données projet'!$B$16,Paramètres!$A$1:$I$89,3,0)*VLOOKUP('Données projet'!$B$16,Paramètres!$A$1:$I$89,5,0)</f>
        <v>231.74111999999991</v>
      </c>
      <c r="FG76" s="14">
        <f t="shared" si="101"/>
        <v>56.658986982752438</v>
      </c>
      <c r="FH76" s="22">
        <f t="shared" si="76"/>
        <v>502.29685299496032</v>
      </c>
      <c r="FI76" s="60">
        <f t="shared" si="77"/>
        <v>795.63018632829358</v>
      </c>
      <c r="FJ76" s="60">
        <f ca="1">AVERAGE(OFFSET($FI$3,0,0,'Données projet'!$E$16+1,1))-AVERAGE(OFFSET($H$3,0,0,'Données projet'!$E$16+1,1))</f>
        <v>455.50822833641354</v>
      </c>
      <c r="FK76" s="60">
        <f t="shared" si="102"/>
        <v>261.14722581688039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249.24119999999988</v>
      </c>
      <c r="P77" s="14">
        <f t="shared" si="87"/>
        <v>60.42342651744687</v>
      </c>
      <c r="Q77" s="22">
        <f t="shared" si="54"/>
        <v>539.3325578512198</v>
      </c>
      <c r="R77" s="60">
        <f t="shared" si="55"/>
        <v>832.66589118455317</v>
      </c>
      <c r="S77" s="60">
        <f ca="1">AVERAGE(OFFSET($R$3,0,0,'Données projet'!$E$9+1,1))-AVERAGE(OFFSET($H$3,0,0,'Données projet'!$E$9+1,1))</f>
        <v>475.47920969424894</v>
      </c>
      <c r="T77" s="60">
        <f t="shared" si="88"/>
        <v>271.73544012419364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7.5584615384615343</v>
      </c>
      <c r="AI77" s="14">
        <f>IF('Données projet'!$A$62&gt;35,AI76+AH77-AQ76,IF(A77&lt;'Données projet'!$A$62,$AF$205^A77,IF(A77='Données projet'!$A$62,'Données projet'!$B$62,AI76+AH77-AQ76)))</f>
        <v>357.55692307692283</v>
      </c>
      <c r="AJ77" s="14">
        <f>AI77*VLOOKUP('Données projet'!$B$10,Paramètres!$A$1:$I$89,3,0)*VLOOKUP('Données projet'!$B$10,Paramètres!$A$1:$I$89,5,0)</f>
        <v>213.81903999999986</v>
      </c>
      <c r="AK77" s="14">
        <f t="shared" si="89"/>
        <v>52.769264634128973</v>
      </c>
      <c r="AL77" s="22">
        <f t="shared" si="58"/>
        <v>464.30796390444101</v>
      </c>
      <c r="AM77" s="60">
        <f t="shared" si="59"/>
        <v>757.64129723777432</v>
      </c>
      <c r="AN77" s="60">
        <f ca="1">AVERAGE(OFFSET($AM$3,0,0,'Données projet'!$E$10+1,1))-AVERAGE(OFFSET($H$3,0,0,'Données projet'!$E$10+1,1))</f>
        <v>289.24721145176682</v>
      </c>
      <c r="AO77" s="60">
        <f t="shared" si="90"/>
        <v>229.06617320689003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0.66938708574689632</v>
      </c>
      <c r="AW77" s="23">
        <f>EXP(-LN(2)/2)*AW76+(1-EXP(-LN(2)/2))/(LN(2)/2)*AQ77*AT77*VLOOKUP('Données projet'!$B$10,Paramètres!$A$1:$I$89,3,0)*0.475*44/12</f>
        <v>1.0570293335057119E-6</v>
      </c>
      <c r="AX77" s="23">
        <f t="shared" si="60"/>
        <v>0.66938814277622982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6.5030769230769234</v>
      </c>
      <c r="BD77" s="13">
        <f>IF('Données projet'!$A$88&gt;35,BD76+BC77-BL76,IF(A77&lt;'Données projet'!$A$88,$BA$205^A77,IF(A77='Données projet'!$A$88,'Données projet'!$B$88,BD76+BC77-BL76)))</f>
        <v>296.22000000000003</v>
      </c>
      <c r="BE77" s="14">
        <f>BD77*VLOOKUP('Données projet'!$B$11,Paramètres!$A$1:$I$89,3,0)*VLOOKUP('Données projet'!$B$11,Paramètres!$A$1:$I$89,5,0)</f>
        <v>177.13956000000005</v>
      </c>
      <c r="BF77" s="14">
        <f t="shared" si="91"/>
        <v>44.685198870372361</v>
      </c>
      <c r="BG77" s="22">
        <f t="shared" si="61"/>
        <v>386.34478836589864</v>
      </c>
      <c r="BH77" s="60">
        <f t="shared" si="62"/>
        <v>679.67812169923195</v>
      </c>
      <c r="BI77" s="60">
        <f ca="1">AVERAGE(OFFSET($BH$3,0,0,'Données projet'!$E$11+1,1))-AVERAGE(OFFSET($H$3,0,0,'Données projet'!$E$11+1,1))</f>
        <v>287.91374663515506</v>
      </c>
      <c r="BJ77" s="60">
        <f t="shared" si="92"/>
        <v>217.76240797006147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6.2</v>
      </c>
      <c r="BY77" s="13">
        <f>IF('Données projet'!$A$114&gt;35,BY76+BX77-CG76,IF(A77&lt;'Données projet'!$A$114,$BV$205^A77,IF(A77='Données projet'!$A$114,'Données projet'!$B$114,BY76+BX77-CG76)))</f>
        <v>245.7999999999999</v>
      </c>
      <c r="BZ77" s="14">
        <f>BY77*VLOOKUP('Données projet'!$B$12,Paramètres!$A$1:$I$89,3,0)*VLOOKUP('Données projet'!$B$12,Paramètres!$A$1:$I$89,5,0)</f>
        <v>222.3998399999999</v>
      </c>
      <c r="CA77" s="14">
        <f t="shared" si="93"/>
        <v>54.636149281681448</v>
      </c>
      <c r="CB77" s="22">
        <f t="shared" si="64"/>
        <v>482.50434799892832</v>
      </c>
      <c r="CC77" s="60">
        <f t="shared" si="65"/>
        <v>775.83768133226158</v>
      </c>
      <c r="CD77" s="60">
        <f ca="1">AVERAGE(OFFSET($CC$3,0,0,'Données projet'!$E$12+1,1))-AVERAGE(OFFSET($H$3,0,0,'Données projet'!$E$12+1,1))</f>
        <v>428.8489304403459</v>
      </c>
      <c r="CE77" s="60">
        <f t="shared" si="94"/>
        <v>247.01165577562966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9.4346153846153786</v>
      </c>
      <c r="CT77" s="13">
        <f>IF('Données projet'!$A$140&gt;35,CT76+CS77-DB76,IF(A77&lt;'Données projet'!$A$140,$CQ$205^A77,IF(A77='Données projet'!$A$140,'Données projet'!$B$140,CT76+CS77-DB76)))</f>
        <v>273.98076923076928</v>
      </c>
      <c r="CU77" s="18">
        <f>CT77*VLOOKUP('Données projet'!$B$13,Paramètres!$A$1:$I$89,3,0)*VLOOKUP('Données projet'!$B$13,Paramètres!$A$1:$I$89,5,0)</f>
        <v>128.22300000000004</v>
      </c>
      <c r="CV77" s="14">
        <f t="shared" si="95"/>
        <v>33.585418470094481</v>
      </c>
      <c r="CW77" s="22">
        <f t="shared" si="67"/>
        <v>281.81632883541465</v>
      </c>
      <c r="CX77" s="60">
        <f t="shared" si="68"/>
        <v>575.14966216874791</v>
      </c>
      <c r="CY77" s="60">
        <f ca="1">AVERAGE(OFFSET($CX$3,0,0,'Données projet'!$E$13+1,1))-AVERAGE(OFFSET($H$3,0,0,'Données projet'!$E$13+1,1))</f>
        <v>284.88646502866419</v>
      </c>
      <c r="CZ77" s="60">
        <f t="shared" si="96"/>
        <v>190.4880882944471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6.2</v>
      </c>
      <c r="DO77" s="13">
        <f>IF('Données projet'!$A$166&gt;35,DO76+DN77-DW76,IF(A77&lt;'Données projet'!$A$166,$DL$205^A77,IF(A77='Données projet'!$A$166,'Données projet'!$B$166,DO76+DN77-DW76)))</f>
        <v>245.7999999999999</v>
      </c>
      <c r="DP77" s="18">
        <f>DO77*VLOOKUP('Données projet'!$B$14,Paramètres!$A$1:$I$89,3,0)*VLOOKUP('Données projet'!$B$14,Paramètres!$A$1:$I$89,5,0)</f>
        <v>264.57911999999988</v>
      </c>
      <c r="DQ77" s="14">
        <f t="shared" si="97"/>
        <v>63.697467287221869</v>
      </c>
      <c r="DR77" s="22">
        <f t="shared" si="70"/>
        <v>571.74838952524453</v>
      </c>
      <c r="DS77" s="60">
        <f t="shared" si="71"/>
        <v>865.0817228585779</v>
      </c>
      <c r="DT77" s="60">
        <f ca="1">AVERAGE(OFFSET($DS$3,0,0,'Données projet'!$E$14+1,1))-AVERAGE(OFFSET($H$3,0,0,'Données projet'!$E$14+1,1))</f>
        <v>502.07782026233912</v>
      </c>
      <c r="DU77" s="60">
        <f t="shared" si="98"/>
        <v>285.83623046025156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3.4</v>
      </c>
      <c r="EJ77" s="13">
        <f>IF('Données projet'!$A$192&gt;35,EJ76+EI77-ER76,IF(A77&lt;'Données projet'!$A$192,$EG$205^A77,IF(A77='Données projet'!$A$192,'Données projet'!$B$192,EJ76+EI77-ER76)))</f>
        <v>266.59999999999985</v>
      </c>
      <c r="EK77" s="18">
        <f>EJ77*VLOOKUP('Données projet'!$B$15,Paramètres!$A$1:$I$89,3,0)*VLOOKUP('Données projet'!$B$15,Paramètres!$A$1:$I$89,5,0)</f>
        <v>232.90175999999991</v>
      </c>
      <c r="EL77" s="14">
        <f t="shared" si="99"/>
        <v>56.909651332233828</v>
      </c>
      <c r="EM77" s="22">
        <f t="shared" si="73"/>
        <v>504.7548747369737</v>
      </c>
      <c r="EN77" s="60">
        <f t="shared" si="74"/>
        <v>798.08820807030702</v>
      </c>
      <c r="EO77" s="60">
        <f ca="1">AVERAGE(OFFSET($EN$3,0,0,'Données projet'!$E$15+1,1))-AVERAGE(OFFSET($H$3,0,0,'Données projet'!$E$15+1,1))</f>
        <v>339.58437495284466</v>
      </c>
      <c r="EP77" s="60">
        <f t="shared" si="100"/>
        <v>371.26234252426531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6.2</v>
      </c>
      <c r="FE77" s="13">
        <f>IF('Données projet'!$A$218&gt;35,FE76+FD77-FM76,IF(A77&lt;'Données projet'!$A$218,$FB$205^A77,IF(A77='Données projet'!$A$218,'Données projet'!$B$218,FE76+FD77-FM76)))</f>
        <v>245.7999999999999</v>
      </c>
      <c r="FF77" s="18">
        <f>FE77*VLOOKUP('Données projet'!$B$16,Paramètres!$A$1:$I$89,3,0)*VLOOKUP('Données projet'!$B$16,Paramètres!$A$1:$I$89,5,0)</f>
        <v>237.73775999999989</v>
      </c>
      <c r="FG77" s="14">
        <f t="shared" si="101"/>
        <v>57.952530566790166</v>
      </c>
      <c r="FH77" s="22">
        <f t="shared" si="76"/>
        <v>514.99392273715932</v>
      </c>
      <c r="FI77" s="60">
        <f t="shared" si="77"/>
        <v>808.32725607049269</v>
      </c>
      <c r="FJ77" s="60">
        <f ca="1">AVERAGE(OFFSET($FI$3,0,0,'Données projet'!$E$16+1,1))-AVERAGE(OFFSET($H$3,0,0,'Données projet'!$E$16+1,1))</f>
        <v>455.50822833641354</v>
      </c>
      <c r="FK77" s="60">
        <f t="shared" si="102"/>
        <v>261.14722581688039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255.52799999999991</v>
      </c>
      <c r="P78" s="14">
        <f t="shared" si="87"/>
        <v>61.768167868721477</v>
      </c>
      <c r="Q78" s="22">
        <f t="shared" si="54"/>
        <v>552.62415903802309</v>
      </c>
      <c r="R78" s="60">
        <f t="shared" si="55"/>
        <v>845.95749237135647</v>
      </c>
      <c r="S78" s="60">
        <f ca="1">AVERAGE(OFFSET($R$3,0,0,'Données projet'!$E$9+1,1))-AVERAGE(OFFSET($H$3,0,0,'Données projet'!$E$9+1,1))</f>
        <v>475.47920969424894</v>
      </c>
      <c r="T78" s="60">
        <f t="shared" si="88"/>
        <v>271.73544012419364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7.5584615384615343</v>
      </c>
      <c r="AI78" s="14">
        <f>IF('Données projet'!$A$62&gt;35,AI77+AH78-AQ77,IF(A78&lt;'Données projet'!$A$62,$AF$205^A78,IF(A78='Données projet'!$A$62,'Données projet'!$B$62,AI77+AH78-AQ77)))</f>
        <v>365.11538461538436</v>
      </c>
      <c r="AJ78" s="14">
        <f>AI78*VLOOKUP('Données projet'!$B$10,Paramètres!$A$1:$I$89,3,0)*VLOOKUP('Données projet'!$B$10,Paramètres!$A$1:$I$89,5,0)</f>
        <v>218.33899999999988</v>
      </c>
      <c r="AK78" s="14">
        <f t="shared" si="89"/>
        <v>53.753716498326504</v>
      </c>
      <c r="AL78" s="22">
        <f t="shared" si="58"/>
        <v>473.8948145679185</v>
      </c>
      <c r="AM78" s="60">
        <f t="shared" si="59"/>
        <v>767.22814790125176</v>
      </c>
      <c r="AN78" s="60">
        <f ca="1">AVERAGE(OFFSET($AM$3,0,0,'Données projet'!$E$10+1,1))-AVERAGE(OFFSET($H$3,0,0,'Données projet'!$E$10+1,1))</f>
        <v>289.24721145176682</v>
      </c>
      <c r="AO78" s="60">
        <f t="shared" si="90"/>
        <v>229.06617320689003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0.65108266068561049</v>
      </c>
      <c r="AW78" s="23">
        <f>EXP(-LN(2)/2)*AW77+(1-EXP(-LN(2)/2))/(LN(2)/2)*AQ78*AT78*VLOOKUP('Données projet'!$B$10,Paramètres!$A$1:$I$89,3,0)*0.475*44/12</f>
        <v>7.4743260963498561E-7</v>
      </c>
      <c r="AX78" s="23">
        <f t="shared" si="60"/>
        <v>0.65108340811822007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302.72307692307692</v>
      </c>
      <c r="BB78" s="13">
        <f>VLOOKUP(A78,'Données projet'!$A$87:$I$107,9,0)</f>
        <v>6.5030769230769234</v>
      </c>
      <c r="BC78" s="13">
        <f t="array" ref="BC78">INDEX(BB:BB,MIN(IF(ISNUMBER(BB78:BB274),ROW(BB78:BB274),"")))</f>
        <v>6.5030769230769234</v>
      </c>
      <c r="BD78" s="13">
        <f>IF('Données projet'!$A$88&gt;35,BD77+BC78-BL77,IF(A78&lt;'Données projet'!$A$88,$BA$205^A78,IF(A78='Données projet'!$A$88,'Données projet'!$B$88,BD77+BC78-BL77)))</f>
        <v>302.72307692307697</v>
      </c>
      <c r="BE78" s="14">
        <f>BD78*VLOOKUP('Données projet'!$B$11,Paramètres!$A$1:$I$89,3,0)*VLOOKUP('Données projet'!$B$11,Paramètres!$A$1:$I$89,5,0)</f>
        <v>181.02840000000003</v>
      </c>
      <c r="BF78" s="14">
        <f t="shared" si="91"/>
        <v>45.550910301007349</v>
      </c>
      <c r="BG78" s="22">
        <f t="shared" si="61"/>
        <v>394.62563210758782</v>
      </c>
      <c r="BH78" s="60">
        <f t="shared" si="62"/>
        <v>687.95896544092113</v>
      </c>
      <c r="BI78" s="60">
        <f ca="1">AVERAGE(OFFSET($BH$3,0,0,'Données projet'!$E$11+1,1))-AVERAGE(OFFSET($H$3,0,0,'Données projet'!$E$11+1,1))</f>
        <v>287.91374663515506</v>
      </c>
      <c r="BJ78" s="60">
        <f t="shared" si="92"/>
        <v>217.76240797006147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252</v>
      </c>
      <c r="BW78" s="13">
        <f>VLOOKUP(A78,'Données projet'!$A$113:$I$133,9,0)</f>
        <v>6.2</v>
      </c>
      <c r="BX78" s="13">
        <f t="array" ref="BX78">INDEX(BW:BW,MIN(IF(ISNUMBER(BW78:BW274),ROW(BW78:BW274),"")))</f>
        <v>6.2</v>
      </c>
      <c r="BY78" s="13">
        <f>IF('Données projet'!$A$114&gt;35,BY77+BX78-CG77,IF(A78&lt;'Données projet'!$A$114,$BV$205^A78,IF(A78='Données projet'!$A$114,'Données projet'!$B$114,BY77+BX78-CG77)))</f>
        <v>251.99999999999989</v>
      </c>
      <c r="BZ78" s="14">
        <f>BY78*VLOOKUP('Données projet'!$B$12,Paramètres!$A$1:$I$89,3,0)*VLOOKUP('Données projet'!$B$12,Paramètres!$A$1:$I$89,5,0)</f>
        <v>228.00959999999986</v>
      </c>
      <c r="CA78" s="14">
        <f t="shared" si="93"/>
        <v>55.852093054619779</v>
      </c>
      <c r="CB78" s="22">
        <f t="shared" si="64"/>
        <v>494.39244873679587</v>
      </c>
      <c r="CC78" s="60">
        <f t="shared" si="65"/>
        <v>787.72578207012918</v>
      </c>
      <c r="CD78" s="60">
        <f ca="1">AVERAGE(OFFSET($CC$3,0,0,'Données projet'!$E$12+1,1))-AVERAGE(OFFSET($H$3,0,0,'Données projet'!$E$12+1,1))</f>
        <v>428.8489304403459</v>
      </c>
      <c r="CE78" s="60">
        <f t="shared" si="94"/>
        <v>247.01165577562966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9.4346153846153786</v>
      </c>
      <c r="CT78" s="13">
        <f>IF('Données projet'!$A$140&gt;35,CT77+CS78-DB77,IF(A78&lt;'Données projet'!$A$140,$CQ$205^A78,IF(A78='Données projet'!$A$140,'Données projet'!$B$140,CT77+CS78-DB77)))</f>
        <v>283.41538461538465</v>
      </c>
      <c r="CU78" s="18">
        <f>CT78*VLOOKUP('Données projet'!$B$13,Paramètres!$A$1:$I$89,3,0)*VLOOKUP('Données projet'!$B$13,Paramètres!$A$1:$I$89,5,0)</f>
        <v>132.63840000000002</v>
      </c>
      <c r="CV78" s="14">
        <f t="shared" si="95"/>
        <v>34.60530136679548</v>
      </c>
      <c r="CW78" s="22">
        <f t="shared" si="67"/>
        <v>291.28277988050218</v>
      </c>
      <c r="CX78" s="60">
        <f t="shared" si="68"/>
        <v>584.61611321383543</v>
      </c>
      <c r="CY78" s="60">
        <f ca="1">AVERAGE(OFFSET($CX$3,0,0,'Données projet'!$E$13+1,1))-AVERAGE(OFFSET($H$3,0,0,'Données projet'!$E$13+1,1))</f>
        <v>284.88646502866419</v>
      </c>
      <c r="CZ78" s="60">
        <f t="shared" si="96"/>
        <v>190.4880882944471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252</v>
      </c>
      <c r="DM78" s="13">
        <f>VLOOKUP(A78,'Données projet'!$A$165:$I$185,9,0)</f>
        <v>6.2</v>
      </c>
      <c r="DN78" s="13">
        <f t="array" ref="DN78">INDEX(DM:DM,MIN(IF(ISNUMBER(DM78:DM274),ROW(DM78:DM274),"")))</f>
        <v>6.2</v>
      </c>
      <c r="DO78" s="13">
        <f>IF('Données projet'!$A$166&gt;35,DO77+DN78-DW77,IF(A78&lt;'Données projet'!$A$166,$DL$205^A78,IF(A78='Données projet'!$A$166,'Données projet'!$B$166,DO77+DN78-DW77)))</f>
        <v>251.99999999999989</v>
      </c>
      <c r="DP78" s="18">
        <f>DO78*VLOOKUP('Données projet'!$B$14,Paramètres!$A$1:$I$89,3,0)*VLOOKUP('Données projet'!$B$14,Paramètres!$A$1:$I$89,5,0)</f>
        <v>271.25279999999987</v>
      </c>
      <c r="DQ78" s="14">
        <f t="shared" si="97"/>
        <v>65.115073390838859</v>
      </c>
      <c r="DR78" s="22">
        <f t="shared" si="70"/>
        <v>585.84071282237744</v>
      </c>
      <c r="DS78" s="60">
        <f t="shared" si="71"/>
        <v>879.17404615571081</v>
      </c>
      <c r="DT78" s="60">
        <f ca="1">AVERAGE(OFFSET($DS$3,0,0,'Données projet'!$E$14+1,1))-AVERAGE(OFFSET($H$3,0,0,'Données projet'!$E$14+1,1))</f>
        <v>502.07782026233912</v>
      </c>
      <c r="DU78" s="60">
        <f t="shared" si="98"/>
        <v>285.83623046025156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270</v>
      </c>
      <c r="EH78" s="13">
        <f>VLOOKUP(A78,'Données projet'!$A$191:$I$211,9,0)</f>
        <v>3.4</v>
      </c>
      <c r="EI78" s="13">
        <f t="array" ref="EI78">INDEX(EH:EH,MIN(IF(ISNUMBER(EH78:EH274),ROW(EH78:EH274),"")))</f>
        <v>3.4</v>
      </c>
      <c r="EJ78" s="13">
        <f>IF('Données projet'!$A$192&gt;35,EJ77+EI78-ER77,IF(A78&lt;'Données projet'!$A$192,$EG$205^A78,IF(A78='Données projet'!$A$192,'Données projet'!$B$192,EJ77+EI78-ER77)))</f>
        <v>269.99999999999983</v>
      </c>
      <c r="EK78" s="18">
        <f>EJ78*VLOOKUP('Données projet'!$B$15,Paramètres!$A$1:$I$89,3,0)*VLOOKUP('Données projet'!$B$15,Paramètres!$A$1:$I$89,5,0)</f>
        <v>235.8719999999999</v>
      </c>
      <c r="EL78" s="14">
        <f t="shared" si="99"/>
        <v>57.550476347015277</v>
      </c>
      <c r="EM78" s="22">
        <f t="shared" si="73"/>
        <v>511.04414630438481</v>
      </c>
      <c r="EN78" s="60">
        <f t="shared" si="74"/>
        <v>804.37747963771812</v>
      </c>
      <c r="EO78" s="60">
        <f ca="1">AVERAGE(OFFSET($EN$3,0,0,'Données projet'!$E$15+1,1))-AVERAGE(OFFSET($H$3,0,0,'Données projet'!$E$15+1,1))</f>
        <v>339.58437495284466</v>
      </c>
      <c r="EP78" s="60">
        <f t="shared" si="100"/>
        <v>371.26234252426531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252</v>
      </c>
      <c r="FC78" s="13">
        <f>VLOOKUP(A78,'Données projet'!$A$217:$I$237,9,0)</f>
        <v>6.2</v>
      </c>
      <c r="FD78" s="13">
        <f t="array" ref="FD78">INDEX(FC:FC,MIN(IF(ISNUMBER(FC78:FC274),ROW(FC78:FC274),"")))</f>
        <v>6.2</v>
      </c>
      <c r="FE78" s="13">
        <f>IF('Données projet'!$A$218&gt;35,FE77+FD78-FM77,IF(A78&lt;'Données projet'!$A$218,$FB$205^A78,IF(A78='Données projet'!$A$218,'Données projet'!$B$218,FE77+FD78-FM77)))</f>
        <v>251.99999999999989</v>
      </c>
      <c r="FF78" s="18">
        <f>FE78*VLOOKUP('Données projet'!$B$16,Paramètres!$A$1:$I$89,3,0)*VLOOKUP('Données projet'!$B$16,Paramètres!$A$1:$I$89,5,0)</f>
        <v>243.73439999999988</v>
      </c>
      <c r="FG78" s="14">
        <f t="shared" si="101"/>
        <v>59.242281392848767</v>
      </c>
      <c r="FH78" s="22">
        <f t="shared" si="76"/>
        <v>527.68438675921141</v>
      </c>
      <c r="FI78" s="60">
        <f t="shared" si="77"/>
        <v>821.01772009254478</v>
      </c>
      <c r="FJ78" s="60">
        <f ca="1">AVERAGE(OFFSET($FI$3,0,0,'Données projet'!$E$16+1,1))-AVERAGE(OFFSET($H$3,0,0,'Données projet'!$E$16+1,1))</f>
        <v>455.50822833641354</v>
      </c>
      <c r="FK78" s="60">
        <f t="shared" si="102"/>
        <v>261.14722581688039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261.61199999999991</v>
      </c>
      <c r="P79" s="14">
        <f t="shared" si="87"/>
        <v>63.065867509496442</v>
      </c>
      <c r="Q79" s="22">
        <f t="shared" si="54"/>
        <v>565.48061924570618</v>
      </c>
      <c r="R79" s="60">
        <f t="shared" si="55"/>
        <v>858.81395257903955</v>
      </c>
      <c r="S79" s="60">
        <f ca="1">AVERAGE(OFFSET($R$3,0,0,'Données projet'!$E$9+1,1))-AVERAGE(OFFSET($H$3,0,0,'Données projet'!$E$9+1,1))</f>
        <v>475.47920969424894</v>
      </c>
      <c r="T79" s="60">
        <f t="shared" si="88"/>
        <v>271.73544012419364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7.5584615384615343</v>
      </c>
      <c r="AI79" s="14">
        <f>IF('Données projet'!$A$62&gt;35,AI78+AH79-AQ78,IF(A79&lt;'Données projet'!$A$62,$AF$205^A79,IF(A79='Données projet'!$A$62,'Données projet'!$B$62,AI78+AH79-AQ78)))</f>
        <v>372.67384615384589</v>
      </c>
      <c r="AJ79" s="14">
        <f>AI79*VLOOKUP('Données projet'!$B$10,Paramètres!$A$1:$I$89,3,0)*VLOOKUP('Données projet'!$B$10,Paramètres!$A$1:$I$89,5,0)</f>
        <v>222.85895999999985</v>
      </c>
      <c r="AK79" s="14">
        <f t="shared" si="89"/>
        <v>54.735798842493168</v>
      </c>
      <c r="AL79" s="22">
        <f t="shared" si="58"/>
        <v>483.47753831734195</v>
      </c>
      <c r="AM79" s="60">
        <f t="shared" si="59"/>
        <v>776.81087165067527</v>
      </c>
      <c r="AN79" s="60">
        <f ca="1">AVERAGE(OFFSET($AM$3,0,0,'Données projet'!$E$10+1,1))-AVERAGE(OFFSET($H$3,0,0,'Données projet'!$E$10+1,1))</f>
        <v>289.24721145176682</v>
      </c>
      <c r="AO79" s="60">
        <f t="shared" si="90"/>
        <v>229.06617320689003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0.63327877109021347</v>
      </c>
      <c r="AW79" s="23">
        <f>EXP(-LN(2)/2)*AW78+(1-EXP(-LN(2)/2))/(LN(2)/2)*AQ79*AT79*VLOOKUP('Données projet'!$B$10,Paramètres!$A$1:$I$89,3,0)*0.475*44/12</f>
        <v>5.2851466675285596E-7</v>
      </c>
      <c r="AX79" s="23">
        <f t="shared" si="60"/>
        <v>0.63327929960488016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6.5015384615384617</v>
      </c>
      <c r="BD79" s="13">
        <f>IF('Données projet'!$A$88&gt;35,BD78+BC79-BL78,IF(A79&lt;'Données projet'!$A$88,$BA$205^A79,IF(A79='Données projet'!$A$88,'Données projet'!$B$88,BD78+BC79-BL78)))</f>
        <v>309.22461538461545</v>
      </c>
      <c r="BE79" s="14">
        <f>BD79*VLOOKUP('Données projet'!$B$11,Paramètres!$A$1:$I$89,3,0)*VLOOKUP('Données projet'!$B$11,Paramètres!$A$1:$I$89,5,0)</f>
        <v>184.91632000000004</v>
      </c>
      <c r="BF79" s="14">
        <f t="shared" si="91"/>
        <v>46.414255509184599</v>
      </c>
      <c r="BG79" s="22">
        <f t="shared" si="61"/>
        <v>402.90075234516326</v>
      </c>
      <c r="BH79" s="60">
        <f t="shared" si="62"/>
        <v>696.23408567849651</v>
      </c>
      <c r="BI79" s="60">
        <f ca="1">AVERAGE(OFFSET($BH$3,0,0,'Données projet'!$E$11+1,1))-AVERAGE(OFFSET($H$3,0,0,'Données projet'!$E$11+1,1))</f>
        <v>287.91374663515506</v>
      </c>
      <c r="BJ79" s="60">
        <f t="shared" si="92"/>
        <v>217.76240797006147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6</v>
      </c>
      <c r="BY79" s="13">
        <f>IF('Données projet'!$A$114&gt;35,BY78+BX79-CG78,IF(A79&lt;'Données projet'!$A$114,$BV$205^A79,IF(A79='Données projet'!$A$114,'Données projet'!$B$114,BY78+BX79-CG78)))</f>
        <v>257.99999999999989</v>
      </c>
      <c r="BZ79" s="14">
        <f>BY79*VLOOKUP('Données projet'!$B$12,Paramètres!$A$1:$I$89,3,0)*VLOOKUP('Données projet'!$B$12,Paramètres!$A$1:$I$89,5,0)</f>
        <v>233.43839999999989</v>
      </c>
      <c r="CA79" s="14">
        <f t="shared" si="93"/>
        <v>57.025500710931624</v>
      </c>
      <c r="CB79" s="22">
        <f t="shared" si="64"/>
        <v>505.89129373820577</v>
      </c>
      <c r="CC79" s="60">
        <f t="shared" si="65"/>
        <v>799.22462707153909</v>
      </c>
      <c r="CD79" s="60">
        <f ca="1">AVERAGE(OFFSET($CC$3,0,0,'Données projet'!$E$12+1,1))-AVERAGE(OFFSET($H$3,0,0,'Données projet'!$E$12+1,1))</f>
        <v>428.8489304403459</v>
      </c>
      <c r="CE79" s="60">
        <f t="shared" si="94"/>
        <v>247.01165577562966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9.4346153846153786</v>
      </c>
      <c r="CT79" s="13">
        <f>IF('Données projet'!$A$140&gt;35,CT78+CS79-DB78,IF(A79&lt;'Données projet'!$A$140,$CQ$205^A79,IF(A79='Données projet'!$A$140,'Données projet'!$B$140,CT78+CS79-DB78)))</f>
        <v>292.85000000000002</v>
      </c>
      <c r="CU79" s="18">
        <f>CT79*VLOOKUP('Données projet'!$B$13,Paramètres!$A$1:$I$89,3,0)*VLOOKUP('Données projet'!$B$13,Paramètres!$A$1:$I$89,5,0)</f>
        <v>137.0538</v>
      </c>
      <c r="CV79" s="14">
        <f t="shared" si="95"/>
        <v>35.621239257433281</v>
      </c>
      <c r="CW79" s="22">
        <f t="shared" si="67"/>
        <v>300.74236004002955</v>
      </c>
      <c r="CX79" s="60">
        <f t="shared" si="68"/>
        <v>594.07569337336281</v>
      </c>
      <c r="CY79" s="60">
        <f ca="1">AVERAGE(OFFSET($CX$3,0,0,'Données projet'!$E$13+1,1))-AVERAGE(OFFSET($H$3,0,0,'Données projet'!$E$13+1,1))</f>
        <v>284.88646502866419</v>
      </c>
      <c r="CZ79" s="60">
        <f t="shared" si="96"/>
        <v>190.4880882944471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257.99999999999989</v>
      </c>
      <c r="DP79" s="18">
        <f>DO79*VLOOKUP('Données projet'!$B$14,Paramètres!$A$1:$I$89,3,0)*VLOOKUP('Données projet'!$B$14,Paramètres!$A$1:$I$89,5,0)</f>
        <v>277.71119999999985</v>
      </c>
      <c r="DQ79" s="14">
        <f t="shared" si="97"/>
        <v>66.483088830893976</v>
      </c>
      <c r="DR79" s="22">
        <f t="shared" si="70"/>
        <v>599.47171971380669</v>
      </c>
      <c r="DS79" s="60">
        <f t="shared" si="71"/>
        <v>892.80505304714006</v>
      </c>
      <c r="DT79" s="60">
        <f ca="1">AVERAGE(OFFSET($DS$3,0,0,'Données projet'!$E$14+1,1))-AVERAGE(OFFSET($H$3,0,0,'Données projet'!$E$14+1,1))</f>
        <v>502.07782026233912</v>
      </c>
      <c r="DU79" s="60">
        <f t="shared" si="98"/>
        <v>285.83623046025156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</v>
      </c>
      <c r="EJ79" s="13">
        <f>IF('Données projet'!$A$192&gt;35,EJ78+EI79-ER78,IF(A79&lt;'Données projet'!$A$192,$EG$205^A79,IF(A79='Données projet'!$A$192,'Données projet'!$B$192,EJ78+EI79-ER78)))</f>
        <v>272.99999999999983</v>
      </c>
      <c r="EK79" s="18">
        <f>EJ79*VLOOKUP('Données projet'!$B$15,Paramètres!$A$1:$I$89,3,0)*VLOOKUP('Données projet'!$B$15,Paramètres!$A$1:$I$89,5,0)</f>
        <v>238.49279999999987</v>
      </c>
      <c r="EL79" s="14">
        <f t="shared" si="99"/>
        <v>58.115130258576542</v>
      </c>
      <c r="EM79" s="22">
        <f t="shared" si="73"/>
        <v>516.59214520035391</v>
      </c>
      <c r="EN79" s="60">
        <f t="shared" si="74"/>
        <v>809.92547853368728</v>
      </c>
      <c r="EO79" s="60">
        <f ca="1">AVERAGE(OFFSET($EN$3,0,0,'Données projet'!$E$15+1,1))-AVERAGE(OFFSET($H$3,0,0,'Données projet'!$E$15+1,1))</f>
        <v>339.58437495284466</v>
      </c>
      <c r="EP79" s="60">
        <f t="shared" si="100"/>
        <v>371.26234252426531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6</v>
      </c>
      <c r="FE79" s="13">
        <f>IF('Données projet'!$A$218&gt;35,FE78+FD79-FM78,IF(A79&lt;'Données projet'!$A$218,$FB$205^A79,IF(A79='Données projet'!$A$218,'Données projet'!$B$218,FE78+FD79-FM78)))</f>
        <v>257.99999999999989</v>
      </c>
      <c r="FF79" s="18">
        <f>FE79*VLOOKUP('Données projet'!$B$16,Paramètres!$A$1:$I$89,3,0)*VLOOKUP('Données projet'!$B$16,Paramètres!$A$1:$I$89,5,0)</f>
        <v>249.53759999999988</v>
      </c>
      <c r="FG79" s="14">
        <f t="shared" si="101"/>
        <v>60.486914185674671</v>
      </c>
      <c r="FH79" s="22">
        <f t="shared" si="76"/>
        <v>539.95936220671649</v>
      </c>
      <c r="FI79" s="60">
        <f t="shared" si="77"/>
        <v>833.29269554004986</v>
      </c>
      <c r="FJ79" s="60">
        <f ca="1">AVERAGE(OFFSET($FI$3,0,0,'Données projet'!$E$16+1,1))-AVERAGE(OFFSET($H$3,0,0,'Données projet'!$E$16+1,1))</f>
        <v>455.50822833641354</v>
      </c>
      <c r="FK79" s="60">
        <f t="shared" si="102"/>
        <v>261.14722581688039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267.69599999999991</v>
      </c>
      <c r="P80" s="14">
        <f t="shared" si="87"/>
        <v>64.360058723585439</v>
      </c>
      <c r="Q80" s="22">
        <f t="shared" si="54"/>
        <v>578.33096894357777</v>
      </c>
      <c r="R80" s="60">
        <f t="shared" si="55"/>
        <v>871.66430227691103</v>
      </c>
      <c r="S80" s="60">
        <f ca="1">AVERAGE(OFFSET($R$3,0,0,'Données projet'!$E$9+1,1))-AVERAGE(OFFSET($H$3,0,0,'Données projet'!$E$9+1,1))</f>
        <v>475.47920969424894</v>
      </c>
      <c r="T80" s="60">
        <f t="shared" si="88"/>
        <v>271.73544012419364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7.5584615384615343</v>
      </c>
      <c r="AI80" s="14">
        <f>IF('Données projet'!$A$62&gt;35,AI79+AH80-AQ79,IF(A80&lt;'Données projet'!$A$62,$AF$205^A80,IF(A80='Données projet'!$A$62,'Données projet'!$B$62,AI79+AH80-AQ79)))</f>
        <v>380.23230769230742</v>
      </c>
      <c r="AJ80" s="14">
        <f>AI80*VLOOKUP('Données projet'!$B$10,Paramètres!$A$1:$I$89,3,0)*VLOOKUP('Données projet'!$B$10,Paramètres!$A$1:$I$89,5,0)</f>
        <v>227.37891999999985</v>
      </c>
      <c r="AK80" s="14">
        <f t="shared" si="89"/>
        <v>55.715565262615499</v>
      </c>
      <c r="AL80" s="22">
        <f t="shared" si="58"/>
        <v>493.05622849905507</v>
      </c>
      <c r="AM80" s="60">
        <f t="shared" si="59"/>
        <v>786.38956183238838</v>
      </c>
      <c r="AN80" s="60">
        <f ca="1">AVERAGE(OFFSET($AM$3,0,0,'Données projet'!$E$10+1,1))-AVERAGE(OFFSET($H$3,0,0,'Données projet'!$E$10+1,1))</f>
        <v>289.24721145176682</v>
      </c>
      <c r="AO80" s="60">
        <f t="shared" si="90"/>
        <v>229.06617320689003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0.61596172979206842</v>
      </c>
      <c r="AW80" s="23">
        <f>EXP(-LN(2)/2)*AW79+(1-EXP(-LN(2)/2))/(LN(2)/2)*AQ80*AT80*VLOOKUP('Données projet'!$B$10,Paramètres!$A$1:$I$89,3,0)*0.475*44/12</f>
        <v>3.7371630481749281E-7</v>
      </c>
      <c r="AX80" s="23">
        <f t="shared" si="60"/>
        <v>0.61596210350837322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6.5015384615384617</v>
      </c>
      <c r="BD80" s="13">
        <f>IF('Données projet'!$A$88&gt;35,BD79+BC80-BL79,IF(A80&lt;'Données projet'!$A$88,$BA$205^A80,IF(A80='Données projet'!$A$88,'Données projet'!$B$88,BD79+BC80-BL79)))</f>
        <v>315.72615384615392</v>
      </c>
      <c r="BE80" s="14">
        <f>BD80*VLOOKUP('Données projet'!$B$11,Paramètres!$A$1:$I$89,3,0)*VLOOKUP('Données projet'!$B$11,Paramètres!$A$1:$I$89,5,0)</f>
        <v>188.80424000000005</v>
      </c>
      <c r="BF80" s="14">
        <f t="shared" si="91"/>
        <v>47.275490233483708</v>
      </c>
      <c r="BG80" s="22">
        <f t="shared" si="61"/>
        <v>411.17219682331756</v>
      </c>
      <c r="BH80" s="60">
        <f t="shared" si="62"/>
        <v>704.50553015665082</v>
      </c>
      <c r="BI80" s="60">
        <f ca="1">AVERAGE(OFFSET($BH$3,0,0,'Données projet'!$E$11+1,1))-AVERAGE(OFFSET($H$3,0,0,'Données projet'!$E$11+1,1))</f>
        <v>287.91374663515506</v>
      </c>
      <c r="BJ80" s="60">
        <f t="shared" si="92"/>
        <v>217.76240797006147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6</v>
      </c>
      <c r="BY80" s="13">
        <f>IF('Données projet'!$A$114&gt;35,BY79+BX80-CG79,IF(A80&lt;'Données projet'!$A$114,$BV$205^A80,IF(A80='Données projet'!$A$114,'Données projet'!$B$114,BY79+BX80-CG79)))</f>
        <v>263.99999999999989</v>
      </c>
      <c r="BZ80" s="14">
        <f>BY80*VLOOKUP('Données projet'!$B$12,Paramètres!$A$1:$I$89,3,0)*VLOOKUP('Données projet'!$B$12,Paramètres!$A$1:$I$89,5,0)</f>
        <v>238.86719999999988</v>
      </c>
      <c r="CA80" s="14">
        <f t="shared" si="93"/>
        <v>58.195735973104156</v>
      </c>
      <c r="CB80" s="22">
        <f t="shared" si="64"/>
        <v>517.38461348648957</v>
      </c>
      <c r="CC80" s="60">
        <f t="shared" si="65"/>
        <v>810.71794681982283</v>
      </c>
      <c r="CD80" s="60">
        <f ca="1">AVERAGE(OFFSET($CC$3,0,0,'Données projet'!$E$12+1,1))-AVERAGE(OFFSET($H$3,0,0,'Données projet'!$E$12+1,1))</f>
        <v>428.8489304403459</v>
      </c>
      <c r="CE80" s="60">
        <f t="shared" si="94"/>
        <v>247.01165577562966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9.4346153846153786</v>
      </c>
      <c r="CT80" s="13">
        <f>IF('Données projet'!$A$140&gt;35,CT79+CS80-DB79,IF(A80&lt;'Données projet'!$A$140,$CQ$205^A80,IF(A80='Données projet'!$A$140,'Données projet'!$B$140,CT79+CS80-DB79)))</f>
        <v>302.28461538461539</v>
      </c>
      <c r="CU80" s="18">
        <f>CT80*VLOOKUP('Données projet'!$B$13,Paramètres!$A$1:$I$89,3,0)*VLOOKUP('Données projet'!$B$13,Paramètres!$A$1:$I$89,5,0)</f>
        <v>141.4692</v>
      </c>
      <c r="CV80" s="14">
        <f t="shared" si="95"/>
        <v>36.633373814313742</v>
      </c>
      <c r="CW80" s="22">
        <f t="shared" si="67"/>
        <v>310.19531605992978</v>
      </c>
      <c r="CX80" s="60">
        <f t="shared" si="68"/>
        <v>603.52864939326309</v>
      </c>
      <c r="CY80" s="60">
        <f ca="1">AVERAGE(OFFSET($CX$3,0,0,'Données projet'!$E$13+1,1))-AVERAGE(OFFSET($H$3,0,0,'Données projet'!$E$13+1,1))</f>
        <v>284.88646502866419</v>
      </c>
      <c r="CZ80" s="60">
        <f t="shared" si="96"/>
        <v>190.4880882944471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263.99999999999989</v>
      </c>
      <c r="DP80" s="18">
        <f>DO80*VLOOKUP('Données projet'!$B$14,Paramètres!$A$1:$I$89,3,0)*VLOOKUP('Données projet'!$B$14,Paramètres!$A$1:$I$89,5,0)</f>
        <v>284.16959999999989</v>
      </c>
      <c r="DQ80" s="14">
        <f t="shared" si="97"/>
        <v>67.847405740313874</v>
      </c>
      <c r="DR80" s="22">
        <f t="shared" si="70"/>
        <v>613.09628499771316</v>
      </c>
      <c r="DS80" s="60">
        <f t="shared" si="71"/>
        <v>906.42961833104641</v>
      </c>
      <c r="DT80" s="60">
        <f ca="1">AVERAGE(OFFSET($DS$3,0,0,'Données projet'!$E$14+1,1))-AVERAGE(OFFSET($H$3,0,0,'Données projet'!$E$14+1,1))</f>
        <v>502.07782026233912</v>
      </c>
      <c r="DU80" s="60">
        <f t="shared" si="98"/>
        <v>285.83623046025156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</v>
      </c>
      <c r="EJ80" s="13">
        <f>IF('Données projet'!$A$192&gt;35,EJ79+EI80-ER79,IF(A80&lt;'Données projet'!$A$192,$EG$205^A80,IF(A80='Données projet'!$A$192,'Données projet'!$B$192,EJ79+EI80-ER79)))</f>
        <v>275.99999999999983</v>
      </c>
      <c r="EK80" s="18">
        <f>EJ80*VLOOKUP('Données projet'!$B$15,Paramètres!$A$1:$I$89,3,0)*VLOOKUP('Données projet'!$B$15,Paramètres!$A$1:$I$89,5,0)</f>
        <v>241.11359999999988</v>
      </c>
      <c r="EL80" s="14">
        <f t="shared" si="99"/>
        <v>58.6790623558988</v>
      </c>
      <c r="EM80" s="22">
        <f t="shared" si="73"/>
        <v>522.13888693652359</v>
      </c>
      <c r="EN80" s="60">
        <f t="shared" si="74"/>
        <v>815.47222026985696</v>
      </c>
      <c r="EO80" s="60">
        <f ca="1">AVERAGE(OFFSET($EN$3,0,0,'Données projet'!$E$15+1,1))-AVERAGE(OFFSET($H$3,0,0,'Données projet'!$E$15+1,1))</f>
        <v>339.58437495284466</v>
      </c>
      <c r="EP80" s="60">
        <f t="shared" si="100"/>
        <v>371.26234252426531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6</v>
      </c>
      <c r="FE80" s="13">
        <f>IF('Données projet'!$A$218&gt;35,FE79+FD80-FM79,IF(A80&lt;'Données projet'!$A$218,$FB$205^A80,IF(A80='Données projet'!$A$218,'Données projet'!$B$218,FE79+FD80-FM79)))</f>
        <v>263.99999999999989</v>
      </c>
      <c r="FF80" s="18">
        <f>FE80*VLOOKUP('Données projet'!$B$16,Paramètres!$A$1:$I$89,3,0)*VLOOKUP('Données projet'!$B$16,Paramètres!$A$1:$I$89,5,0)</f>
        <v>255.34079999999989</v>
      </c>
      <c r="FG80" s="14">
        <f t="shared" si="101"/>
        <v>61.728182021951895</v>
      </c>
      <c r="FH80" s="22">
        <f t="shared" si="76"/>
        <v>552.22847702156594</v>
      </c>
      <c r="FI80" s="60">
        <f t="shared" si="77"/>
        <v>845.56181035489931</v>
      </c>
      <c r="FJ80" s="60">
        <f ca="1">AVERAGE(OFFSET($FI$3,0,0,'Données projet'!$E$16+1,1))-AVERAGE(OFFSET($H$3,0,0,'Données projet'!$E$16+1,1))</f>
        <v>455.50822833641354</v>
      </c>
      <c r="FK80" s="60">
        <f t="shared" si="102"/>
        <v>261.14722581688039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273.77999999999992</v>
      </c>
      <c r="P81" s="14">
        <f t="shared" si="87"/>
        <v>65.650830427167435</v>
      </c>
      <c r="Q81" s="22">
        <f t="shared" si="54"/>
        <v>591.17536299398307</v>
      </c>
      <c r="R81" s="60">
        <f t="shared" si="55"/>
        <v>884.50869632731633</v>
      </c>
      <c r="S81" s="60">
        <f ca="1">AVERAGE(OFFSET($R$3,0,0,'Données projet'!$E$9+1,1))-AVERAGE(OFFSET($H$3,0,0,'Données projet'!$E$9+1,1))</f>
        <v>475.47920969424894</v>
      </c>
      <c r="T81" s="60">
        <f t="shared" si="88"/>
        <v>271.73544012419364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7.5584615384615343</v>
      </c>
      <c r="AI81" s="14">
        <f>IF('Données projet'!$A$62&gt;35,AI80+AH81-AQ80,IF(A81&lt;'Données projet'!$A$62,$AF$205^A81,IF(A81='Données projet'!$A$62,'Données projet'!$B$62,AI80+AH81-AQ80)))</f>
        <v>387.79076923076894</v>
      </c>
      <c r="AJ81" s="14">
        <f>AI81*VLOOKUP('Données projet'!$B$10,Paramètres!$A$1:$I$89,3,0)*VLOOKUP('Données projet'!$B$10,Paramètres!$A$1:$I$89,5,0)</f>
        <v>231.89887999999985</v>
      </c>
      <c r="AK81" s="14">
        <f t="shared" si="89"/>
        <v>56.693067102008712</v>
      </c>
      <c r="AL81" s="22">
        <f t="shared" si="58"/>
        <v>502.63097453599829</v>
      </c>
      <c r="AM81" s="60">
        <f t="shared" si="59"/>
        <v>795.96430786933161</v>
      </c>
      <c r="AN81" s="60">
        <f ca="1">AVERAGE(OFFSET($AM$3,0,0,'Données projet'!$E$10+1,1))-AVERAGE(OFFSET($H$3,0,0,'Données projet'!$E$10+1,1))</f>
        <v>289.24721145176682</v>
      </c>
      <c r="AO81" s="60">
        <f t="shared" si="90"/>
        <v>229.06617320689003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0.59911822389888469</v>
      </c>
      <c r="AW81" s="23">
        <f>EXP(-LN(2)/2)*AW80+(1-EXP(-LN(2)/2))/(LN(2)/2)*AQ81*AT81*VLOOKUP('Données projet'!$B$10,Paramètres!$A$1:$I$89,3,0)*0.475*44/12</f>
        <v>2.6425733337642798E-7</v>
      </c>
      <c r="AX81" s="23">
        <f t="shared" si="60"/>
        <v>0.59911848815621804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6.5015384615384617</v>
      </c>
      <c r="BD81" s="13">
        <f>IF('Données projet'!$A$88&gt;35,BD80+BC81-BL80,IF(A81&lt;'Données projet'!$A$88,$BA$205^A81,IF(A81='Données projet'!$A$88,'Données projet'!$B$88,BD80+BC81-BL80)))</f>
        <v>322.22769230769239</v>
      </c>
      <c r="BE81" s="14">
        <f>BD81*VLOOKUP('Données projet'!$B$11,Paramètres!$A$1:$I$89,3,0)*VLOOKUP('Données projet'!$B$11,Paramètres!$A$1:$I$89,5,0)</f>
        <v>192.69216000000009</v>
      </c>
      <c r="BF81" s="14">
        <f t="shared" si="91"/>
        <v>48.134662941226772</v>
      </c>
      <c r="BG81" s="22">
        <f t="shared" si="61"/>
        <v>419.4400499559701</v>
      </c>
      <c r="BH81" s="60">
        <f t="shared" si="62"/>
        <v>712.77338328930341</v>
      </c>
      <c r="BI81" s="60">
        <f ca="1">AVERAGE(OFFSET($BH$3,0,0,'Données projet'!$E$11+1,1))-AVERAGE(OFFSET($H$3,0,0,'Données projet'!$E$11+1,1))</f>
        <v>287.91374663515506</v>
      </c>
      <c r="BJ81" s="60">
        <f t="shared" si="92"/>
        <v>217.76240797006147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6</v>
      </c>
      <c r="BY81" s="13">
        <f>IF('Données projet'!$A$114&gt;35,BY80+BX81-CG80,IF(A81&lt;'Données projet'!$A$114,$BV$205^A81,IF(A81='Données projet'!$A$114,'Données projet'!$B$114,BY80+BX81-CG80)))</f>
        <v>269.99999999999989</v>
      </c>
      <c r="BZ81" s="14">
        <f>BY81*VLOOKUP('Données projet'!$B$12,Paramètres!$A$1:$I$89,3,0)*VLOOKUP('Données projet'!$B$12,Paramètres!$A$1:$I$89,5,0)</f>
        <v>244.29599999999991</v>
      </c>
      <c r="CA81" s="14">
        <f t="shared" si="93"/>
        <v>59.362879241040318</v>
      </c>
      <c r="CB81" s="22">
        <f t="shared" si="64"/>
        <v>528.87254801147833</v>
      </c>
      <c r="CC81" s="60">
        <f t="shared" si="65"/>
        <v>822.20588134481159</v>
      </c>
      <c r="CD81" s="60">
        <f ca="1">AVERAGE(OFFSET($CC$3,0,0,'Données projet'!$E$12+1,1))-AVERAGE(OFFSET($H$3,0,0,'Données projet'!$E$12+1,1))</f>
        <v>428.8489304403459</v>
      </c>
      <c r="CE81" s="60">
        <f t="shared" si="94"/>
        <v>247.01165577562966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9.4346153846153786</v>
      </c>
      <c r="CT81" s="13">
        <f>IF('Données projet'!$A$140&gt;35,CT80+CS81-DB80,IF(A81&lt;'Données projet'!$A$140,$CQ$205^A81,IF(A81='Données projet'!$A$140,'Données projet'!$B$140,CT80+CS81-DB80)))</f>
        <v>311.71923076923076</v>
      </c>
      <c r="CU81" s="18">
        <f>CT81*VLOOKUP('Données projet'!$B$13,Paramètres!$A$1:$I$89,3,0)*VLOOKUP('Données projet'!$B$13,Paramètres!$A$1:$I$89,5,0)</f>
        <v>145.88460000000001</v>
      </c>
      <c r="CV81" s="14">
        <f t="shared" si="95"/>
        <v>37.641837363948753</v>
      </c>
      <c r="CW81" s="22">
        <f t="shared" si="67"/>
        <v>319.6418784088774</v>
      </c>
      <c r="CX81" s="60">
        <f t="shared" si="68"/>
        <v>612.97521174221072</v>
      </c>
      <c r="CY81" s="60">
        <f ca="1">AVERAGE(OFFSET($CX$3,0,0,'Données projet'!$E$13+1,1))-AVERAGE(OFFSET($H$3,0,0,'Données projet'!$E$13+1,1))</f>
        <v>284.88646502866419</v>
      </c>
      <c r="CZ81" s="60">
        <f t="shared" si="96"/>
        <v>190.4880882944471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269.99999999999989</v>
      </c>
      <c r="DP81" s="18">
        <f>DO81*VLOOKUP('Données projet'!$B$14,Paramètres!$A$1:$I$89,3,0)*VLOOKUP('Données projet'!$B$14,Paramètres!$A$1:$I$89,5,0)</f>
        <v>290.62799999999987</v>
      </c>
      <c r="DQ81" s="14">
        <f t="shared" si="97"/>
        <v>69.208117853196882</v>
      </c>
      <c r="DR81" s="22">
        <f t="shared" si="70"/>
        <v>626.71457192765104</v>
      </c>
      <c r="DS81" s="60">
        <f t="shared" si="71"/>
        <v>920.04790526098441</v>
      </c>
      <c r="DT81" s="60">
        <f ca="1">AVERAGE(OFFSET($DS$3,0,0,'Données projet'!$E$14+1,1))-AVERAGE(OFFSET($H$3,0,0,'Données projet'!$E$14+1,1))</f>
        <v>502.07782026233912</v>
      </c>
      <c r="DU81" s="60">
        <f t="shared" si="98"/>
        <v>285.83623046025156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</v>
      </c>
      <c r="EJ81" s="13">
        <f>IF('Données projet'!$A$192&gt;35,EJ80+EI81-ER80,IF(A81&lt;'Données projet'!$A$192,$EG$205^A81,IF(A81='Données projet'!$A$192,'Données projet'!$B$192,EJ80+EI81-ER80)))</f>
        <v>278.99999999999983</v>
      </c>
      <c r="EK81" s="18">
        <f>EJ81*VLOOKUP('Données projet'!$B$15,Paramètres!$A$1:$I$89,3,0)*VLOOKUP('Données projet'!$B$15,Paramètres!$A$1:$I$89,5,0)</f>
        <v>243.73439999999988</v>
      </c>
      <c r="EL81" s="14">
        <f t="shared" si="99"/>
        <v>59.242281392848767</v>
      </c>
      <c r="EM81" s="22">
        <f t="shared" si="73"/>
        <v>527.68438675921141</v>
      </c>
      <c r="EN81" s="60">
        <f t="shared" si="74"/>
        <v>821.01772009254478</v>
      </c>
      <c r="EO81" s="60">
        <f ca="1">AVERAGE(OFFSET($EN$3,0,0,'Données projet'!$E$15+1,1))-AVERAGE(OFFSET($H$3,0,0,'Données projet'!$E$15+1,1))</f>
        <v>339.58437495284466</v>
      </c>
      <c r="EP81" s="60">
        <f t="shared" si="100"/>
        <v>371.26234252426531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6</v>
      </c>
      <c r="FE81" s="13">
        <f>IF('Données projet'!$A$218&gt;35,FE80+FD81-FM80,IF(A81&lt;'Données projet'!$A$218,$FB$205^A81,IF(A81='Données projet'!$A$218,'Données projet'!$B$218,FE80+FD81-FM80)))</f>
        <v>269.99999999999989</v>
      </c>
      <c r="FF81" s="18">
        <f>FE81*VLOOKUP('Données projet'!$B$16,Paramètres!$A$1:$I$89,3,0)*VLOOKUP('Données projet'!$B$16,Paramètres!$A$1:$I$89,5,0)</f>
        <v>261.14399999999989</v>
      </c>
      <c r="FG81" s="14">
        <f t="shared" si="101"/>
        <v>62.966170181808813</v>
      </c>
      <c r="FH81" s="22">
        <f t="shared" si="76"/>
        <v>564.49187973331675</v>
      </c>
      <c r="FI81" s="60">
        <f t="shared" si="77"/>
        <v>857.82521306665012</v>
      </c>
      <c r="FJ81" s="60">
        <f ca="1">AVERAGE(OFFSET($FI$3,0,0,'Données projet'!$E$16+1,1))-AVERAGE(OFFSET($H$3,0,0,'Données projet'!$E$16+1,1))</f>
        <v>455.50822833641354</v>
      </c>
      <c r="FK81" s="60">
        <f t="shared" si="102"/>
        <v>261.14722581688039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279.86399999999986</v>
      </c>
      <c r="P82" s="14">
        <f t="shared" si="87"/>
        <v>66.938267358965007</v>
      </c>
      <c r="Q82" s="22">
        <f t="shared" si="54"/>
        <v>604.01394898353044</v>
      </c>
      <c r="R82" s="60">
        <f t="shared" si="55"/>
        <v>897.34728231686381</v>
      </c>
      <c r="S82" s="60">
        <f ca="1">AVERAGE(OFFSET($R$3,0,0,'Données projet'!$E$9+1,1))-AVERAGE(OFFSET($H$3,0,0,'Données projet'!$E$9+1,1))</f>
        <v>475.47920969424894</v>
      </c>
      <c r="T82" s="60">
        <f t="shared" si="88"/>
        <v>271.73544012419364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7.5584615384615343</v>
      </c>
      <c r="AI82" s="14">
        <f>IF('Données projet'!$A$62&gt;35,AI81+AH82-AQ81,IF(A82&lt;'Données projet'!$A$62,$AF$205^A82,IF(A82='Données projet'!$A$62,'Données projet'!$B$62,AI81+AH82-AQ81)))</f>
        <v>395.34923076923047</v>
      </c>
      <c r="AJ82" s="14">
        <f>AI82*VLOOKUP('Données projet'!$B$10,Paramètres!$A$1:$I$89,3,0)*VLOOKUP('Données projet'!$B$10,Paramètres!$A$1:$I$89,5,0)</f>
        <v>236.41883999999985</v>
      </c>
      <c r="AK82" s="14">
        <f t="shared" si="89"/>
        <v>57.668353588027863</v>
      </c>
      <c r="AL82" s="22">
        <f t="shared" si="58"/>
        <v>512.20186216581487</v>
      </c>
      <c r="AM82" s="60">
        <f t="shared" si="59"/>
        <v>805.53519549914813</v>
      </c>
      <c r="AN82" s="60">
        <f ca="1">AVERAGE(OFFSET($AM$3,0,0,'Données projet'!$E$10+1,1))-AVERAGE(OFFSET($H$3,0,0,'Données projet'!$E$10+1,1))</f>
        <v>289.24721145176682</v>
      </c>
      <c r="AO82" s="60">
        <f t="shared" si="90"/>
        <v>229.06617320689003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0.58273530456011158</v>
      </c>
      <c r="AW82" s="23">
        <f>EXP(-LN(2)/2)*AW81+(1-EXP(-LN(2)/2))/(LN(2)/2)*AQ82*AT82*VLOOKUP('Données projet'!$B$10,Paramètres!$A$1:$I$89,3,0)*0.475*44/12</f>
        <v>1.868581524087464E-7</v>
      </c>
      <c r="AX82" s="23">
        <f t="shared" si="60"/>
        <v>0.58273549141826397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6.5015384615384617</v>
      </c>
      <c r="BD82" s="13">
        <f>IF('Données projet'!$A$88&gt;35,BD81+BC82-BL81,IF(A82&lt;'Données projet'!$A$88,$BA$205^A82,IF(A82='Données projet'!$A$88,'Données projet'!$B$88,BD81+BC82-BL81)))</f>
        <v>328.72923076923087</v>
      </c>
      <c r="BE82" s="14">
        <f>BD82*VLOOKUP('Données projet'!$B$11,Paramètres!$A$1:$I$89,3,0)*VLOOKUP('Données projet'!$B$11,Paramètres!$A$1:$I$89,5,0)</f>
        <v>196.58008000000009</v>
      </c>
      <c r="BF82" s="14">
        <f t="shared" si="91"/>
        <v>48.991820032078593</v>
      </c>
      <c r="BG82" s="22">
        <f t="shared" si="61"/>
        <v>427.70439255587036</v>
      </c>
      <c r="BH82" s="60">
        <f t="shared" si="62"/>
        <v>721.03772588920367</v>
      </c>
      <c r="BI82" s="60">
        <f ca="1">AVERAGE(OFFSET($BH$3,0,0,'Données projet'!$E$11+1,1))-AVERAGE(OFFSET($H$3,0,0,'Données projet'!$E$11+1,1))</f>
        <v>287.91374663515506</v>
      </c>
      <c r="BJ82" s="60">
        <f t="shared" si="92"/>
        <v>217.76240797006147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6</v>
      </c>
      <c r="BY82" s="13">
        <f>IF('Données projet'!$A$114&gt;35,BY81+BX82-CG81,IF(A82&lt;'Données projet'!$A$114,$BV$205^A82,IF(A82='Données projet'!$A$114,'Données projet'!$B$114,BY81+BX82-CG81)))</f>
        <v>275.99999999999989</v>
      </c>
      <c r="BZ82" s="14">
        <f>BY82*VLOOKUP('Données projet'!$B$12,Paramètres!$A$1:$I$89,3,0)*VLOOKUP('Données projet'!$B$12,Paramètres!$A$1:$I$89,5,0)</f>
        <v>249.7247999999999</v>
      </c>
      <c r="CA82" s="14">
        <f t="shared" si="93"/>
        <v>60.527007137298092</v>
      </c>
      <c r="CB82" s="22">
        <f t="shared" si="64"/>
        <v>540.35523076412733</v>
      </c>
      <c r="CC82" s="60">
        <f t="shared" si="65"/>
        <v>833.68856409746058</v>
      </c>
      <c r="CD82" s="60">
        <f ca="1">AVERAGE(OFFSET($CC$3,0,0,'Données projet'!$E$12+1,1))-AVERAGE(OFFSET($H$3,0,0,'Données projet'!$E$12+1,1))</f>
        <v>428.8489304403459</v>
      </c>
      <c r="CE82" s="60">
        <f t="shared" si="94"/>
        <v>247.01165577562966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>
        <f>VLOOKUP(A82,'Données projet'!$A$139:$I$159,2,0)</f>
        <v>321.15384615384613</v>
      </c>
      <c r="CR82" s="13">
        <f>VLOOKUP(A82,'Données projet'!$A$139:$I$159,9,0)</f>
        <v>9.4346153846153786</v>
      </c>
      <c r="CS82" s="13">
        <f t="array" ref="CS82">INDEX(CR:CR,MIN(IF(ISNUMBER(CR82:CR278),ROW(CR82:CR278),"")))</f>
        <v>9.4346153846153786</v>
      </c>
      <c r="CT82" s="13">
        <f>IF('Données projet'!$A$140&gt;35,CT81+CS82-DB81,IF(A82&lt;'Données projet'!$A$140,$CQ$205^A82,IF(A82='Données projet'!$A$140,'Données projet'!$B$140,CT81+CS82-DB81)))</f>
        <v>321.15384615384613</v>
      </c>
      <c r="CU82" s="18">
        <f>CT82*VLOOKUP('Données projet'!$B$13,Paramètres!$A$1:$I$89,3,0)*VLOOKUP('Données projet'!$B$13,Paramètres!$A$1:$I$89,5,0)</f>
        <v>150.29999999999998</v>
      </c>
      <c r="CV82" s="14">
        <f t="shared" si="95"/>
        <v>38.646753767567567</v>
      </c>
      <c r="CW82" s="22">
        <f t="shared" si="67"/>
        <v>329.08226281184676</v>
      </c>
      <c r="CX82" s="60">
        <f t="shared" si="68"/>
        <v>622.41559614518007</v>
      </c>
      <c r="CY82" s="60">
        <f ca="1">AVERAGE(OFFSET($CX$3,0,0,'Données projet'!$E$13+1,1))-AVERAGE(OFFSET($H$3,0,0,'Données projet'!$E$13+1,1))</f>
        <v>284.88646502866419</v>
      </c>
      <c r="CZ82" s="60">
        <f t="shared" si="96"/>
        <v>190.4880882944471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275.99999999999989</v>
      </c>
      <c r="DP82" s="18">
        <f>DO82*VLOOKUP('Données projet'!$B$14,Paramètres!$A$1:$I$89,3,0)*VLOOKUP('Données projet'!$B$14,Paramètres!$A$1:$I$89,5,0)</f>
        <v>297.08639999999986</v>
      </c>
      <c r="DQ82" s="14">
        <f t="shared" si="97"/>
        <v>70.565314499829583</v>
      </c>
      <c r="DR82" s="22">
        <f t="shared" si="70"/>
        <v>640.3267360872029</v>
      </c>
      <c r="DS82" s="60">
        <f t="shared" si="71"/>
        <v>933.66006942053627</v>
      </c>
      <c r="DT82" s="60">
        <f ca="1">AVERAGE(OFFSET($DS$3,0,0,'Données projet'!$E$14+1,1))-AVERAGE(OFFSET($H$3,0,0,'Données projet'!$E$14+1,1))</f>
        <v>502.07782026233912</v>
      </c>
      <c r="DU82" s="60">
        <f t="shared" si="98"/>
        <v>285.83623046025156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</v>
      </c>
      <c r="EJ82" s="13">
        <f>IF('Données projet'!$A$192&gt;35,EJ81+EI82-ER81,IF(A82&lt;'Données projet'!$A$192,$EG$205^A82,IF(A82='Données projet'!$A$192,'Données projet'!$B$192,EJ81+EI82-ER81)))</f>
        <v>281.99999999999983</v>
      </c>
      <c r="EK82" s="18">
        <f>EJ82*VLOOKUP('Données projet'!$B$15,Paramètres!$A$1:$I$89,3,0)*VLOOKUP('Données projet'!$B$15,Paramètres!$A$1:$I$89,5,0)</f>
        <v>246.35519999999991</v>
      </c>
      <c r="EL82" s="14">
        <f t="shared" si="99"/>
        <v>59.804795924194437</v>
      </c>
      <c r="EM82" s="22">
        <f t="shared" si="73"/>
        <v>533.2286595679717</v>
      </c>
      <c r="EN82" s="60">
        <f t="shared" si="74"/>
        <v>826.56199290130508</v>
      </c>
      <c r="EO82" s="60">
        <f ca="1">AVERAGE(OFFSET($EN$3,0,0,'Données projet'!$E$15+1,1))-AVERAGE(OFFSET($H$3,0,0,'Données projet'!$E$15+1,1))</f>
        <v>339.58437495284466</v>
      </c>
      <c r="EP82" s="60">
        <f t="shared" si="100"/>
        <v>371.26234252426531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6</v>
      </c>
      <c r="FE82" s="13">
        <f>IF('Données projet'!$A$218&gt;35,FE81+FD82-FM81,IF(A82&lt;'Données projet'!$A$218,$FB$205^A82,IF(A82='Données projet'!$A$218,'Données projet'!$B$218,FE81+FD82-FM81)))</f>
        <v>275.99999999999989</v>
      </c>
      <c r="FF82" s="18">
        <f>FE82*VLOOKUP('Données projet'!$B$16,Paramètres!$A$1:$I$89,3,0)*VLOOKUP('Données projet'!$B$16,Paramètres!$A$1:$I$89,5,0)</f>
        <v>266.9471999999999</v>
      </c>
      <c r="FG82" s="14">
        <f t="shared" si="101"/>
        <v>64.200959938746379</v>
      </c>
      <c r="FH82" s="22">
        <f t="shared" si="76"/>
        <v>576.74971189331643</v>
      </c>
      <c r="FI82" s="60">
        <f t="shared" si="77"/>
        <v>870.0830452266498</v>
      </c>
      <c r="FJ82" s="60">
        <f ca="1">AVERAGE(OFFSET($FI$3,0,0,'Données projet'!$E$16+1,1))-AVERAGE(OFFSET($H$3,0,0,'Données projet'!$E$16+1,1))</f>
        <v>455.50822833641354</v>
      </c>
      <c r="FK82" s="60">
        <f t="shared" si="102"/>
        <v>261.14722581688039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285.94799999999992</v>
      </c>
      <c r="P83" s="14">
        <f t="shared" si="87"/>
        <v>68.222450362989363</v>
      </c>
      <c r="Q83" s="22">
        <f t="shared" si="54"/>
        <v>616.84686771553959</v>
      </c>
      <c r="R83" s="60">
        <f t="shared" si="55"/>
        <v>910.18020104887296</v>
      </c>
      <c r="S83" s="60">
        <f ca="1">AVERAGE(OFFSET($R$3,0,0,'Données projet'!$E$9+1,1))-AVERAGE(OFFSET($H$3,0,0,'Données projet'!$E$9+1,1))</f>
        <v>475.47920969424894</v>
      </c>
      <c r="T83" s="60">
        <f t="shared" si="88"/>
        <v>271.73544012419364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402.90769230769229</v>
      </c>
      <c r="AG83" s="13">
        <f>VLOOKUP(A83,'Données projet'!$A$61:$I$81,9,0)</f>
        <v>7.5584615384615343</v>
      </c>
      <c r="AH83" s="13">
        <f t="array" ref="AH83">INDEX(AG:AG,MIN(IF(ISNUMBER(AG83:AG279),ROW(AG83:AG279),"")))</f>
        <v>7.5584615384615343</v>
      </c>
      <c r="AI83" s="14">
        <f>IF('Données projet'!$A$62&gt;35,AI82+AH83-AQ82,IF(A83&lt;'Données projet'!$A$62,$AF$205^A83,IF(A83='Données projet'!$A$62,'Données projet'!$B$62,AI82+AH83-AQ82)))</f>
        <v>402.907692307692</v>
      </c>
      <c r="AJ83" s="14">
        <f>AI83*VLOOKUP('Données projet'!$B$10,Paramètres!$A$1:$I$89,3,0)*VLOOKUP('Données projet'!$B$10,Paramètres!$A$1:$I$89,5,0)</f>
        <v>240.93879999999982</v>
      </c>
      <c r="AK83" s="14">
        <f t="shared" si="89"/>
        <v>58.64147195802866</v>
      </c>
      <c r="AL83" s="22">
        <f t="shared" si="58"/>
        <v>521.76897366023286</v>
      </c>
      <c r="AM83" s="60">
        <f t="shared" si="59"/>
        <v>815.10230699356612</v>
      </c>
      <c r="AN83" s="60">
        <f ca="1">AVERAGE(OFFSET($AM$3,0,0,'Données projet'!$E$10+1,1))-AVERAGE(OFFSET($H$3,0,0,'Données projet'!$E$10+1,1))</f>
        <v>289.24721145176682</v>
      </c>
      <c r="AO83" s="60">
        <f t="shared" si="90"/>
        <v>229.06617320689003</v>
      </c>
      <c r="AP83" s="16">
        <f>IF(ISNA(VLOOKUP(A83,'Données projet'!$A$61:$I$81,3,0)),0,VLOOKUP(A83,'Données projet'!$A$61:$I$81,3,0))</f>
        <v>8</v>
      </c>
      <c r="AQ83" s="16">
        <f>IF(ISNA(VLOOKUP(A83,'Données projet'!$A$61:$I$81,4,0)),0,VLOOKUP(A83,'Données projet'!$A$61:$I$81,4,0))</f>
        <v>402.90769230769229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0.56680037701219754</v>
      </c>
      <c r="AW83" s="23">
        <f>EXP(-LN(2)/2)*AW82+(1-EXP(-LN(2)/2))/(LN(2)/2)*AQ83*AT83*VLOOKUP('Données projet'!$B$10,Paramètres!$A$1:$I$89,3,0)*0.475*44/12</f>
        <v>1.3212866668821399E-7</v>
      </c>
      <c r="AX83" s="23">
        <f t="shared" si="60"/>
        <v>0.56680050914086422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335.23076923076923</v>
      </c>
      <c r="BB83" s="13">
        <f>VLOOKUP(A83,'Données projet'!$A$87:$I$107,9,0)</f>
        <v>6.5015384615384617</v>
      </c>
      <c r="BC83" s="13">
        <f t="array" ref="BC83">INDEX(BB:BB,MIN(IF(ISNUMBER(BB83:BB279),ROW(BB83:BB279),"")))</f>
        <v>6.5015384615384617</v>
      </c>
      <c r="BD83" s="13">
        <f>IF('Données projet'!$A$88&gt;35,BD82+BC83-BL82,IF(A83&lt;'Données projet'!$A$88,$BA$205^A83,IF(A83='Données projet'!$A$88,'Données projet'!$B$88,BD82+BC83-BL82)))</f>
        <v>335.23076923076934</v>
      </c>
      <c r="BE83" s="14">
        <f>BD83*VLOOKUP('Données projet'!$B$11,Paramètres!$A$1:$I$89,3,0)*VLOOKUP('Données projet'!$B$11,Paramètres!$A$1:$I$89,5,0)</f>
        <v>200.4680000000001</v>
      </c>
      <c r="BF83" s="14">
        <f t="shared" si="91"/>
        <v>49.847005965374365</v>
      </c>
      <c r="BG83" s="22">
        <f t="shared" si="61"/>
        <v>435.96530205636054</v>
      </c>
      <c r="BH83" s="60">
        <f t="shared" si="62"/>
        <v>729.2986353896938</v>
      </c>
      <c r="BI83" s="60">
        <f ca="1">AVERAGE(OFFSET($BH$3,0,0,'Données projet'!$E$11+1,1))-AVERAGE(OFFSET($H$3,0,0,'Données projet'!$E$11+1,1))</f>
        <v>287.91374663515506</v>
      </c>
      <c r="BJ83" s="60">
        <f t="shared" si="92"/>
        <v>217.76240797006147</v>
      </c>
      <c r="BK83" s="16">
        <f>IF(ISNA(VLOOKUP(A83,'Données projet'!$A$87:$I$107,3,0)),0,VLOOKUP(A83,'Données projet'!$A$87:$I$107,3,0))</f>
        <v>4</v>
      </c>
      <c r="BL83" s="23">
        <f>IF(ISNA(VLOOKUP(A83,'Données projet'!$A$87:$I$107,4,0)),0,VLOOKUP(A83,'Données projet'!$A$87:$I$107,4,0))</f>
        <v>56.992307692307691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282</v>
      </c>
      <c r="BW83" s="13">
        <f>VLOOKUP(A83,'Données projet'!$A$113:$I$133,9,0)</f>
        <v>6</v>
      </c>
      <c r="BX83" s="13">
        <f t="array" ref="BX83">INDEX(BW:BW,MIN(IF(ISNUMBER(BW83:BW279),ROW(BW83:BW279),"")))</f>
        <v>6</v>
      </c>
      <c r="BY83" s="13">
        <f>IF('Données projet'!$A$114&gt;35,BY82+BX83-CG82,IF(A83&lt;'Données projet'!$A$114,$BV$205^A83,IF(A83='Données projet'!$A$114,'Données projet'!$B$114,BY82+BX83-CG82)))</f>
        <v>281.99999999999989</v>
      </c>
      <c r="BZ83" s="14">
        <f>BY83*VLOOKUP('Données projet'!$B$12,Paramètres!$A$1:$I$89,3,0)*VLOOKUP('Données projet'!$B$12,Paramètres!$A$1:$I$89,5,0)</f>
        <v>255.15359999999987</v>
      </c>
      <c r="CA83" s="14">
        <f t="shared" si="93"/>
        <v>61.688192762754376</v>
      </c>
      <c r="CB83" s="22">
        <f t="shared" si="64"/>
        <v>551.83278906179692</v>
      </c>
      <c r="CC83" s="60">
        <f t="shared" si="65"/>
        <v>845.16612239513029</v>
      </c>
      <c r="CD83" s="60">
        <f ca="1">AVERAGE(OFFSET($CC$3,0,0,'Données projet'!$E$12+1,1))-AVERAGE(OFFSET($H$3,0,0,'Données projet'!$E$12+1,1))</f>
        <v>428.8489304403459</v>
      </c>
      <c r="CE83" s="60">
        <f t="shared" si="94"/>
        <v>247.01165577562966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9.6128205128205195</v>
      </c>
      <c r="CT83" s="13">
        <f>IF('Données projet'!$A$140&gt;35,CT82+CS83-DB82,IF(A83&lt;'Données projet'!$A$140,$CQ$205^A83,IF(A83='Données projet'!$A$140,'Données projet'!$B$140,CT82+CS83-DB82)))</f>
        <v>330.76666666666665</v>
      </c>
      <c r="CU83" s="18">
        <f>CT83*VLOOKUP('Données projet'!$B$13,Paramètres!$A$1:$I$89,3,0)*VLOOKUP('Données projet'!$B$13,Paramètres!$A$1:$I$89,5,0)</f>
        <v>154.7988</v>
      </c>
      <c r="CV83" s="14">
        <f t="shared" si="95"/>
        <v>39.667123391087365</v>
      </c>
      <c r="CW83" s="22">
        <f t="shared" si="67"/>
        <v>338.69481657281045</v>
      </c>
      <c r="CX83" s="60">
        <f t="shared" si="68"/>
        <v>632.02814990614377</v>
      </c>
      <c r="CY83" s="60">
        <f ca="1">AVERAGE(OFFSET($CX$3,0,0,'Données projet'!$E$13+1,1))-AVERAGE(OFFSET($H$3,0,0,'Données projet'!$E$13+1,1))</f>
        <v>284.88646502866419</v>
      </c>
      <c r="CZ83" s="60">
        <f t="shared" si="96"/>
        <v>190.4880882944471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281.99999999999989</v>
      </c>
      <c r="DP83" s="18">
        <f>DO83*VLOOKUP('Données projet'!$B$14,Paramètres!$A$1:$I$89,3,0)*VLOOKUP('Données projet'!$B$14,Paramètres!$A$1:$I$89,5,0)</f>
        <v>303.54479999999984</v>
      </c>
      <c r="DQ83" s="14">
        <f t="shared" si="97"/>
        <v>71.919080904752505</v>
      </c>
      <c r="DR83" s="22">
        <f t="shared" si="70"/>
        <v>653.93292590911028</v>
      </c>
      <c r="DS83" s="60">
        <f t="shared" si="71"/>
        <v>947.26625924244354</v>
      </c>
      <c r="DT83" s="60">
        <f ca="1">AVERAGE(OFFSET($DS$3,0,0,'Données projet'!$E$14+1,1))-AVERAGE(OFFSET($H$3,0,0,'Données projet'!$E$14+1,1))</f>
        <v>502.07782026233912</v>
      </c>
      <c r="DU83" s="60">
        <f t="shared" si="98"/>
        <v>285.83623046025156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42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285</v>
      </c>
      <c r="EH83" s="13">
        <f>VLOOKUP(A83,'Données projet'!$A$191:$I$211,9,0)</f>
        <v>3</v>
      </c>
      <c r="EI83" s="13">
        <f t="array" ref="EI83">INDEX(EH:EH,MIN(IF(ISNUMBER(EH83:EH279),ROW(EH83:EH279),"")))</f>
        <v>3</v>
      </c>
      <c r="EJ83" s="13">
        <f>IF('Données projet'!$A$192&gt;35,EJ82+EI83-ER82,IF(A83&lt;'Données projet'!$A$192,$EG$205^A83,IF(A83='Données projet'!$A$192,'Données projet'!$B$192,EJ82+EI83-ER82)))</f>
        <v>284.99999999999983</v>
      </c>
      <c r="EK83" s="18">
        <f>EJ83*VLOOKUP('Données projet'!$B$15,Paramètres!$A$1:$I$89,3,0)*VLOOKUP('Données projet'!$B$15,Paramètres!$A$1:$I$89,5,0)</f>
        <v>248.97599999999986</v>
      </c>
      <c r="EL83" s="14">
        <f t="shared" si="99"/>
        <v>60.366614312202735</v>
      </c>
      <c r="EM83" s="22">
        <f t="shared" si="73"/>
        <v>538.77171992708611</v>
      </c>
      <c r="EN83" s="60">
        <f t="shared" si="74"/>
        <v>832.10505326041948</v>
      </c>
      <c r="EO83" s="60">
        <f ca="1">AVERAGE(OFFSET($EN$3,0,0,'Données projet'!$E$15+1,1))-AVERAGE(OFFSET($H$3,0,0,'Données projet'!$E$15+1,1))</f>
        <v>339.58437495284466</v>
      </c>
      <c r="EP83" s="60">
        <f t="shared" si="100"/>
        <v>371.26234252426531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285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282</v>
      </c>
      <c r="FC83" s="13">
        <f>VLOOKUP(A83,'Données projet'!$A$217:$I$237,9,0)</f>
        <v>6</v>
      </c>
      <c r="FD83" s="13">
        <f t="array" ref="FD83">INDEX(FC:FC,MIN(IF(ISNUMBER(FC83:FC279),ROW(FC83:FC279),"")))</f>
        <v>6</v>
      </c>
      <c r="FE83" s="13">
        <f>IF('Données projet'!$A$218&gt;35,FE82+FD83-FM82,IF(A83&lt;'Données projet'!$A$218,$FB$205^A83,IF(A83='Données projet'!$A$218,'Données projet'!$B$218,FE82+FD83-FM82)))</f>
        <v>281.99999999999989</v>
      </c>
      <c r="FF83" s="18">
        <f>FE83*VLOOKUP('Données projet'!$B$16,Paramètres!$A$1:$I$89,3,0)*VLOOKUP('Données projet'!$B$16,Paramètres!$A$1:$I$89,5,0)</f>
        <v>272.7503999999999</v>
      </c>
      <c r="FG83" s="14">
        <f t="shared" si="101"/>
        <v>65.432628830820633</v>
      </c>
      <c r="FH83" s="22">
        <f t="shared" si="76"/>
        <v>589.00210854701243</v>
      </c>
      <c r="FI83" s="60">
        <f t="shared" si="77"/>
        <v>882.3354418803458</v>
      </c>
      <c r="FJ83" s="60">
        <f ca="1">AVERAGE(OFFSET($FI$3,0,0,'Données projet'!$E$16+1,1))-AVERAGE(OFFSET($H$3,0,0,'Données projet'!$E$16+1,1))</f>
        <v>455.50822833641354</v>
      </c>
      <c r="FK83" s="60">
        <f t="shared" si="102"/>
        <v>261.14722581688039</v>
      </c>
      <c r="FL83" s="16">
        <f>IF(ISNA(VLOOKUP(A83,'Données projet'!$A$217:$I$237,3,0)),0,VLOOKUP(A83,'Données projet'!$A$217:$I$237,3,0))</f>
        <v>6</v>
      </c>
      <c r="FM83" s="16">
        <f>IF(ISNA(VLOOKUP(A83,'Données projet'!$A$217:$I$237,4,0)),0,VLOOKUP(A83,'Données projet'!$A$217:$I$237,4,0))</f>
        <v>42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249.03839999999994</v>
      </c>
      <c r="P84" s="14">
        <f t="shared" si="87"/>
        <v>60.379982523339947</v>
      </c>
      <c r="Q84" s="22">
        <f t="shared" si="54"/>
        <v>538.90368289481694</v>
      </c>
      <c r="R84" s="60">
        <f t="shared" si="55"/>
        <v>832.2370162281502</v>
      </c>
      <c r="S84" s="60">
        <f ca="1">AVERAGE(OFFSET($R$3,0,0,'Données projet'!$E$9+1,1))-AVERAGE(OFFSET($H$3,0,0,'Données projet'!$E$9+1,1))</f>
        <v>475.47920969424894</v>
      </c>
      <c r="T84" s="60">
        <f t="shared" si="88"/>
        <v>271.73544012419364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-2.8421709430404007E-13</v>
      </c>
      <c r="AJ84" s="14">
        <f>AI84*VLOOKUP('Données projet'!$B$10,Paramètres!$A$1:$I$89,3,0)*VLOOKUP('Données projet'!$B$10,Paramètres!$A$1:$I$89,5,0)</f>
        <v>-1.69961822393816E-13</v>
      </c>
      <c r="AK84" s="14" t="e">
        <f t="shared" si="89"/>
        <v>#NUM!</v>
      </c>
      <c r="AL84" s="22" t="e">
        <f t="shared" si="58"/>
        <v>#NUM!</v>
      </c>
      <c r="AM84" s="60" t="e">
        <f t="shared" si="59"/>
        <v>#NUM!</v>
      </c>
      <c r="AN84" s="60">
        <f ca="1">AVERAGE(OFFSET($AM$3,0,0,'Données projet'!$E$10+1,1))-AVERAGE(OFFSET($H$3,0,0,'Données projet'!$E$10+1,1))</f>
        <v>289.24721145176682</v>
      </c>
      <c r="AO84" s="60">
        <f t="shared" si="90"/>
        <v>229.06617320689003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0.55130119089606267</v>
      </c>
      <c r="AW84" s="23">
        <f>EXP(-LN(2)/2)*AW83+(1-EXP(-LN(2)/2))/(LN(2)/2)*AQ84*AT84*VLOOKUP('Données projet'!$B$10,Paramètres!$A$1:$I$89,3,0)*0.475*44/12</f>
        <v>9.3429076204373201E-8</v>
      </c>
      <c r="AX84" s="23">
        <f t="shared" si="60"/>
        <v>0.55130128432513892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6.3076923076922977</v>
      </c>
      <c r="BD84" s="13">
        <f>IF('Données projet'!$A$88&gt;35,BD83+BC84-BL83,IF(A84&lt;'Données projet'!$A$88,$BA$205^A84,IF(A84='Données projet'!$A$88,'Données projet'!$B$88,BD83+BC84-BL83)))</f>
        <v>284.54615384615397</v>
      </c>
      <c r="BE84" s="14">
        <f>BD84*VLOOKUP('Données projet'!$B$11,Paramètres!$A$1:$I$89,3,0)*VLOOKUP('Données projet'!$B$11,Paramètres!$A$1:$I$89,5,0)</f>
        <v>170.15860000000009</v>
      </c>
      <c r="BF84" s="14">
        <f t="shared" si="91"/>
        <v>43.125542781353012</v>
      </c>
      <c r="BG84" s="22">
        <f t="shared" si="61"/>
        <v>371.46988201085668</v>
      </c>
      <c r="BH84" s="60">
        <f t="shared" si="62"/>
        <v>664.80321534418999</v>
      </c>
      <c r="BI84" s="60">
        <f ca="1">AVERAGE(OFFSET($BH$3,0,0,'Données projet'!$E$11+1,1))-AVERAGE(OFFSET($H$3,0,0,'Données projet'!$E$11+1,1))</f>
        <v>287.91374663515506</v>
      </c>
      <c r="BJ84" s="60">
        <f t="shared" si="92"/>
        <v>217.76240797006147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5.6</v>
      </c>
      <c r="BY84" s="13">
        <f>IF('Données projet'!$A$114&gt;35,BY83+BX84-CG83,IF(A84&lt;'Données projet'!$A$114,$BV$205^A84,IF(A84='Données projet'!$A$114,'Données projet'!$B$114,BY83+BX84-CG83)))</f>
        <v>245.59999999999991</v>
      </c>
      <c r="BZ84" s="14">
        <f>BY84*VLOOKUP('Données projet'!$B$12,Paramètres!$A$1:$I$89,3,0)*VLOOKUP('Données projet'!$B$12,Paramètres!$A$1:$I$89,5,0)</f>
        <v>222.21887999999993</v>
      </c>
      <c r="CA84" s="14">
        <f t="shared" si="93"/>
        <v>54.596866296848852</v>
      </c>
      <c r="CB84" s="22">
        <f t="shared" si="64"/>
        <v>482.12075813367829</v>
      </c>
      <c r="CC84" s="60">
        <f t="shared" si="65"/>
        <v>775.45409146701161</v>
      </c>
      <c r="CD84" s="60">
        <f ca="1">AVERAGE(OFFSET($CC$3,0,0,'Données projet'!$E$12+1,1))-AVERAGE(OFFSET($H$3,0,0,'Données projet'!$E$12+1,1))</f>
        <v>428.8489304403459</v>
      </c>
      <c r="CE84" s="60">
        <f t="shared" si="94"/>
        <v>247.01165577562966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9.6128205128205195</v>
      </c>
      <c r="CT84" s="13">
        <f>IF('Données projet'!$A$140&gt;35,CT83+CS84-DB83,IF(A84&lt;'Données projet'!$A$140,$CQ$205^A84,IF(A84='Données projet'!$A$140,'Données projet'!$B$140,CT83+CS84-DB83)))</f>
        <v>340.37948717948717</v>
      </c>
      <c r="CU84" s="18">
        <f>CT84*VLOOKUP('Données projet'!$B$13,Paramètres!$A$1:$I$89,3,0)*VLOOKUP('Données projet'!$B$13,Paramètres!$A$1:$I$89,5,0)</f>
        <v>159.29759999999999</v>
      </c>
      <c r="CV84" s="14">
        <f t="shared" si="95"/>
        <v>40.684046581672639</v>
      </c>
      <c r="CW84" s="22">
        <f t="shared" si="67"/>
        <v>348.30136779641316</v>
      </c>
      <c r="CX84" s="60">
        <f t="shared" si="68"/>
        <v>641.63470112974642</v>
      </c>
      <c r="CY84" s="60">
        <f ca="1">AVERAGE(OFFSET($CX$3,0,0,'Données projet'!$E$13+1,1))-AVERAGE(OFFSET($H$3,0,0,'Données projet'!$E$13+1,1))</f>
        <v>284.88646502866419</v>
      </c>
      <c r="CZ84" s="60">
        <f t="shared" si="96"/>
        <v>190.4880882944471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245.59999999999991</v>
      </c>
      <c r="DP84" s="18">
        <f>DO84*VLOOKUP('Données projet'!$B$14,Paramètres!$A$1:$I$89,3,0)*VLOOKUP('Données projet'!$B$14,Paramètres!$A$1:$I$89,5,0)</f>
        <v>264.36383999999987</v>
      </c>
      <c r="DQ84" s="14">
        <f t="shared" si="97"/>
        <v>63.651669282160768</v>
      </c>
      <c r="DR84" s="22">
        <f t="shared" si="70"/>
        <v>571.29367866642974</v>
      </c>
      <c r="DS84" s="60">
        <f t="shared" si="71"/>
        <v>864.627011999763</v>
      </c>
      <c r="DT84" s="60">
        <f ca="1">AVERAGE(OFFSET($DS$3,0,0,'Données projet'!$E$14+1,1))-AVERAGE(OFFSET($H$3,0,0,'Données projet'!$E$14+1,1))</f>
        <v>502.07782026233912</v>
      </c>
      <c r="DU84" s="60">
        <f t="shared" si="98"/>
        <v>285.83623046025156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-1.7053025658242404E-13</v>
      </c>
      <c r="EK84" s="18">
        <f>EJ84*VLOOKUP('Données projet'!$B$15,Paramètres!$A$1:$I$89,3,0)*VLOOKUP('Données projet'!$B$15,Paramètres!$A$1:$I$89,5,0)</f>
        <v>-1.4897523215040567E-13</v>
      </c>
      <c r="EL84" s="14" t="e">
        <f t="shared" si="99"/>
        <v>#NUM!</v>
      </c>
      <c r="EM84" s="22" t="e">
        <f t="shared" si="73"/>
        <v>#NUM!</v>
      </c>
      <c r="EN84" s="60" t="e">
        <f t="shared" si="74"/>
        <v>#NUM!</v>
      </c>
      <c r="EO84" s="60">
        <f ca="1">AVERAGE(OFFSET($EN$3,0,0,'Données projet'!$E$15+1,1))-AVERAGE(OFFSET($H$3,0,0,'Données projet'!$E$15+1,1))</f>
        <v>339.58437495284466</v>
      </c>
      <c r="EP84" s="60">
        <f t="shared" si="100"/>
        <v>371.26234252426531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5.6</v>
      </c>
      <c r="FE84" s="13">
        <f>IF('Données projet'!$A$218&gt;35,FE83+FD84-FM83,IF(A84&lt;'Données projet'!$A$218,$FB$205^A84,IF(A84='Données projet'!$A$218,'Données projet'!$B$218,FE83+FD84-FM83)))</f>
        <v>245.59999999999991</v>
      </c>
      <c r="FF84" s="18">
        <f>FE84*VLOOKUP('Données projet'!$B$16,Paramètres!$A$1:$I$89,3,0)*VLOOKUP('Données projet'!$B$16,Paramètres!$A$1:$I$89,5,0)</f>
        <v>237.54431999999991</v>
      </c>
      <c r="FG84" s="14">
        <f t="shared" si="101"/>
        <v>57.910863128487989</v>
      </c>
      <c r="FH84" s="22">
        <f t="shared" si="76"/>
        <v>514.58444394878302</v>
      </c>
      <c r="FI84" s="60">
        <f t="shared" si="77"/>
        <v>807.91777728211628</v>
      </c>
      <c r="FJ84" s="60">
        <f ca="1">AVERAGE(OFFSET($FI$3,0,0,'Données projet'!$E$16+1,1))-AVERAGE(OFFSET($H$3,0,0,'Données projet'!$E$16+1,1))</f>
        <v>455.50822833641354</v>
      </c>
      <c r="FK84" s="60">
        <f t="shared" si="102"/>
        <v>261.14722581688039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254.71679999999992</v>
      </c>
      <c r="P85" s="14">
        <f t="shared" si="87"/>
        <v>61.594871205031538</v>
      </c>
      <c r="Q85" s="22">
        <f t="shared" si="54"/>
        <v>550.9094940154298</v>
      </c>
      <c r="R85" s="60">
        <f t="shared" si="55"/>
        <v>844.24282734876306</v>
      </c>
      <c r="S85" s="60">
        <f ca="1">AVERAGE(OFFSET($R$3,0,0,'Données projet'!$E$9+1,1))-AVERAGE(OFFSET($H$3,0,0,'Données projet'!$E$9+1,1))</f>
        <v>475.47920969424894</v>
      </c>
      <c r="T85" s="60">
        <f t="shared" si="88"/>
        <v>271.73544012419364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-2.8421709430404007E-13</v>
      </c>
      <c r="AJ85" s="14">
        <f>AI85*VLOOKUP('Données projet'!$B$10,Paramètres!$A$1:$I$89,3,0)*VLOOKUP('Données projet'!$B$10,Paramètres!$A$1:$I$89,5,0)</f>
        <v>-1.69961822393816E-13</v>
      </c>
      <c r="AK85" s="14" t="e">
        <f t="shared" si="89"/>
        <v>#NUM!</v>
      </c>
      <c r="AL85" s="22" t="e">
        <f t="shared" si="58"/>
        <v>#NUM!</v>
      </c>
      <c r="AM85" s="60" t="e">
        <f t="shared" si="59"/>
        <v>#NUM!</v>
      </c>
      <c r="AN85" s="60">
        <f ca="1">AVERAGE(OFFSET($AM$3,0,0,'Données projet'!$E$10+1,1))-AVERAGE(OFFSET($H$3,0,0,'Données projet'!$E$10+1,1))</f>
        <v>289.24721145176682</v>
      </c>
      <c r="AO85" s="60">
        <f t="shared" si="90"/>
        <v>229.06617320689003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0.53622583083934017</v>
      </c>
      <c r="AW85" s="23">
        <f>EXP(-LN(2)/2)*AW84+(1-EXP(-LN(2)/2))/(LN(2)/2)*AQ85*AT85*VLOOKUP('Données projet'!$B$10,Paramètres!$A$1:$I$89,3,0)*0.475*44/12</f>
        <v>6.6064333344106995E-8</v>
      </c>
      <c r="AX85" s="23">
        <f t="shared" si="60"/>
        <v>0.5362258969036735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6.3076923076922977</v>
      </c>
      <c r="BD85" s="13">
        <f>IF('Données projet'!$A$88&gt;35,BD84+BC85-BL84,IF(A85&lt;'Données projet'!$A$88,$BA$205^A85,IF(A85='Données projet'!$A$88,'Données projet'!$B$88,BD84+BC85-BL84)))</f>
        <v>290.85384615384629</v>
      </c>
      <c r="BE85" s="14">
        <f>BD85*VLOOKUP('Données projet'!$B$11,Paramètres!$A$1:$I$89,3,0)*VLOOKUP('Données projet'!$B$11,Paramètres!$A$1:$I$89,5,0)</f>
        <v>173.93060000000008</v>
      </c>
      <c r="BF85" s="14">
        <f t="shared" si="91"/>
        <v>43.969172691320942</v>
      </c>
      <c r="BG85" s="22">
        <f t="shared" si="61"/>
        <v>379.50877077071749</v>
      </c>
      <c r="BH85" s="60">
        <f t="shared" si="62"/>
        <v>672.8421041040508</v>
      </c>
      <c r="BI85" s="60">
        <f ca="1">AVERAGE(OFFSET($BH$3,0,0,'Données projet'!$E$11+1,1))-AVERAGE(OFFSET($H$3,0,0,'Données projet'!$E$11+1,1))</f>
        <v>287.91374663515506</v>
      </c>
      <c r="BJ85" s="60">
        <f t="shared" si="92"/>
        <v>217.76240797006147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5.6</v>
      </c>
      <c r="BY85" s="13">
        <f>IF('Données projet'!$A$114&gt;35,BY84+BX85-CG84,IF(A85&lt;'Données projet'!$A$114,$BV$205^A85,IF(A85='Données projet'!$A$114,'Données projet'!$B$114,BY84+BX85-CG84)))</f>
        <v>251.1999999999999</v>
      </c>
      <c r="BZ85" s="14">
        <f>BY85*VLOOKUP('Données projet'!$B$12,Paramètres!$A$1:$I$89,3,0)*VLOOKUP('Données projet'!$B$12,Paramètres!$A$1:$I$89,5,0)</f>
        <v>227.28575999999993</v>
      </c>
      <c r="CA85" s="14">
        <f t="shared" si="93"/>
        <v>55.695394520076327</v>
      </c>
      <c r="CB85" s="22">
        <f t="shared" si="64"/>
        <v>492.85884412246605</v>
      </c>
      <c r="CC85" s="60">
        <f t="shared" si="65"/>
        <v>786.19217745579931</v>
      </c>
      <c r="CD85" s="60">
        <f ca="1">AVERAGE(OFFSET($CC$3,0,0,'Données projet'!$E$12+1,1))-AVERAGE(OFFSET($H$3,0,0,'Données projet'!$E$12+1,1))</f>
        <v>428.8489304403459</v>
      </c>
      <c r="CE85" s="60">
        <f t="shared" si="94"/>
        <v>247.01165577562966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9.6128205128205195</v>
      </c>
      <c r="CT85" s="13">
        <f>IF('Données projet'!$A$140&gt;35,CT84+CS85-DB84,IF(A85&lt;'Données projet'!$A$140,$CQ$205^A85,IF(A85='Données projet'!$A$140,'Données projet'!$B$140,CT84+CS85-DB84)))</f>
        <v>349.99230769230769</v>
      </c>
      <c r="CU85" s="18">
        <f>CT85*VLOOKUP('Données projet'!$B$13,Paramètres!$A$1:$I$89,3,0)*VLOOKUP('Données projet'!$B$13,Paramètres!$A$1:$I$89,5,0)</f>
        <v>163.79640000000001</v>
      </c>
      <c r="CV85" s="14">
        <f t="shared" si="95"/>
        <v>41.697631851997592</v>
      </c>
      <c r="CW85" s="22">
        <f t="shared" si="67"/>
        <v>357.90210547556245</v>
      </c>
      <c r="CX85" s="60">
        <f t="shared" si="68"/>
        <v>651.23543880889576</v>
      </c>
      <c r="CY85" s="60">
        <f ca="1">AVERAGE(OFFSET($CX$3,0,0,'Données projet'!$E$13+1,1))-AVERAGE(OFFSET($H$3,0,0,'Données projet'!$E$13+1,1))</f>
        <v>284.88646502866419</v>
      </c>
      <c r="CZ85" s="60">
        <f t="shared" si="96"/>
        <v>190.4880882944471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251.1999999999999</v>
      </c>
      <c r="DP85" s="18">
        <f>DO85*VLOOKUP('Données projet'!$B$14,Paramètres!$A$1:$I$89,3,0)*VLOOKUP('Données projet'!$B$14,Paramètres!$A$1:$I$89,5,0)</f>
        <v>270.39167999999989</v>
      </c>
      <c r="DQ85" s="14">
        <f t="shared" si="97"/>
        <v>64.932386654872516</v>
      </c>
      <c r="DR85" s="22">
        <f t="shared" si="70"/>
        <v>584.02274942390272</v>
      </c>
      <c r="DS85" s="60">
        <f t="shared" si="71"/>
        <v>877.35608275723598</v>
      </c>
      <c r="DT85" s="60">
        <f ca="1">AVERAGE(OFFSET($DS$3,0,0,'Données projet'!$E$14+1,1))-AVERAGE(OFFSET($H$3,0,0,'Données projet'!$E$14+1,1))</f>
        <v>502.07782026233912</v>
      </c>
      <c r="DU85" s="60">
        <f t="shared" si="98"/>
        <v>285.83623046025156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-1.7053025658242404E-13</v>
      </c>
      <c r="EK85" s="18">
        <f>EJ85*VLOOKUP('Données projet'!$B$15,Paramètres!$A$1:$I$89,3,0)*VLOOKUP('Données projet'!$B$15,Paramètres!$A$1:$I$89,5,0)</f>
        <v>-1.4897523215040567E-13</v>
      </c>
      <c r="EL85" s="14" t="e">
        <f t="shared" si="99"/>
        <v>#NUM!</v>
      </c>
      <c r="EM85" s="22" t="e">
        <f t="shared" si="73"/>
        <v>#NUM!</v>
      </c>
      <c r="EN85" s="60" t="e">
        <f t="shared" si="74"/>
        <v>#NUM!</v>
      </c>
      <c r="EO85" s="60">
        <f ca="1">AVERAGE(OFFSET($EN$3,0,0,'Données projet'!$E$15+1,1))-AVERAGE(OFFSET($H$3,0,0,'Données projet'!$E$15+1,1))</f>
        <v>339.58437495284466</v>
      </c>
      <c r="EP85" s="60">
        <f t="shared" si="100"/>
        <v>371.26234252426531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5.6</v>
      </c>
      <c r="FE85" s="13">
        <f>IF('Données projet'!$A$218&gt;35,FE84+FD85-FM84,IF(A85&lt;'Données projet'!$A$218,$FB$205^A85,IF(A85='Données projet'!$A$218,'Données projet'!$B$218,FE84+FD85-FM84)))</f>
        <v>251.1999999999999</v>
      </c>
      <c r="FF85" s="18">
        <f>FE85*VLOOKUP('Données projet'!$B$16,Paramètres!$A$1:$I$89,3,0)*VLOOKUP('Données projet'!$B$16,Paramètres!$A$1:$I$89,5,0)</f>
        <v>242.96063999999993</v>
      </c>
      <c r="FG85" s="14">
        <f t="shared" si="101"/>
        <v>59.076071351835715</v>
      </c>
      <c r="FH85" s="22">
        <f t="shared" si="76"/>
        <v>526.04727227111368</v>
      </c>
      <c r="FI85" s="60">
        <f t="shared" si="77"/>
        <v>819.38060560444706</v>
      </c>
      <c r="FJ85" s="60">
        <f ca="1">AVERAGE(OFFSET($FI$3,0,0,'Données projet'!$E$16+1,1))-AVERAGE(OFFSET($H$3,0,0,'Données projet'!$E$16+1,1))</f>
        <v>455.50822833641354</v>
      </c>
      <c r="FK85" s="60">
        <f t="shared" si="102"/>
        <v>261.14722581688039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260.39519999999987</v>
      </c>
      <c r="P86" s="14">
        <f t="shared" si="87"/>
        <v>62.806611177714331</v>
      </c>
      <c r="Q86" s="22">
        <f t="shared" si="54"/>
        <v>562.90982113451889</v>
      </c>
      <c r="R86" s="60">
        <f t="shared" si="55"/>
        <v>856.24315446785226</v>
      </c>
      <c r="S86" s="60">
        <f ca="1">AVERAGE(OFFSET($R$3,0,0,'Données projet'!$E$9+1,1))-AVERAGE(OFFSET($H$3,0,0,'Données projet'!$E$9+1,1))</f>
        <v>475.47920969424894</v>
      </c>
      <c r="T86" s="60">
        <f t="shared" si="88"/>
        <v>271.73544012419364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-2.8421709430404007E-13</v>
      </c>
      <c r="AJ86" s="14">
        <f>AI86*VLOOKUP('Données projet'!$B$10,Paramètres!$A$1:$I$89,3,0)*VLOOKUP('Données projet'!$B$10,Paramètres!$A$1:$I$89,5,0)</f>
        <v>-1.69961822393816E-13</v>
      </c>
      <c r="AK86" s="14" t="e">
        <f t="shared" si="89"/>
        <v>#NUM!</v>
      </c>
      <c r="AL86" s="22" t="e">
        <f t="shared" si="58"/>
        <v>#NUM!</v>
      </c>
      <c r="AM86" s="60" t="e">
        <f t="shared" si="59"/>
        <v>#NUM!</v>
      </c>
      <c r="AN86" s="60">
        <f ca="1">AVERAGE(OFFSET($AM$3,0,0,'Données projet'!$E$10+1,1))-AVERAGE(OFFSET($H$3,0,0,'Données projet'!$E$10+1,1))</f>
        <v>289.24721145176682</v>
      </c>
      <c r="AO86" s="60">
        <f t="shared" si="90"/>
        <v>229.06617320689003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0.52156270729614751</v>
      </c>
      <c r="AW86" s="23">
        <f>EXP(-LN(2)/2)*AW85+(1-EXP(-LN(2)/2))/(LN(2)/2)*AQ86*AT86*VLOOKUP('Données projet'!$B$10,Paramètres!$A$1:$I$89,3,0)*0.475*44/12</f>
        <v>4.6714538102186601E-8</v>
      </c>
      <c r="AX86" s="23">
        <f t="shared" si="60"/>
        <v>0.52156275401068564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6.3076923076922977</v>
      </c>
      <c r="BD86" s="13">
        <f>IF('Données projet'!$A$88&gt;35,BD85+BC86-BL85,IF(A86&lt;'Données projet'!$A$88,$BA$205^A86,IF(A86='Données projet'!$A$88,'Données projet'!$B$88,BD85+BC86-BL85)))</f>
        <v>297.16153846153861</v>
      </c>
      <c r="BE86" s="14">
        <f>BD86*VLOOKUP('Données projet'!$B$11,Paramètres!$A$1:$I$89,3,0)*VLOOKUP('Données projet'!$B$11,Paramètres!$A$1:$I$89,5,0)</f>
        <v>177.7026000000001</v>
      </c>
      <c r="BF86" s="14">
        <f t="shared" si="91"/>
        <v>44.810675497980817</v>
      </c>
      <c r="BG86" s="22">
        <f t="shared" si="61"/>
        <v>387.54395482565002</v>
      </c>
      <c r="BH86" s="60">
        <f t="shared" si="62"/>
        <v>680.87728815898333</v>
      </c>
      <c r="BI86" s="60">
        <f ca="1">AVERAGE(OFFSET($BH$3,0,0,'Données projet'!$E$11+1,1))-AVERAGE(OFFSET($H$3,0,0,'Données projet'!$E$11+1,1))</f>
        <v>287.91374663515506</v>
      </c>
      <c r="BJ86" s="60">
        <f t="shared" si="92"/>
        <v>217.76240797006147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5.6</v>
      </c>
      <c r="BY86" s="13">
        <f>IF('Données projet'!$A$114&gt;35,BY85+BX86-CG85,IF(A86&lt;'Données projet'!$A$114,$BV$205^A86,IF(A86='Données projet'!$A$114,'Données projet'!$B$114,BY85+BX86-CG85)))</f>
        <v>256.7999999999999</v>
      </c>
      <c r="BZ86" s="14">
        <f>BY86*VLOOKUP('Données projet'!$B$12,Paramètres!$A$1:$I$89,3,0)*VLOOKUP('Données projet'!$B$12,Paramètres!$A$1:$I$89,5,0)</f>
        <v>232.35263999999989</v>
      </c>
      <c r="CA86" s="14">
        <f t="shared" si="93"/>
        <v>56.791075613550255</v>
      </c>
      <c r="CB86" s="22">
        <f t="shared" si="64"/>
        <v>503.59197136026643</v>
      </c>
      <c r="CC86" s="60">
        <f t="shared" si="65"/>
        <v>796.92530469359974</v>
      </c>
      <c r="CD86" s="60">
        <f ca="1">AVERAGE(OFFSET($CC$3,0,0,'Données projet'!$E$12+1,1))-AVERAGE(OFFSET($H$3,0,0,'Données projet'!$E$12+1,1))</f>
        <v>428.8489304403459</v>
      </c>
      <c r="CE86" s="60">
        <f t="shared" si="94"/>
        <v>247.01165577562966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9.6128205128205195</v>
      </c>
      <c r="CT86" s="13">
        <f>IF('Données projet'!$A$140&gt;35,CT85+CS86-DB85,IF(A86&lt;'Données projet'!$A$140,$CQ$205^A86,IF(A86='Données projet'!$A$140,'Données projet'!$B$140,CT85+CS86-DB85)))</f>
        <v>359.60512820512821</v>
      </c>
      <c r="CU86" s="18">
        <f>CT86*VLOOKUP('Données projet'!$B$13,Paramètres!$A$1:$I$89,3,0)*VLOOKUP('Données projet'!$B$13,Paramètres!$A$1:$I$89,5,0)</f>
        <v>168.29520000000002</v>
      </c>
      <c r="CV86" s="14">
        <f t="shared" si="95"/>
        <v>42.707981414721587</v>
      </c>
      <c r="CW86" s="22">
        <f t="shared" si="67"/>
        <v>367.4972076306401</v>
      </c>
      <c r="CX86" s="60">
        <f t="shared" si="68"/>
        <v>660.83054096397336</v>
      </c>
      <c r="CY86" s="60">
        <f ca="1">AVERAGE(OFFSET($CX$3,0,0,'Données projet'!$E$13+1,1))-AVERAGE(OFFSET($H$3,0,0,'Données projet'!$E$13+1,1))</f>
        <v>284.88646502866419</v>
      </c>
      <c r="CZ86" s="60">
        <f t="shared" si="96"/>
        <v>190.4880882944471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256.7999999999999</v>
      </c>
      <c r="DP86" s="18">
        <f>DO86*VLOOKUP('Données projet'!$B$14,Paramètres!$A$1:$I$89,3,0)*VLOOKUP('Données projet'!$B$14,Paramètres!$A$1:$I$89,5,0)</f>
        <v>276.41951999999986</v>
      </c>
      <c r="DQ86" s="14">
        <f t="shared" si="97"/>
        <v>66.209784705913108</v>
      </c>
      <c r="DR86" s="22">
        <f t="shared" si="70"/>
        <v>596.74603902946512</v>
      </c>
      <c r="DS86" s="60">
        <f t="shared" si="71"/>
        <v>890.07937236279849</v>
      </c>
      <c r="DT86" s="60">
        <f ca="1">AVERAGE(OFFSET($DS$3,0,0,'Données projet'!$E$14+1,1))-AVERAGE(OFFSET($H$3,0,0,'Données projet'!$E$14+1,1))</f>
        <v>502.07782026233912</v>
      </c>
      <c r="DU86" s="60">
        <f t="shared" si="98"/>
        <v>285.83623046025156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-1.7053025658242404E-13</v>
      </c>
      <c r="EK86" s="18">
        <f>EJ86*VLOOKUP('Données projet'!$B$15,Paramètres!$A$1:$I$89,3,0)*VLOOKUP('Données projet'!$B$15,Paramètres!$A$1:$I$89,5,0)</f>
        <v>-1.4897523215040567E-13</v>
      </c>
      <c r="EL86" s="14" t="e">
        <f t="shared" si="99"/>
        <v>#NUM!</v>
      </c>
      <c r="EM86" s="22" t="e">
        <f t="shared" si="73"/>
        <v>#NUM!</v>
      </c>
      <c r="EN86" s="60" t="e">
        <f t="shared" si="74"/>
        <v>#NUM!</v>
      </c>
      <c r="EO86" s="60">
        <f ca="1">AVERAGE(OFFSET($EN$3,0,0,'Données projet'!$E$15+1,1))-AVERAGE(OFFSET($H$3,0,0,'Données projet'!$E$15+1,1))</f>
        <v>339.58437495284466</v>
      </c>
      <c r="EP86" s="60">
        <f t="shared" si="100"/>
        <v>371.26234252426531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5.6</v>
      </c>
      <c r="FE86" s="13">
        <f>IF('Données projet'!$A$218&gt;35,FE85+FD86-FM85,IF(A86&lt;'Données projet'!$A$218,$FB$205^A86,IF(A86='Données projet'!$A$218,'Données projet'!$B$218,FE85+FD86-FM85)))</f>
        <v>256.7999999999999</v>
      </c>
      <c r="FF86" s="18">
        <f>FE86*VLOOKUP('Données projet'!$B$16,Paramètres!$A$1:$I$89,3,0)*VLOOKUP('Données projet'!$B$16,Paramètres!$A$1:$I$89,5,0)</f>
        <v>248.37695999999988</v>
      </c>
      <c r="FG86" s="14">
        <f t="shared" si="101"/>
        <v>60.238259626372319</v>
      </c>
      <c r="FH86" s="22">
        <f t="shared" si="76"/>
        <v>537.50484084926495</v>
      </c>
      <c r="FI86" s="60">
        <f t="shared" si="77"/>
        <v>830.83817418259832</v>
      </c>
      <c r="FJ86" s="60">
        <f ca="1">AVERAGE(OFFSET($FI$3,0,0,'Données projet'!$E$16+1,1))-AVERAGE(OFFSET($H$3,0,0,'Données projet'!$E$16+1,1))</f>
        <v>455.50822833641354</v>
      </c>
      <c r="FK86" s="60">
        <f t="shared" si="102"/>
        <v>261.14722581688039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266.07359999999994</v>
      </c>
      <c r="P87" s="14">
        <f t="shared" si="87"/>
        <v>64.015279012301136</v>
      </c>
      <c r="Q87" s="22">
        <f t="shared" si="54"/>
        <v>574.90479761309098</v>
      </c>
      <c r="R87" s="60">
        <f t="shared" si="55"/>
        <v>868.23813094642423</v>
      </c>
      <c r="S87" s="60">
        <f ca="1">AVERAGE(OFFSET($R$3,0,0,'Données projet'!$E$9+1,1))-AVERAGE(OFFSET($H$3,0,0,'Données projet'!$E$9+1,1))</f>
        <v>475.47920969424894</v>
      </c>
      <c r="T87" s="60">
        <f t="shared" si="88"/>
        <v>271.73544012419364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-2.8421709430404007E-13</v>
      </c>
      <c r="AJ87" s="14">
        <f>AI87*VLOOKUP('Données projet'!$B$10,Paramètres!$A$1:$I$89,3,0)*VLOOKUP('Données projet'!$B$10,Paramètres!$A$1:$I$89,5,0)</f>
        <v>-1.69961822393816E-13</v>
      </c>
      <c r="AK87" s="14" t="e">
        <f t="shared" si="89"/>
        <v>#NUM!</v>
      </c>
      <c r="AL87" s="22" t="e">
        <f t="shared" si="58"/>
        <v>#NUM!</v>
      </c>
      <c r="AM87" s="60" t="e">
        <f t="shared" si="59"/>
        <v>#NUM!</v>
      </c>
      <c r="AN87" s="60">
        <f ca="1">AVERAGE(OFFSET($AM$3,0,0,'Données projet'!$E$10+1,1))-AVERAGE(OFFSET($H$3,0,0,'Données projet'!$E$10+1,1))</f>
        <v>289.24721145176682</v>
      </c>
      <c r="AO87" s="60">
        <f t="shared" si="90"/>
        <v>229.06617320689003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0.50730054763734367</v>
      </c>
      <c r="AW87" s="23">
        <f>EXP(-LN(2)/2)*AW86+(1-EXP(-LN(2)/2))/(LN(2)/2)*AQ87*AT87*VLOOKUP('Données projet'!$B$10,Paramètres!$A$1:$I$89,3,0)*0.475*44/12</f>
        <v>3.3032166672053497E-8</v>
      </c>
      <c r="AX87" s="23">
        <f t="shared" si="60"/>
        <v>0.50730058066951034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6.3076923076922977</v>
      </c>
      <c r="BD87" s="13">
        <f>IF('Données projet'!$A$88&gt;35,BD86+BC87-BL86,IF(A87&lt;'Données projet'!$A$88,$BA$205^A87,IF(A87='Données projet'!$A$88,'Données projet'!$B$88,BD86+BC87-BL86)))</f>
        <v>303.46923076923093</v>
      </c>
      <c r="BE87" s="14">
        <f>BD87*VLOOKUP('Données projet'!$B$11,Paramètres!$A$1:$I$89,3,0)*VLOOKUP('Données projet'!$B$11,Paramètres!$A$1:$I$89,5,0)</f>
        <v>181.47460000000009</v>
      </c>
      <c r="BF87" s="14">
        <f t="shared" si="91"/>
        <v>45.650101553221653</v>
      </c>
      <c r="BG87" s="22">
        <f t="shared" si="61"/>
        <v>395.57552187186116</v>
      </c>
      <c r="BH87" s="60">
        <f t="shared" si="62"/>
        <v>688.90885520519441</v>
      </c>
      <c r="BI87" s="60">
        <f ca="1">AVERAGE(OFFSET($BH$3,0,0,'Données projet'!$E$11+1,1))-AVERAGE(OFFSET($H$3,0,0,'Données projet'!$E$11+1,1))</f>
        <v>287.91374663515506</v>
      </c>
      <c r="BJ87" s="60">
        <f t="shared" si="92"/>
        <v>217.76240797006147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5.6</v>
      </c>
      <c r="BY87" s="13">
        <f>IF('Données projet'!$A$114&gt;35,BY86+BX87-CG86,IF(A87&lt;'Données projet'!$A$114,$BV$205^A87,IF(A87='Données projet'!$A$114,'Données projet'!$B$114,BY86+BX87-CG86)))</f>
        <v>262.39999999999992</v>
      </c>
      <c r="BZ87" s="14">
        <f>BY87*VLOOKUP('Données projet'!$B$12,Paramètres!$A$1:$I$89,3,0)*VLOOKUP('Données projet'!$B$12,Paramètres!$A$1:$I$89,5,0)</f>
        <v>237.41951999999992</v>
      </c>
      <c r="CA87" s="14">
        <f t="shared" si="93"/>
        <v>57.883978814320919</v>
      </c>
      <c r="CB87" s="22">
        <f t="shared" si="64"/>
        <v>514.32026043494204</v>
      </c>
      <c r="CC87" s="60">
        <f t="shared" si="65"/>
        <v>807.65359376827541</v>
      </c>
      <c r="CD87" s="60">
        <f ca="1">AVERAGE(OFFSET($CC$3,0,0,'Données projet'!$E$12+1,1))-AVERAGE(OFFSET($H$3,0,0,'Données projet'!$E$12+1,1))</f>
        <v>428.8489304403459</v>
      </c>
      <c r="CE87" s="60">
        <f t="shared" si="94"/>
        <v>247.01165577562966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9.6128205128205195</v>
      </c>
      <c r="CT87" s="13">
        <f>IF('Données projet'!$A$140&gt;35,CT86+CS87-DB86,IF(A87&lt;'Données projet'!$A$140,$CQ$205^A87,IF(A87='Données projet'!$A$140,'Données projet'!$B$140,CT86+CS87-DB86)))</f>
        <v>369.21794871794873</v>
      </c>
      <c r="CU87" s="18">
        <f>CT87*VLOOKUP('Données projet'!$B$13,Paramètres!$A$1:$I$89,3,0)*VLOOKUP('Données projet'!$B$13,Paramètres!$A$1:$I$89,5,0)</f>
        <v>172.79400000000001</v>
      </c>
      <c r="CV87" s="14">
        <f t="shared" si="95"/>
        <v>43.715191706757231</v>
      </c>
      <c r="CW87" s="22">
        <f t="shared" si="67"/>
        <v>377.08684222260217</v>
      </c>
      <c r="CX87" s="60">
        <f t="shared" si="68"/>
        <v>670.42017555593543</v>
      </c>
      <c r="CY87" s="60">
        <f ca="1">AVERAGE(OFFSET($CX$3,0,0,'Données projet'!$E$13+1,1))-AVERAGE(OFFSET($H$3,0,0,'Données projet'!$E$13+1,1))</f>
        <v>284.88646502866419</v>
      </c>
      <c r="CZ87" s="60">
        <f t="shared" si="96"/>
        <v>190.4880882944471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262.39999999999992</v>
      </c>
      <c r="DP87" s="18">
        <f>DO87*VLOOKUP('Données projet'!$B$14,Paramètres!$A$1:$I$89,3,0)*VLOOKUP('Données projet'!$B$14,Paramètres!$A$1:$I$89,5,0)</f>
        <v>282.44735999999989</v>
      </c>
      <c r="DQ87" s="14">
        <f t="shared" si="97"/>
        <v>67.48394415518699</v>
      </c>
      <c r="DR87" s="22">
        <f t="shared" si="70"/>
        <v>609.46368807028375</v>
      </c>
      <c r="DS87" s="60">
        <f t="shared" si="71"/>
        <v>902.79702140361701</v>
      </c>
      <c r="DT87" s="60">
        <f ca="1">AVERAGE(OFFSET($DS$3,0,0,'Données projet'!$E$14+1,1))-AVERAGE(OFFSET($H$3,0,0,'Données projet'!$E$14+1,1))</f>
        <v>502.07782026233912</v>
      </c>
      <c r="DU87" s="60">
        <f t="shared" si="98"/>
        <v>285.83623046025156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-1.7053025658242404E-13</v>
      </c>
      <c r="EK87" s="18">
        <f>EJ87*VLOOKUP('Données projet'!$B$15,Paramètres!$A$1:$I$89,3,0)*VLOOKUP('Données projet'!$B$15,Paramètres!$A$1:$I$89,5,0)</f>
        <v>-1.4897523215040567E-13</v>
      </c>
      <c r="EL87" s="14" t="e">
        <f t="shared" si="99"/>
        <v>#NUM!</v>
      </c>
      <c r="EM87" s="22" t="e">
        <f t="shared" si="73"/>
        <v>#NUM!</v>
      </c>
      <c r="EN87" s="60" t="e">
        <f t="shared" si="74"/>
        <v>#NUM!</v>
      </c>
      <c r="EO87" s="60">
        <f ca="1">AVERAGE(OFFSET($EN$3,0,0,'Données projet'!$E$15+1,1))-AVERAGE(OFFSET($H$3,0,0,'Données projet'!$E$15+1,1))</f>
        <v>339.58437495284466</v>
      </c>
      <c r="EP87" s="60">
        <f t="shared" si="100"/>
        <v>371.26234252426531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5.6</v>
      </c>
      <c r="FE87" s="13">
        <f>IF('Données projet'!$A$218&gt;35,FE86+FD87-FM86,IF(A87&lt;'Données projet'!$A$218,$FB$205^A87,IF(A87='Données projet'!$A$218,'Données projet'!$B$218,FE86+FD87-FM86)))</f>
        <v>262.39999999999992</v>
      </c>
      <c r="FF87" s="18">
        <f>FE87*VLOOKUP('Données projet'!$B$16,Paramètres!$A$1:$I$89,3,0)*VLOOKUP('Données projet'!$B$16,Paramètres!$A$1:$I$89,5,0)</f>
        <v>253.79327999999995</v>
      </c>
      <c r="FG87" s="14">
        <f t="shared" si="101"/>
        <v>61.39750139179521</v>
      </c>
      <c r="FH87" s="22">
        <f t="shared" si="76"/>
        <v>548.95727759070985</v>
      </c>
      <c r="FI87" s="60">
        <f t="shared" si="77"/>
        <v>842.29061092404322</v>
      </c>
      <c r="FJ87" s="60">
        <f ca="1">AVERAGE(OFFSET($FI$3,0,0,'Données projet'!$E$16+1,1))-AVERAGE(OFFSET($H$3,0,0,'Données projet'!$E$16+1,1))</f>
        <v>455.50822833641354</v>
      </c>
      <c r="FK87" s="60">
        <f t="shared" si="102"/>
        <v>261.14722581688039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271.75199999999995</v>
      </c>
      <c r="P88" s="14">
        <f t="shared" si="87"/>
        <v>65.220947824724931</v>
      </c>
      <c r="Q88" s="22">
        <f t="shared" si="54"/>
        <v>586.89455079472907</v>
      </c>
      <c r="R88" s="60">
        <f t="shared" si="55"/>
        <v>880.22788412806244</v>
      </c>
      <c r="S88" s="60">
        <f ca="1">AVERAGE(OFFSET($R$3,0,0,'Données projet'!$E$9+1,1))-AVERAGE(OFFSET($H$3,0,0,'Données projet'!$E$9+1,1))</f>
        <v>475.47920969424894</v>
      </c>
      <c r="T88" s="60">
        <f t="shared" si="88"/>
        <v>271.73544012419364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-2.8421709430404007E-13</v>
      </c>
      <c r="AJ88" s="14">
        <f>AI88*VLOOKUP('Données projet'!$B$10,Paramètres!$A$1:$I$89,3,0)*VLOOKUP('Données projet'!$B$10,Paramètres!$A$1:$I$89,5,0)</f>
        <v>-1.69961822393816E-13</v>
      </c>
      <c r="AK88" s="14" t="e">
        <f t="shared" si="89"/>
        <v>#NUM!</v>
      </c>
      <c r="AL88" s="22" t="e">
        <f t="shared" si="58"/>
        <v>#NUM!</v>
      </c>
      <c r="AM88" s="60" t="e">
        <f t="shared" si="59"/>
        <v>#NUM!</v>
      </c>
      <c r="AN88" s="60">
        <f ca="1">AVERAGE(OFFSET($AM$3,0,0,'Données projet'!$E$10+1,1))-AVERAGE(OFFSET($H$3,0,0,'Données projet'!$E$10+1,1))</f>
        <v>289.24721145176682</v>
      </c>
      <c r="AO88" s="60">
        <f t="shared" si="90"/>
        <v>229.06617320689003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0.49342838748442414</v>
      </c>
      <c r="AW88" s="23">
        <f>EXP(-LN(2)/2)*AW87+(1-EXP(-LN(2)/2))/(LN(2)/2)*AQ88*AT88*VLOOKUP('Données projet'!$B$10,Paramètres!$A$1:$I$89,3,0)*0.475*44/12</f>
        <v>2.33572690510933E-8</v>
      </c>
      <c r="AX88" s="23">
        <f t="shared" si="60"/>
        <v>0.4934284108416932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309.77692307692303</v>
      </c>
      <c r="BB88" s="13">
        <f>VLOOKUP(A88,'Données projet'!$A$87:$I$107,9,0)</f>
        <v>6.3076923076922977</v>
      </c>
      <c r="BC88" s="13">
        <f t="array" ref="BC88">INDEX(BB:BB,MIN(IF(ISNUMBER(BB88:BB284),ROW(BB88:BB284),"")))</f>
        <v>6.3076923076922977</v>
      </c>
      <c r="BD88" s="13">
        <f>IF('Données projet'!$A$88&gt;35,BD87+BC88-BL87,IF(A88&lt;'Données projet'!$A$88,$BA$205^A88,IF(A88='Données projet'!$A$88,'Données projet'!$B$88,BD87+BC88-BL87)))</f>
        <v>309.77692307692325</v>
      </c>
      <c r="BE88" s="14">
        <f>BD88*VLOOKUP('Données projet'!$B$11,Paramètres!$A$1:$I$89,3,0)*VLOOKUP('Données projet'!$B$11,Paramètres!$A$1:$I$89,5,0)</f>
        <v>185.24660000000011</v>
      </c>
      <c r="BF88" s="14">
        <f t="shared" si="91"/>
        <v>46.487498996153711</v>
      </c>
      <c r="BG88" s="22">
        <f t="shared" si="61"/>
        <v>403.60355575163453</v>
      </c>
      <c r="BH88" s="60">
        <f t="shared" si="62"/>
        <v>696.93688908496779</v>
      </c>
      <c r="BI88" s="60">
        <f ca="1">AVERAGE(OFFSET($BH$3,0,0,'Données projet'!$E$11+1,1))-AVERAGE(OFFSET($H$3,0,0,'Données projet'!$E$11+1,1))</f>
        <v>287.91374663515506</v>
      </c>
      <c r="BJ88" s="60">
        <f t="shared" si="92"/>
        <v>217.76240797006147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5.6</v>
      </c>
      <c r="BY88" s="13">
        <f>IF('Données projet'!$A$114&gt;35,BY87+BX88-CG87,IF(A88&lt;'Données projet'!$A$114,$BV$205^A88,IF(A88='Données projet'!$A$114,'Données projet'!$B$114,BY87+BX88-CG87)))</f>
        <v>267.99999999999994</v>
      </c>
      <c r="BZ88" s="14">
        <f>BY88*VLOOKUP('Données projet'!$B$12,Paramètres!$A$1:$I$89,3,0)*VLOOKUP('Données projet'!$B$12,Paramètres!$A$1:$I$89,5,0)</f>
        <v>242.48639999999995</v>
      </c>
      <c r="CA88" s="14">
        <f t="shared" si="93"/>
        <v>58.974170235372419</v>
      </c>
      <c r="CB88" s="22">
        <f t="shared" si="64"/>
        <v>525.04382649327351</v>
      </c>
      <c r="CC88" s="60">
        <f t="shared" si="65"/>
        <v>818.37715982660688</v>
      </c>
      <c r="CD88" s="60">
        <f ca="1">AVERAGE(OFFSET($CC$3,0,0,'Données projet'!$E$12+1,1))-AVERAGE(OFFSET($H$3,0,0,'Données projet'!$E$12+1,1))</f>
        <v>428.8489304403459</v>
      </c>
      <c r="CE88" s="60">
        <f t="shared" si="94"/>
        <v>247.01165577562966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378.83076923076925</v>
      </c>
      <c r="CR88" s="13">
        <f>VLOOKUP(A88,'Données projet'!$A$139:$I$159,9,0)</f>
        <v>9.6128205128205195</v>
      </c>
      <c r="CS88" s="13">
        <f t="array" ref="CS88">INDEX(CR:CR,MIN(IF(ISNUMBER(CR88:CR284),ROW(CR88:CR284),"")))</f>
        <v>9.6128205128205195</v>
      </c>
      <c r="CT88" s="13">
        <f>IF('Données projet'!$A$140&gt;35,CT87+CS88-DB87,IF(A88&lt;'Données projet'!$A$140,$CQ$205^A88,IF(A88='Données projet'!$A$140,'Données projet'!$B$140,CT87+CS88-DB87)))</f>
        <v>378.83076923076925</v>
      </c>
      <c r="CU88" s="18">
        <f>CT88*VLOOKUP('Données projet'!$B$13,Paramètres!$A$1:$I$89,3,0)*VLOOKUP('Données projet'!$B$13,Paramètres!$A$1:$I$89,5,0)</f>
        <v>177.2928</v>
      </c>
      <c r="CV88" s="14">
        <f t="shared" si="95"/>
        <v>44.719353857403867</v>
      </c>
      <c r="CW88" s="22">
        <f t="shared" si="67"/>
        <v>386.67116796831169</v>
      </c>
      <c r="CX88" s="60">
        <f t="shared" si="68"/>
        <v>680.00450130164495</v>
      </c>
      <c r="CY88" s="60">
        <f ca="1">AVERAGE(OFFSET($CX$3,0,0,'Données projet'!$E$13+1,1))-AVERAGE(OFFSET($H$3,0,0,'Données projet'!$E$13+1,1))</f>
        <v>284.88646502866419</v>
      </c>
      <c r="CZ88" s="60">
        <f t="shared" si="96"/>
        <v>190.4880882944471</v>
      </c>
      <c r="DA88" s="16">
        <f>IF(ISNA(VLOOKUP(A88,'Données projet'!$A$139:$I$159,3,0)),0,VLOOKUP(A88,'Données projet'!$A$139:$I$159,3,0))</f>
        <v>4</v>
      </c>
      <c r="DB88" s="16">
        <f>IF(ISNA(VLOOKUP(A88,'Données projet'!$A$139:$I$159,4,0)),0,VLOOKUP(A88,'Données projet'!$A$139:$I$159,4,0))</f>
        <v>85.207692307692298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267.99999999999994</v>
      </c>
      <c r="DP88" s="18">
        <f>DO88*VLOOKUP('Données projet'!$B$14,Paramètres!$A$1:$I$89,3,0)*VLOOKUP('Données projet'!$B$14,Paramètres!$A$1:$I$89,5,0)</f>
        <v>288.47519999999997</v>
      </c>
      <c r="DQ88" s="14">
        <f t="shared" si="97"/>
        <v>68.754942080410842</v>
      </c>
      <c r="DR88" s="22">
        <f t="shared" si="70"/>
        <v>622.17583079004874</v>
      </c>
      <c r="DS88" s="60">
        <f t="shared" si="71"/>
        <v>915.50916412338211</v>
      </c>
      <c r="DT88" s="60">
        <f ca="1">AVERAGE(OFFSET($DS$3,0,0,'Données projet'!$E$14+1,1))-AVERAGE(OFFSET($H$3,0,0,'Données projet'!$E$14+1,1))</f>
        <v>502.07782026233912</v>
      </c>
      <c r="DU88" s="60">
        <f t="shared" si="98"/>
        <v>285.83623046025156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-1.7053025658242404E-13</v>
      </c>
      <c r="EK88" s="18">
        <f>EJ88*VLOOKUP('Données projet'!$B$15,Paramètres!$A$1:$I$89,3,0)*VLOOKUP('Données projet'!$B$15,Paramètres!$A$1:$I$89,5,0)</f>
        <v>-1.4897523215040567E-13</v>
      </c>
      <c r="EL88" s="14" t="e">
        <f t="shared" si="99"/>
        <v>#NUM!</v>
      </c>
      <c r="EM88" s="22" t="e">
        <f t="shared" si="73"/>
        <v>#NUM!</v>
      </c>
      <c r="EN88" s="60" t="e">
        <f t="shared" si="74"/>
        <v>#NUM!</v>
      </c>
      <c r="EO88" s="60">
        <f ca="1">AVERAGE(OFFSET($EN$3,0,0,'Données projet'!$E$15+1,1))-AVERAGE(OFFSET($H$3,0,0,'Données projet'!$E$15+1,1))</f>
        <v>339.58437495284466</v>
      </c>
      <c r="EP88" s="60">
        <f t="shared" si="100"/>
        <v>371.26234252426531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5.6</v>
      </c>
      <c r="FE88" s="13">
        <f>IF('Données projet'!$A$218&gt;35,FE87+FD88-FM87,IF(A88&lt;'Données projet'!$A$218,$FB$205^A88,IF(A88='Données projet'!$A$218,'Données projet'!$B$218,FE87+FD88-FM87)))</f>
        <v>267.99999999999994</v>
      </c>
      <c r="FF88" s="18">
        <f>FE88*VLOOKUP('Données projet'!$B$16,Paramètres!$A$1:$I$89,3,0)*VLOOKUP('Données projet'!$B$16,Paramètres!$A$1:$I$89,5,0)</f>
        <v>259.20959999999997</v>
      </c>
      <c r="FG88" s="14">
        <f t="shared" si="101"/>
        <v>62.553866774106702</v>
      </c>
      <c r="FH88" s="22">
        <f t="shared" si="76"/>
        <v>560.40470463156907</v>
      </c>
      <c r="FI88" s="60">
        <f t="shared" si="77"/>
        <v>853.73803796490233</v>
      </c>
      <c r="FJ88" s="60">
        <f ca="1">AVERAGE(OFFSET($FI$3,0,0,'Données projet'!$E$16+1,1))-AVERAGE(OFFSET($H$3,0,0,'Données projet'!$E$16+1,1))</f>
        <v>455.50822833641354</v>
      </c>
      <c r="FK88" s="60">
        <f t="shared" si="102"/>
        <v>261.14722581688039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277.43039999999996</v>
      </c>
      <c r="P89" s="14">
        <f t="shared" si="87"/>
        <v>66.423687500715673</v>
      </c>
      <c r="Q89" s="22">
        <f t="shared" si="54"/>
        <v>598.87920239707967</v>
      </c>
      <c r="R89" s="60">
        <f t="shared" si="55"/>
        <v>892.21253573041304</v>
      </c>
      <c r="S89" s="60">
        <f ca="1">AVERAGE(OFFSET($R$3,0,0,'Données projet'!$E$9+1,1))-AVERAGE(OFFSET($H$3,0,0,'Données projet'!$E$9+1,1))</f>
        <v>475.47920969424894</v>
      </c>
      <c r="T89" s="60">
        <f t="shared" si="88"/>
        <v>271.73544012419364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-2.8421709430404007E-13</v>
      </c>
      <c r="AJ89" s="14">
        <f>AI89*VLOOKUP('Données projet'!$B$10,Paramètres!$A$1:$I$89,3,0)*VLOOKUP('Données projet'!$B$10,Paramètres!$A$1:$I$89,5,0)</f>
        <v>-1.69961822393816E-13</v>
      </c>
      <c r="AK89" s="14" t="e">
        <f t="shared" si="89"/>
        <v>#NUM!</v>
      </c>
      <c r="AL89" s="22" t="e">
        <f t="shared" si="58"/>
        <v>#NUM!</v>
      </c>
      <c r="AM89" s="60" t="e">
        <f t="shared" si="59"/>
        <v>#NUM!</v>
      </c>
      <c r="AN89" s="60">
        <f ca="1">AVERAGE(OFFSET($AM$3,0,0,'Données projet'!$E$10+1,1))-AVERAGE(OFFSET($H$3,0,0,'Données projet'!$E$10+1,1))</f>
        <v>289.24721145176682</v>
      </c>
      <c r="AO89" s="60">
        <f t="shared" si="90"/>
        <v>229.06617320689003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0.47993556228039141</v>
      </c>
      <c r="AW89" s="23">
        <f>EXP(-LN(2)/2)*AW88+(1-EXP(-LN(2)/2))/(LN(2)/2)*AQ89*AT89*VLOOKUP('Données projet'!$B$10,Paramètres!$A$1:$I$89,3,0)*0.475*44/12</f>
        <v>1.6516083336026749E-8</v>
      </c>
      <c r="AX89" s="23">
        <f t="shared" si="60"/>
        <v>0.47993557879647475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6.2153846153846306</v>
      </c>
      <c r="BD89" s="13">
        <f>IF('Données projet'!$A$88&gt;35,BD88+BC89-BL88,IF(A89&lt;'Données projet'!$A$88,$BA$205^A89,IF(A89='Données projet'!$A$88,'Données projet'!$B$88,BD88+BC89-BL88)))</f>
        <v>315.99230769230786</v>
      </c>
      <c r="BE89" s="14">
        <f>BD89*VLOOKUP('Données projet'!$B$11,Paramètres!$A$1:$I$89,3,0)*VLOOKUP('Données projet'!$B$11,Paramètres!$A$1:$I$89,5,0)</f>
        <v>188.96340000000012</v>
      </c>
      <c r="BF89" s="14">
        <f t="shared" si="91"/>
        <v>47.310702390879683</v>
      </c>
      <c r="BG89" s="22">
        <f t="shared" si="61"/>
        <v>411.51072833078229</v>
      </c>
      <c r="BH89" s="60">
        <f t="shared" si="62"/>
        <v>704.84406166411554</v>
      </c>
      <c r="BI89" s="60">
        <f ca="1">AVERAGE(OFFSET($BH$3,0,0,'Données projet'!$E$11+1,1))-AVERAGE(OFFSET($H$3,0,0,'Données projet'!$E$11+1,1))</f>
        <v>287.91374663515506</v>
      </c>
      <c r="BJ89" s="60">
        <f t="shared" si="92"/>
        <v>217.76240797006147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5.6</v>
      </c>
      <c r="BY89" s="13">
        <f>IF('Données projet'!$A$114&gt;35,BY88+BX89-CG88,IF(A89&lt;'Données projet'!$A$114,$BV$205^A89,IF(A89='Données projet'!$A$114,'Données projet'!$B$114,BY88+BX89-CG88)))</f>
        <v>273.59999999999997</v>
      </c>
      <c r="BZ89" s="14">
        <f>BY89*VLOOKUP('Données projet'!$B$12,Paramètres!$A$1:$I$89,3,0)*VLOOKUP('Données projet'!$B$12,Paramètres!$A$1:$I$89,5,0)</f>
        <v>247.55327999999994</v>
      </c>
      <c r="CA89" s="14">
        <f t="shared" si="93"/>
        <v>60.061713068870255</v>
      </c>
      <c r="CB89" s="22">
        <f t="shared" si="64"/>
        <v>535.76277959494894</v>
      </c>
      <c r="CC89" s="60">
        <f t="shared" si="65"/>
        <v>829.09611292828231</v>
      </c>
      <c r="CD89" s="60">
        <f ca="1">AVERAGE(OFFSET($CC$3,0,0,'Données projet'!$E$12+1,1))-AVERAGE(OFFSET($H$3,0,0,'Données projet'!$E$12+1,1))</f>
        <v>428.8489304403459</v>
      </c>
      <c r="CE89" s="60">
        <f t="shared" si="94"/>
        <v>247.01165577562966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8.6692307692307597</v>
      </c>
      <c r="CT89" s="13">
        <f>IF('Données projet'!$A$140&gt;35,CT88+CS89-DB88,IF(A89&lt;'Données projet'!$A$140,$CQ$205^A89,IF(A89='Données projet'!$A$140,'Données projet'!$B$140,CT88+CS89-DB88)))</f>
        <v>302.2923076923077</v>
      </c>
      <c r="CU89" s="18">
        <f>CT89*VLOOKUP('Données projet'!$B$13,Paramètres!$A$1:$I$89,3,0)*VLOOKUP('Données projet'!$B$13,Paramètres!$A$1:$I$89,5,0)</f>
        <v>141.47280000000001</v>
      </c>
      <c r="CV89" s="14">
        <f t="shared" si="95"/>
        <v>36.634197520987641</v>
      </c>
      <c r="CW89" s="22">
        <f t="shared" si="67"/>
        <v>310.20302068238681</v>
      </c>
      <c r="CX89" s="60">
        <f t="shared" si="68"/>
        <v>603.53635401572012</v>
      </c>
      <c r="CY89" s="60">
        <f ca="1">AVERAGE(OFFSET($CX$3,0,0,'Données projet'!$E$13+1,1))-AVERAGE(OFFSET($H$3,0,0,'Données projet'!$E$13+1,1))</f>
        <v>284.88646502866419</v>
      </c>
      <c r="CZ89" s="60">
        <f t="shared" si="96"/>
        <v>190.4880882944471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5.6</v>
      </c>
      <c r="DO89" s="13">
        <f>IF('Données projet'!$A$166&gt;35,DO88+DN89-DW88,IF(A89&lt;'Données projet'!$A$166,$DL$205^A89,IF(A89='Données projet'!$A$166,'Données projet'!$B$166,DO88+DN89-DW88)))</f>
        <v>273.59999999999997</v>
      </c>
      <c r="DP89" s="18">
        <f>DO89*VLOOKUP('Données projet'!$B$14,Paramètres!$A$1:$I$89,3,0)*VLOOKUP('Données projet'!$B$14,Paramètres!$A$1:$I$89,5,0)</f>
        <v>294.50303999999994</v>
      </c>
      <c r="DQ89" s="14">
        <f t="shared" si="97"/>
        <v>70.022852154069838</v>
      </c>
      <c r="DR89" s="22">
        <f t="shared" si="70"/>
        <v>634.88259550167152</v>
      </c>
      <c r="DS89" s="60">
        <f t="shared" si="71"/>
        <v>928.21592883500489</v>
      </c>
      <c r="DT89" s="60">
        <f ca="1">AVERAGE(OFFSET($DS$3,0,0,'Données projet'!$E$14+1,1))-AVERAGE(OFFSET($H$3,0,0,'Données projet'!$E$14+1,1))</f>
        <v>502.07782026233912</v>
      </c>
      <c r="DU89" s="60">
        <f t="shared" si="98"/>
        <v>285.83623046025156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-1.7053025658242404E-13</v>
      </c>
      <c r="EK89" s="18">
        <f>EJ89*VLOOKUP('Données projet'!$B$15,Paramètres!$A$1:$I$89,3,0)*VLOOKUP('Données projet'!$B$15,Paramètres!$A$1:$I$89,5,0)</f>
        <v>-1.4897523215040567E-13</v>
      </c>
      <c r="EL89" s="14" t="e">
        <f t="shared" si="99"/>
        <v>#NUM!</v>
      </c>
      <c r="EM89" s="22" t="e">
        <f t="shared" si="73"/>
        <v>#NUM!</v>
      </c>
      <c r="EN89" s="60" t="e">
        <f t="shared" si="74"/>
        <v>#NUM!</v>
      </c>
      <c r="EO89" s="60">
        <f ca="1">AVERAGE(OFFSET($EN$3,0,0,'Données projet'!$E$15+1,1))-AVERAGE(OFFSET($H$3,0,0,'Données projet'!$E$15+1,1))</f>
        <v>339.58437495284466</v>
      </c>
      <c r="EP89" s="60">
        <f t="shared" si="100"/>
        <v>371.26234252426531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5.6</v>
      </c>
      <c r="FE89" s="13">
        <f>IF('Données projet'!$A$218&gt;35,FE88+FD89-FM88,IF(A89&lt;'Données projet'!$A$218,$FB$205^A89,IF(A89='Données projet'!$A$218,'Données projet'!$B$218,FE88+FD89-FM88)))</f>
        <v>273.59999999999997</v>
      </c>
      <c r="FF89" s="18">
        <f>FE89*VLOOKUP('Données projet'!$B$16,Paramètres!$A$1:$I$89,3,0)*VLOOKUP('Données projet'!$B$16,Paramètres!$A$1:$I$89,5,0)</f>
        <v>264.62591999999995</v>
      </c>
      <c r="FG89" s="14">
        <f t="shared" si="101"/>
        <v>63.707422801198604</v>
      </c>
      <c r="FH89" s="22">
        <f t="shared" si="76"/>
        <v>571.84723871208746</v>
      </c>
      <c r="FI89" s="60">
        <f t="shared" si="77"/>
        <v>865.18057204542083</v>
      </c>
      <c r="FJ89" s="60">
        <f ca="1">AVERAGE(OFFSET($FI$3,0,0,'Données projet'!$E$16+1,1))-AVERAGE(OFFSET($H$3,0,0,'Données projet'!$E$16+1,1))</f>
        <v>455.50822833641354</v>
      </c>
      <c r="FK89" s="60">
        <f t="shared" si="102"/>
        <v>261.14722581688039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283.10879999999997</v>
      </c>
      <c r="P90" s="14">
        <f t="shared" si="87"/>
        <v>67.623564901653808</v>
      </c>
      <c r="Q90" s="22">
        <f t="shared" si="54"/>
        <v>610.85886887038032</v>
      </c>
      <c r="R90" s="60">
        <f t="shared" si="55"/>
        <v>904.19220220371358</v>
      </c>
      <c r="S90" s="60">
        <f ca="1">AVERAGE(OFFSET($R$3,0,0,'Données projet'!$E$9+1,1))-AVERAGE(OFFSET($H$3,0,0,'Données projet'!$E$9+1,1))</f>
        <v>475.47920969424894</v>
      </c>
      <c r="T90" s="60">
        <f t="shared" si="88"/>
        <v>271.73544012419364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-2.8421709430404007E-13</v>
      </c>
      <c r="AJ90" s="14">
        <f>AI90*VLOOKUP('Données projet'!$B$10,Paramètres!$A$1:$I$89,3,0)*VLOOKUP('Données projet'!$B$10,Paramètres!$A$1:$I$89,5,0)</f>
        <v>-1.69961822393816E-13</v>
      </c>
      <c r="AK90" s="14" t="e">
        <f t="shared" si="89"/>
        <v>#NUM!</v>
      </c>
      <c r="AL90" s="22" t="e">
        <f t="shared" si="58"/>
        <v>#NUM!</v>
      </c>
      <c r="AM90" s="60" t="e">
        <f t="shared" si="59"/>
        <v>#NUM!</v>
      </c>
      <c r="AN90" s="60">
        <f ca="1">AVERAGE(OFFSET($AM$3,0,0,'Données projet'!$E$10+1,1))-AVERAGE(OFFSET($H$3,0,0,'Données projet'!$E$10+1,1))</f>
        <v>289.24721145176682</v>
      </c>
      <c r="AO90" s="60">
        <f t="shared" si="90"/>
        <v>229.06617320689003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0.4668116990911198</v>
      </c>
      <c r="AW90" s="23">
        <f>EXP(-LN(2)/2)*AW89+(1-EXP(-LN(2)/2))/(LN(2)/2)*AQ90*AT90*VLOOKUP('Données projet'!$B$10,Paramètres!$A$1:$I$89,3,0)*0.475*44/12</f>
        <v>1.167863452554665E-8</v>
      </c>
      <c r="AX90" s="23">
        <f t="shared" si="60"/>
        <v>0.46681171076975431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6.2153846153846306</v>
      </c>
      <c r="BD90" s="13">
        <f>IF('Données projet'!$A$88&gt;35,BD89+BC90-BL89,IF(A90&lt;'Données projet'!$A$88,$BA$205^A90,IF(A90='Données projet'!$A$88,'Données projet'!$B$88,BD89+BC90-BL89)))</f>
        <v>322.20769230769247</v>
      </c>
      <c r="BE90" s="14">
        <f>BD90*VLOOKUP('Données projet'!$B$11,Paramètres!$A$1:$I$89,3,0)*VLOOKUP('Données projet'!$B$11,Paramètres!$A$1:$I$89,5,0)</f>
        <v>192.6802000000001</v>
      </c>
      <c r="BF90" s="14">
        <f t="shared" si="91"/>
        <v>48.132023072411428</v>
      </c>
      <c r="BG90" s="22">
        <f t="shared" si="61"/>
        <v>419.41462185111681</v>
      </c>
      <c r="BH90" s="60">
        <f t="shared" si="62"/>
        <v>712.74795518445012</v>
      </c>
      <c r="BI90" s="60">
        <f ca="1">AVERAGE(OFFSET($BH$3,0,0,'Données projet'!$E$11+1,1))-AVERAGE(OFFSET($H$3,0,0,'Données projet'!$E$11+1,1))</f>
        <v>287.91374663515506</v>
      </c>
      <c r="BJ90" s="60">
        <f t="shared" si="92"/>
        <v>217.76240797006147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5.6</v>
      </c>
      <c r="BY90" s="13">
        <f>IF('Données projet'!$A$114&gt;35,BY89+BX90-CG89,IF(A90&lt;'Données projet'!$A$114,$BV$205^A90,IF(A90='Données projet'!$A$114,'Données projet'!$B$114,BY89+BX90-CG89)))</f>
        <v>279.2</v>
      </c>
      <c r="BZ90" s="14">
        <f>BY90*VLOOKUP('Données projet'!$B$12,Paramètres!$A$1:$I$89,3,0)*VLOOKUP('Données projet'!$B$12,Paramètres!$A$1:$I$89,5,0)</f>
        <v>252.62015999999997</v>
      </c>
      <c r="CA90" s="14">
        <f t="shared" si="93"/>
        <v>61.14666777229877</v>
      </c>
      <c r="CB90" s="22">
        <f t="shared" si="64"/>
        <v>546.47722503675357</v>
      </c>
      <c r="CC90" s="60">
        <f t="shared" si="65"/>
        <v>839.81055837008694</v>
      </c>
      <c r="CD90" s="60">
        <f ca="1">AVERAGE(OFFSET($CC$3,0,0,'Données projet'!$E$12+1,1))-AVERAGE(OFFSET($H$3,0,0,'Données projet'!$E$12+1,1))</f>
        <v>428.8489304403459</v>
      </c>
      <c r="CE90" s="60">
        <f t="shared" si="94"/>
        <v>247.01165577562966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8.6692307692307597</v>
      </c>
      <c r="CT90" s="13">
        <f>IF('Données projet'!$A$140&gt;35,CT89+CS90-DB89,IF(A90&lt;'Données projet'!$A$140,$CQ$205^A90,IF(A90='Données projet'!$A$140,'Données projet'!$B$140,CT89+CS90-DB89)))</f>
        <v>310.96153846153845</v>
      </c>
      <c r="CU90" s="18">
        <f>CT90*VLOOKUP('Données projet'!$B$13,Paramètres!$A$1:$I$89,3,0)*VLOOKUP('Données projet'!$B$13,Paramètres!$A$1:$I$89,5,0)</f>
        <v>145.53</v>
      </c>
      <c r="CV90" s="14">
        <f t="shared" si="95"/>
        <v>37.560980425605734</v>
      </c>
      <c r="CW90" s="22">
        <f t="shared" si="67"/>
        <v>318.8834575745966</v>
      </c>
      <c r="CX90" s="60">
        <f t="shared" si="68"/>
        <v>612.21679090792986</v>
      </c>
      <c r="CY90" s="60">
        <f ca="1">AVERAGE(OFFSET($CX$3,0,0,'Données projet'!$E$13+1,1))-AVERAGE(OFFSET($H$3,0,0,'Données projet'!$E$13+1,1))</f>
        <v>284.88646502866419</v>
      </c>
      <c r="CZ90" s="60">
        <f t="shared" si="96"/>
        <v>190.4880882944471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5.6</v>
      </c>
      <c r="DO90" s="13">
        <f>IF('Données projet'!$A$166&gt;35,DO89+DN90-DW89,IF(A90&lt;'Données projet'!$A$166,$DL$205^A90,IF(A90='Données projet'!$A$166,'Données projet'!$B$166,DO89+DN90-DW89)))</f>
        <v>279.2</v>
      </c>
      <c r="DP90" s="18">
        <f>DO90*VLOOKUP('Données projet'!$B$14,Paramètres!$A$1:$I$89,3,0)*VLOOKUP('Données projet'!$B$14,Paramètres!$A$1:$I$89,5,0)</f>
        <v>300.53087999999997</v>
      </c>
      <c r="DQ90" s="14">
        <f t="shared" si="97"/>
        <v>71.287744860425462</v>
      </c>
      <c r="DR90" s="22">
        <f t="shared" si="70"/>
        <v>647.58410496524095</v>
      </c>
      <c r="DS90" s="60">
        <f t="shared" si="71"/>
        <v>940.91743829857433</v>
      </c>
      <c r="DT90" s="60">
        <f ca="1">AVERAGE(OFFSET($DS$3,0,0,'Données projet'!$E$14+1,1))-AVERAGE(OFFSET($H$3,0,0,'Données projet'!$E$14+1,1))</f>
        <v>502.07782026233912</v>
      </c>
      <c r="DU90" s="60">
        <f t="shared" si="98"/>
        <v>285.83623046025156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-1.7053025658242404E-13</v>
      </c>
      <c r="EK90" s="18">
        <f>EJ90*VLOOKUP('Données projet'!$B$15,Paramètres!$A$1:$I$89,3,0)*VLOOKUP('Données projet'!$B$15,Paramètres!$A$1:$I$89,5,0)</f>
        <v>-1.4897523215040567E-13</v>
      </c>
      <c r="EL90" s="14" t="e">
        <f t="shared" si="99"/>
        <v>#NUM!</v>
      </c>
      <c r="EM90" s="22" t="e">
        <f t="shared" si="73"/>
        <v>#NUM!</v>
      </c>
      <c r="EN90" s="60" t="e">
        <f t="shared" si="74"/>
        <v>#NUM!</v>
      </c>
      <c r="EO90" s="60">
        <f ca="1">AVERAGE(OFFSET($EN$3,0,0,'Données projet'!$E$15+1,1))-AVERAGE(OFFSET($H$3,0,0,'Données projet'!$E$15+1,1))</f>
        <v>339.58437495284466</v>
      </c>
      <c r="EP90" s="60">
        <f t="shared" si="100"/>
        <v>371.26234252426531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5.6</v>
      </c>
      <c r="FE90" s="13">
        <f>IF('Données projet'!$A$218&gt;35,FE89+FD90-FM89,IF(A90&lt;'Données projet'!$A$218,$FB$205^A90,IF(A90='Données projet'!$A$218,'Données projet'!$B$218,FE89+FD90-FM89)))</f>
        <v>279.2</v>
      </c>
      <c r="FF90" s="18">
        <f>FE90*VLOOKUP('Données projet'!$B$16,Paramètres!$A$1:$I$89,3,0)*VLOOKUP('Données projet'!$B$16,Paramètres!$A$1:$I$89,5,0)</f>
        <v>270.04223999999999</v>
      </c>
      <c r="FG90" s="14">
        <f t="shared" si="101"/>
        <v>64.858233600288145</v>
      </c>
      <c r="FH90" s="22">
        <f t="shared" si="76"/>
        <v>583.28499152050188</v>
      </c>
      <c r="FI90" s="60">
        <f t="shared" si="77"/>
        <v>876.61832485383525</v>
      </c>
      <c r="FJ90" s="60">
        <f ca="1">AVERAGE(OFFSET($FI$3,0,0,'Données projet'!$E$16+1,1))-AVERAGE(OFFSET($H$3,0,0,'Données projet'!$E$16+1,1))</f>
        <v>455.50822833641354</v>
      </c>
      <c r="FK90" s="60">
        <f t="shared" si="102"/>
        <v>261.14722581688039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288.78720000000004</v>
      </c>
      <c r="P91" s="14">
        <f t="shared" si="87"/>
        <v>68.820644053442436</v>
      </c>
      <c r="Q91" s="22">
        <f t="shared" si="54"/>
        <v>622.83366172641229</v>
      </c>
      <c r="R91" s="60">
        <f t="shared" si="55"/>
        <v>916.16699505974566</v>
      </c>
      <c r="S91" s="60">
        <f ca="1">AVERAGE(OFFSET($R$3,0,0,'Données projet'!$E$9+1,1))-AVERAGE(OFFSET($H$3,0,0,'Données projet'!$E$9+1,1))</f>
        <v>475.47920969424894</v>
      </c>
      <c r="T91" s="60">
        <f t="shared" si="88"/>
        <v>271.73544012419364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-2.8421709430404007E-13</v>
      </c>
      <c r="AJ91" s="14">
        <f>AI91*VLOOKUP('Données projet'!$B$10,Paramètres!$A$1:$I$89,3,0)*VLOOKUP('Données projet'!$B$10,Paramètres!$A$1:$I$89,5,0)</f>
        <v>-1.69961822393816E-13</v>
      </c>
      <c r="AK91" s="14" t="e">
        <f t="shared" si="89"/>
        <v>#NUM!</v>
      </c>
      <c r="AL91" s="22" t="e">
        <f t="shared" si="58"/>
        <v>#NUM!</v>
      </c>
      <c r="AM91" s="60" t="e">
        <f t="shared" si="59"/>
        <v>#NUM!</v>
      </c>
      <c r="AN91" s="60">
        <f ca="1">AVERAGE(OFFSET($AM$3,0,0,'Données projet'!$E$10+1,1))-AVERAGE(OFFSET($H$3,0,0,'Données projet'!$E$10+1,1))</f>
        <v>289.24721145176682</v>
      </c>
      <c r="AO91" s="60">
        <f t="shared" si="90"/>
        <v>229.06617320689003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0.45404670863091279</v>
      </c>
      <c r="AW91" s="23">
        <f>EXP(-LN(2)/2)*AW90+(1-EXP(-LN(2)/2))/(LN(2)/2)*AQ91*AT91*VLOOKUP('Données projet'!$B$10,Paramètres!$A$1:$I$89,3,0)*0.475*44/12</f>
        <v>8.2580416680133743E-9</v>
      </c>
      <c r="AX91" s="23">
        <f t="shared" si="60"/>
        <v>0.45404671688895448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6.2153846153846306</v>
      </c>
      <c r="BD91" s="13">
        <f>IF('Données projet'!$A$88&gt;35,BD90+BC91-BL90,IF(A91&lt;'Données projet'!$A$88,$BA$205^A91,IF(A91='Données projet'!$A$88,'Données projet'!$B$88,BD90+BC91-BL90)))</f>
        <v>328.42307692307708</v>
      </c>
      <c r="BE91" s="14">
        <f>BD91*VLOOKUP('Données projet'!$B$11,Paramètres!$A$1:$I$89,3,0)*VLOOKUP('Données projet'!$B$11,Paramètres!$A$1:$I$89,5,0)</f>
        <v>196.39700000000011</v>
      </c>
      <c r="BF91" s="14">
        <f t="shared" si="91"/>
        <v>48.951501545219521</v>
      </c>
      <c r="BG91" s="22">
        <f t="shared" si="61"/>
        <v>427.31530685792421</v>
      </c>
      <c r="BH91" s="60">
        <f t="shared" si="62"/>
        <v>720.64864019125753</v>
      </c>
      <c r="BI91" s="60">
        <f ca="1">AVERAGE(OFFSET($BH$3,0,0,'Données projet'!$E$11+1,1))-AVERAGE(OFFSET($H$3,0,0,'Données projet'!$E$11+1,1))</f>
        <v>287.91374663515506</v>
      </c>
      <c r="BJ91" s="60">
        <f t="shared" si="92"/>
        <v>217.76240797006147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5.6</v>
      </c>
      <c r="BY91" s="13">
        <f>IF('Données projet'!$A$114&gt;35,BY90+BX91-CG90,IF(A91&lt;'Données projet'!$A$114,$BV$205^A91,IF(A91='Données projet'!$A$114,'Données projet'!$B$114,BY90+BX91-CG90)))</f>
        <v>284.8</v>
      </c>
      <c r="BZ91" s="14">
        <f>BY91*VLOOKUP('Données projet'!$B$12,Paramètres!$A$1:$I$89,3,0)*VLOOKUP('Données projet'!$B$12,Paramètres!$A$1:$I$89,5,0)</f>
        <v>257.68704000000002</v>
      </c>
      <c r="CA91" s="14">
        <f t="shared" si="93"/>
        <v>62.229092239243343</v>
      </c>
      <c r="CB91" s="22">
        <f t="shared" si="64"/>
        <v>557.18726365001555</v>
      </c>
      <c r="CC91" s="60">
        <f t="shared" si="65"/>
        <v>850.52059698334892</v>
      </c>
      <c r="CD91" s="60">
        <f ca="1">AVERAGE(OFFSET($CC$3,0,0,'Données projet'!$E$12+1,1))-AVERAGE(OFFSET($H$3,0,0,'Données projet'!$E$12+1,1))</f>
        <v>428.8489304403459</v>
      </c>
      <c r="CE91" s="60">
        <f t="shared" si="94"/>
        <v>247.01165577562966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8.6692307692307597</v>
      </c>
      <c r="CT91" s="13">
        <f>IF('Données projet'!$A$140&gt;35,CT90+CS91-DB90,IF(A91&lt;'Données projet'!$A$140,$CQ$205^A91,IF(A91='Données projet'!$A$140,'Données projet'!$B$140,CT90+CS91-DB90)))</f>
        <v>319.6307692307692</v>
      </c>
      <c r="CU91" s="18">
        <f>CT91*VLOOKUP('Données projet'!$B$13,Paramètres!$A$1:$I$89,3,0)*VLOOKUP('Données projet'!$B$13,Paramètres!$A$1:$I$89,5,0)</f>
        <v>149.5872</v>
      </c>
      <c r="CV91" s="14">
        <f t="shared" si="95"/>
        <v>38.484760298912072</v>
      </c>
      <c r="CW91" s="22">
        <f t="shared" si="67"/>
        <v>327.55866418727186</v>
      </c>
      <c r="CX91" s="60">
        <f t="shared" si="68"/>
        <v>620.89199752060517</v>
      </c>
      <c r="CY91" s="60">
        <f ca="1">AVERAGE(OFFSET($CX$3,0,0,'Données projet'!$E$13+1,1))-AVERAGE(OFFSET($H$3,0,0,'Données projet'!$E$13+1,1))</f>
        <v>284.88646502866419</v>
      </c>
      <c r="CZ91" s="60">
        <f t="shared" si="96"/>
        <v>190.4880882944471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5.6</v>
      </c>
      <c r="DO91" s="13">
        <f>IF('Données projet'!$A$166&gt;35,DO90+DN91-DW90,IF(A91&lt;'Données projet'!$A$166,$DL$205^A91,IF(A91='Données projet'!$A$166,'Données projet'!$B$166,DO90+DN91-DW90)))</f>
        <v>284.8</v>
      </c>
      <c r="DP91" s="18">
        <f>DO91*VLOOKUP('Données projet'!$B$14,Paramètres!$A$1:$I$89,3,0)*VLOOKUP('Données projet'!$B$14,Paramètres!$A$1:$I$89,5,0)</f>
        <v>306.55871999999999</v>
      </c>
      <c r="DQ91" s="14">
        <f t="shared" si="97"/>
        <v>72.549687694621639</v>
      </c>
      <c r="DR91" s="22">
        <f t="shared" si="70"/>
        <v>660.28047673479932</v>
      </c>
      <c r="DS91" s="60">
        <f t="shared" si="71"/>
        <v>953.61381006813258</v>
      </c>
      <c r="DT91" s="60">
        <f ca="1">AVERAGE(OFFSET($DS$3,0,0,'Données projet'!$E$14+1,1))-AVERAGE(OFFSET($H$3,0,0,'Données projet'!$E$14+1,1))</f>
        <v>502.07782026233912</v>
      </c>
      <c r="DU91" s="60">
        <f t="shared" si="98"/>
        <v>285.83623046025156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-1.7053025658242404E-13</v>
      </c>
      <c r="EK91" s="18">
        <f>EJ91*VLOOKUP('Données projet'!$B$15,Paramètres!$A$1:$I$89,3,0)*VLOOKUP('Données projet'!$B$15,Paramètres!$A$1:$I$89,5,0)</f>
        <v>-1.4897523215040567E-13</v>
      </c>
      <c r="EL91" s="14" t="e">
        <f t="shared" si="99"/>
        <v>#NUM!</v>
      </c>
      <c r="EM91" s="22" t="e">
        <f t="shared" si="73"/>
        <v>#NUM!</v>
      </c>
      <c r="EN91" s="60" t="e">
        <f t="shared" si="74"/>
        <v>#NUM!</v>
      </c>
      <c r="EO91" s="60">
        <f ca="1">AVERAGE(OFFSET($EN$3,0,0,'Données projet'!$E$15+1,1))-AVERAGE(OFFSET($H$3,0,0,'Données projet'!$E$15+1,1))</f>
        <v>339.58437495284466</v>
      </c>
      <c r="EP91" s="60">
        <f t="shared" si="100"/>
        <v>371.26234252426531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5.6</v>
      </c>
      <c r="FE91" s="13">
        <f>IF('Données projet'!$A$218&gt;35,FE90+FD91-FM90,IF(A91&lt;'Données projet'!$A$218,$FB$205^A91,IF(A91='Données projet'!$A$218,'Données projet'!$B$218,FE90+FD91-FM90)))</f>
        <v>284.8</v>
      </c>
      <c r="FF91" s="18">
        <f>FE91*VLOOKUP('Données projet'!$B$16,Paramètres!$A$1:$I$89,3,0)*VLOOKUP('Données projet'!$B$16,Paramètres!$A$1:$I$89,5,0)</f>
        <v>275.45855999999998</v>
      </c>
      <c r="FG91" s="14">
        <f t="shared" si="101"/>
        <v>66.006360579066197</v>
      </c>
      <c r="FH91" s="22">
        <f t="shared" si="76"/>
        <v>594.71807000854017</v>
      </c>
      <c r="FI91" s="60">
        <f t="shared" si="77"/>
        <v>888.05140334187354</v>
      </c>
      <c r="FJ91" s="60">
        <f ca="1">AVERAGE(OFFSET($FI$3,0,0,'Données projet'!$E$16+1,1))-AVERAGE(OFFSET($H$3,0,0,'Données projet'!$E$16+1,1))</f>
        <v>455.50822833641354</v>
      </c>
      <c r="FK91" s="60">
        <f t="shared" si="102"/>
        <v>261.14722581688039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294.46560000000005</v>
      </c>
      <c r="P92" s="14">
        <f t="shared" si="87"/>
        <v>70.014986320104285</v>
      </c>
      <c r="Q92" s="22">
        <f t="shared" si="54"/>
        <v>634.8036878408484</v>
      </c>
      <c r="R92" s="60">
        <f t="shared" si="55"/>
        <v>928.13702117418165</v>
      </c>
      <c r="S92" s="60">
        <f ca="1">AVERAGE(OFFSET($R$3,0,0,'Données projet'!$E$9+1,1))-AVERAGE(OFFSET($H$3,0,0,'Données projet'!$E$9+1,1))</f>
        <v>475.47920969424894</v>
      </c>
      <c r="T92" s="60">
        <f t="shared" si="88"/>
        <v>271.73544012419364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-2.8421709430404007E-13</v>
      </c>
      <c r="AJ92" s="14">
        <f>AI92*VLOOKUP('Données projet'!$B$10,Paramètres!$A$1:$I$89,3,0)*VLOOKUP('Données projet'!$B$10,Paramètres!$A$1:$I$89,5,0)</f>
        <v>-1.69961822393816E-13</v>
      </c>
      <c r="AK92" s="14" t="e">
        <f t="shared" si="89"/>
        <v>#NUM!</v>
      </c>
      <c r="AL92" s="22" t="e">
        <f t="shared" si="58"/>
        <v>#NUM!</v>
      </c>
      <c r="AM92" s="60" t="e">
        <f t="shared" si="59"/>
        <v>#NUM!</v>
      </c>
      <c r="AN92" s="60">
        <f ca="1">AVERAGE(OFFSET($AM$3,0,0,'Données projet'!$E$10+1,1))-AVERAGE(OFFSET($H$3,0,0,'Données projet'!$E$10+1,1))</f>
        <v>289.24721145176682</v>
      </c>
      <c r="AO92" s="60">
        <f t="shared" si="90"/>
        <v>229.06617320689003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0.44163077750612179</v>
      </c>
      <c r="AW92" s="23">
        <f>EXP(-LN(2)/2)*AW91+(1-EXP(-LN(2)/2))/(LN(2)/2)*AQ92*AT92*VLOOKUP('Données projet'!$B$10,Paramètres!$A$1:$I$89,3,0)*0.475*44/12</f>
        <v>5.8393172627733251E-9</v>
      </c>
      <c r="AX92" s="23">
        <f t="shared" si="60"/>
        <v>0.44163078334543904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6.2153846153846306</v>
      </c>
      <c r="BD92" s="13">
        <f>IF('Données projet'!$A$88&gt;35,BD91+BC92-BL91,IF(A92&lt;'Données projet'!$A$88,$BA$205^A92,IF(A92='Données projet'!$A$88,'Données projet'!$B$88,BD91+BC92-BL91)))</f>
        <v>334.63846153846168</v>
      </c>
      <c r="BE92" s="14">
        <f>BD92*VLOOKUP('Données projet'!$B$11,Paramètres!$A$1:$I$89,3,0)*VLOOKUP('Données projet'!$B$11,Paramètres!$A$1:$I$89,5,0)</f>
        <v>200.11380000000011</v>
      </c>
      <c r="BF92" s="14">
        <f t="shared" si="91"/>
        <v>49.769176692955753</v>
      </c>
      <c r="BG92" s="22">
        <f t="shared" si="61"/>
        <v>435.21285107356476</v>
      </c>
      <c r="BH92" s="60">
        <f t="shared" si="62"/>
        <v>728.54618440689808</v>
      </c>
      <c r="BI92" s="60">
        <f ca="1">AVERAGE(OFFSET($BH$3,0,0,'Données projet'!$E$11+1,1))-AVERAGE(OFFSET($H$3,0,0,'Données projet'!$E$11+1,1))</f>
        <v>287.91374663515506</v>
      </c>
      <c r="BJ92" s="60">
        <f t="shared" si="92"/>
        <v>217.76240797006147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5.6</v>
      </c>
      <c r="BY92" s="13">
        <f>IF('Données projet'!$A$114&gt;35,BY91+BX92-CG91,IF(A92&lt;'Données projet'!$A$114,$BV$205^A92,IF(A92='Données projet'!$A$114,'Données projet'!$B$114,BY91+BX92-CG91)))</f>
        <v>290.40000000000003</v>
      </c>
      <c r="BZ92" s="14">
        <f>BY92*VLOOKUP('Données projet'!$B$12,Paramètres!$A$1:$I$89,3,0)*VLOOKUP('Données projet'!$B$12,Paramètres!$A$1:$I$89,5,0)</f>
        <v>262.75392000000005</v>
      </c>
      <c r="CA92" s="14">
        <f t="shared" si="93"/>
        <v>63.309041956360382</v>
      </c>
      <c r="CB92" s="22">
        <f t="shared" si="64"/>
        <v>567.89299207399438</v>
      </c>
      <c r="CC92" s="60">
        <f t="shared" si="65"/>
        <v>861.22632540732775</v>
      </c>
      <c r="CD92" s="60">
        <f ca="1">AVERAGE(OFFSET($CC$3,0,0,'Données projet'!$E$12+1,1))-AVERAGE(OFFSET($H$3,0,0,'Données projet'!$E$12+1,1))</f>
        <v>428.8489304403459</v>
      </c>
      <c r="CE92" s="60">
        <f t="shared" si="94"/>
        <v>247.01165577562966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8.6692307692307597</v>
      </c>
      <c r="CT92" s="13">
        <f>IF('Données projet'!$A$140&gt;35,CT91+CS92-DB91,IF(A92&lt;'Données projet'!$A$140,$CQ$205^A92,IF(A92='Données projet'!$A$140,'Données projet'!$B$140,CT91+CS92-DB91)))</f>
        <v>328.29999999999995</v>
      </c>
      <c r="CU92" s="18">
        <f>CT92*VLOOKUP('Données projet'!$B$13,Paramètres!$A$1:$I$89,3,0)*VLOOKUP('Données projet'!$B$13,Paramètres!$A$1:$I$89,5,0)</f>
        <v>153.64439999999996</v>
      </c>
      <c r="CV92" s="14">
        <f t="shared" si="95"/>
        <v>39.405627951004654</v>
      </c>
      <c r="CW92" s="22">
        <f t="shared" si="67"/>
        <v>336.22879868133299</v>
      </c>
      <c r="CX92" s="60">
        <f t="shared" si="68"/>
        <v>629.5621320146663</v>
      </c>
      <c r="CY92" s="60">
        <f ca="1">AVERAGE(OFFSET($CX$3,0,0,'Données projet'!$E$13+1,1))-AVERAGE(OFFSET($H$3,0,0,'Données projet'!$E$13+1,1))</f>
        <v>284.88646502866419</v>
      </c>
      <c r="CZ92" s="60">
        <f t="shared" si="96"/>
        <v>190.4880882944471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5.6</v>
      </c>
      <c r="DO92" s="13">
        <f>IF('Données projet'!$A$166&gt;35,DO91+DN92-DW91,IF(A92&lt;'Données projet'!$A$166,$DL$205^A92,IF(A92='Données projet'!$A$166,'Données projet'!$B$166,DO91+DN92-DW91)))</f>
        <v>290.40000000000003</v>
      </c>
      <c r="DP92" s="18">
        <f>DO92*VLOOKUP('Données projet'!$B$14,Paramètres!$A$1:$I$89,3,0)*VLOOKUP('Données projet'!$B$14,Paramètres!$A$1:$I$89,5,0)</f>
        <v>312.58656000000002</v>
      </c>
      <c r="DQ92" s="14">
        <f t="shared" si="97"/>
        <v>73.808745345687967</v>
      </c>
      <c r="DR92" s="22">
        <f t="shared" si="70"/>
        <v>672.97182347707314</v>
      </c>
      <c r="DS92" s="60">
        <f t="shared" si="71"/>
        <v>966.30515681040652</v>
      </c>
      <c r="DT92" s="60">
        <f ca="1">AVERAGE(OFFSET($DS$3,0,0,'Données projet'!$E$14+1,1))-AVERAGE(OFFSET($H$3,0,0,'Données projet'!$E$14+1,1))</f>
        <v>502.07782026233912</v>
      </c>
      <c r="DU92" s="60">
        <f t="shared" si="98"/>
        <v>285.83623046025156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-1.7053025658242404E-13</v>
      </c>
      <c r="EK92" s="18">
        <f>EJ92*VLOOKUP('Données projet'!$B$15,Paramètres!$A$1:$I$89,3,0)*VLOOKUP('Données projet'!$B$15,Paramètres!$A$1:$I$89,5,0)</f>
        <v>-1.4897523215040567E-13</v>
      </c>
      <c r="EL92" s="14" t="e">
        <f t="shared" si="99"/>
        <v>#NUM!</v>
      </c>
      <c r="EM92" s="22" t="e">
        <f t="shared" si="73"/>
        <v>#NUM!</v>
      </c>
      <c r="EN92" s="60" t="e">
        <f t="shared" si="74"/>
        <v>#NUM!</v>
      </c>
      <c r="EO92" s="60">
        <f ca="1">AVERAGE(OFFSET($EN$3,0,0,'Données projet'!$E$15+1,1))-AVERAGE(OFFSET($H$3,0,0,'Données projet'!$E$15+1,1))</f>
        <v>339.58437495284466</v>
      </c>
      <c r="EP92" s="60">
        <f t="shared" si="100"/>
        <v>371.26234252426531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5.6</v>
      </c>
      <c r="FE92" s="13">
        <f>IF('Données projet'!$A$218&gt;35,FE91+FD92-FM91,IF(A92&lt;'Données projet'!$A$218,$FB$205^A92,IF(A92='Données projet'!$A$218,'Données projet'!$B$218,FE91+FD92-FM91)))</f>
        <v>290.40000000000003</v>
      </c>
      <c r="FF92" s="18">
        <f>FE92*VLOOKUP('Données projet'!$B$16,Paramètres!$A$1:$I$89,3,0)*VLOOKUP('Données projet'!$B$16,Paramètres!$A$1:$I$89,5,0)</f>
        <v>280.87488000000008</v>
      </c>
      <c r="FG92" s="14">
        <f t="shared" si="101"/>
        <v>67.151862592195855</v>
      </c>
      <c r="FH92" s="22">
        <f t="shared" si="76"/>
        <v>606.14657668140785</v>
      </c>
      <c r="FI92" s="60">
        <f t="shared" si="77"/>
        <v>899.47991001474111</v>
      </c>
      <c r="FJ92" s="60">
        <f ca="1">AVERAGE(OFFSET($FI$3,0,0,'Données projet'!$E$16+1,1))-AVERAGE(OFFSET($H$3,0,0,'Données projet'!$E$16+1,1))</f>
        <v>455.50822833641354</v>
      </c>
      <c r="FK92" s="60">
        <f t="shared" si="102"/>
        <v>261.14722581688039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300.14400000000006</v>
      </c>
      <c r="P93" s="14">
        <f t="shared" si="87"/>
        <v>71.206650563609855</v>
      </c>
      <c r="Q93" s="22">
        <f t="shared" si="54"/>
        <v>646.76904973162061</v>
      </c>
      <c r="R93" s="60">
        <f t="shared" si="55"/>
        <v>940.10238306495398</v>
      </c>
      <c r="S93" s="60">
        <f ca="1">AVERAGE(OFFSET($R$3,0,0,'Données projet'!$E$9+1,1))-AVERAGE(OFFSET($H$3,0,0,'Données projet'!$E$9+1,1))</f>
        <v>475.47920969424894</v>
      </c>
      <c r="T93" s="60">
        <f t="shared" si="88"/>
        <v>271.73544012419364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-2.8421709430404007E-13</v>
      </c>
      <c r="AJ93" s="14">
        <f>AI93*VLOOKUP('Données projet'!$B$10,Paramètres!$A$1:$I$89,3,0)*VLOOKUP('Données projet'!$B$10,Paramètres!$A$1:$I$89,5,0)</f>
        <v>-1.69961822393816E-13</v>
      </c>
      <c r="AK93" s="14" t="e">
        <f t="shared" si="89"/>
        <v>#NUM!</v>
      </c>
      <c r="AL93" s="22" t="e">
        <f t="shared" si="58"/>
        <v>#NUM!</v>
      </c>
      <c r="AM93" s="60" t="e">
        <f t="shared" si="59"/>
        <v>#NUM!</v>
      </c>
      <c r="AN93" s="60">
        <f ca="1">AVERAGE(OFFSET($AM$3,0,0,'Données projet'!$E$10+1,1))-AVERAGE(OFFSET($H$3,0,0,'Données projet'!$E$10+1,1))</f>
        <v>289.24721145176682</v>
      </c>
      <c r="AO93" s="60">
        <f t="shared" si="90"/>
        <v>229.06617320689003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0.42955436067086367</v>
      </c>
      <c r="AW93" s="23">
        <f>EXP(-LN(2)/2)*AW92+(1-EXP(-LN(2)/2))/(LN(2)/2)*AQ93*AT93*VLOOKUP('Données projet'!$B$10,Paramètres!$A$1:$I$89,3,0)*0.475*44/12</f>
        <v>4.1290208340066872E-9</v>
      </c>
      <c r="AX93" s="23">
        <f t="shared" si="60"/>
        <v>0.42955436479988451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340.85384615384618</v>
      </c>
      <c r="BB93" s="13">
        <f>VLOOKUP(A93,'Données projet'!$A$87:$I$107,9,0)</f>
        <v>6.2153846153846306</v>
      </c>
      <c r="BC93" s="13">
        <f t="array" ref="BC93">INDEX(BB:BB,MIN(IF(ISNUMBER(BB93:BB289),ROW(BB93:BB289),"")))</f>
        <v>6.2153846153846306</v>
      </c>
      <c r="BD93" s="13">
        <f>IF('Données projet'!$A$88&gt;35,BD92+BC93-BL92,IF(A93&lt;'Données projet'!$A$88,$BA$205^A93,IF(A93='Données projet'!$A$88,'Données projet'!$B$88,BD92+BC93-BL92)))</f>
        <v>340.85384615384629</v>
      </c>
      <c r="BE93" s="14">
        <f>BD93*VLOOKUP('Données projet'!$B$11,Paramètres!$A$1:$I$89,3,0)*VLOOKUP('Données projet'!$B$11,Paramètres!$A$1:$I$89,5,0)</f>
        <v>203.83060000000009</v>
      </c>
      <c r="BF93" s="14">
        <f t="shared" si="91"/>
        <v>50.5850858721899</v>
      </c>
      <c r="BG93" s="22">
        <f t="shared" si="61"/>
        <v>443.1073195607309</v>
      </c>
      <c r="BH93" s="60">
        <f t="shared" si="62"/>
        <v>736.44065289406421</v>
      </c>
      <c r="BI93" s="60">
        <f ca="1">AVERAGE(OFFSET($BH$3,0,0,'Données projet'!$E$11+1,1))-AVERAGE(OFFSET($H$3,0,0,'Données projet'!$E$11+1,1))</f>
        <v>287.91374663515506</v>
      </c>
      <c r="BJ93" s="60">
        <f t="shared" si="92"/>
        <v>217.76240797006147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5.6</v>
      </c>
      <c r="BX93" s="13">
        <f t="array" ref="BX93">INDEX(BW:BW,MIN(IF(ISNUMBER(BW93:BW289),ROW(BW93:BW289),"")))</f>
        <v>5.6</v>
      </c>
      <c r="BY93" s="13">
        <f>IF('Données projet'!$A$114&gt;35,BY92+BX93-CG92,IF(A93&lt;'Données projet'!$A$114,$BV$205^A93,IF(A93='Données projet'!$A$114,'Données projet'!$B$114,BY92+BX93-CG92)))</f>
        <v>296.00000000000006</v>
      </c>
      <c r="BZ93" s="14">
        <f>BY93*VLOOKUP('Données projet'!$B$12,Paramètres!$A$1:$I$89,3,0)*VLOOKUP('Données projet'!$B$12,Paramètres!$A$1:$I$89,5,0)</f>
        <v>267.82080000000008</v>
      </c>
      <c r="CA93" s="14">
        <f t="shared" si="93"/>
        <v>64.386570147897373</v>
      </c>
      <c r="CB93" s="22">
        <f t="shared" si="64"/>
        <v>578.59450300758806</v>
      </c>
      <c r="CC93" s="60">
        <f t="shared" si="65"/>
        <v>871.92783634092143</v>
      </c>
      <c r="CD93" s="60">
        <f ca="1">AVERAGE(OFFSET($CC$3,0,0,'Données projet'!$E$12+1,1))-AVERAGE(OFFSET($H$3,0,0,'Données projet'!$E$12+1,1))</f>
        <v>428.8489304403459</v>
      </c>
      <c r="CE93" s="60">
        <f t="shared" si="94"/>
        <v>247.01165577562966</v>
      </c>
      <c r="CF93" s="16">
        <f>IF(ISNA(VLOOKUP(A93,'Données projet'!$A$113:$I$133,3,0)),0,VLOOKUP(A93,'Données projet'!$A$113:$I$133,3,0))</f>
        <v>7</v>
      </c>
      <c r="CG93" s="16">
        <f>IF(ISNA(VLOOKUP(A93,'Données projet'!$A$113:$I$133,4,0)),0,VLOOKUP(A93,'Données projet'!$A$113:$I$133,4,0))</f>
        <v>42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8.6692307692307597</v>
      </c>
      <c r="CT93" s="13">
        <f>IF('Données projet'!$A$140&gt;35,CT92+CS93-DB92,IF(A93&lt;'Données projet'!$A$140,$CQ$205^A93,IF(A93='Données projet'!$A$140,'Données projet'!$B$140,CT92+CS93-DB92)))</f>
        <v>336.96923076923071</v>
      </c>
      <c r="CU93" s="18">
        <f>CT93*VLOOKUP('Données projet'!$B$13,Paramètres!$A$1:$I$89,3,0)*VLOOKUP('Données projet'!$B$13,Paramètres!$A$1:$I$89,5,0)</f>
        <v>157.70159999999998</v>
      </c>
      <c r="CV93" s="14">
        <f t="shared" si="95"/>
        <v>40.323669122930177</v>
      </c>
      <c r="CW93" s="22">
        <f t="shared" si="67"/>
        <v>344.89401038910336</v>
      </c>
      <c r="CX93" s="60">
        <f t="shared" si="68"/>
        <v>638.22734372243667</v>
      </c>
      <c r="CY93" s="60">
        <f ca="1">AVERAGE(OFFSET($CX$3,0,0,'Données projet'!$E$13+1,1))-AVERAGE(OFFSET($H$3,0,0,'Données projet'!$E$13+1,1))</f>
        <v>284.88646502866419</v>
      </c>
      <c r="CZ93" s="60">
        <f t="shared" si="96"/>
        <v>190.4880882944471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</v>
      </c>
      <c r="DM93" s="13">
        <f>VLOOKUP(A93,'Données projet'!$A$165:$I$185,9,0)</f>
        <v>5.6</v>
      </c>
      <c r="DN93" s="13">
        <f t="array" ref="DN93">INDEX(DM:DM,MIN(IF(ISNUMBER(DM93:DM289),ROW(DM93:DM289),"")))</f>
        <v>5.6</v>
      </c>
      <c r="DO93" s="13">
        <f>IF('Données projet'!$A$166&gt;35,DO92+DN93-DW92,IF(A93&lt;'Données projet'!$A$166,$DL$205^A93,IF(A93='Données projet'!$A$166,'Données projet'!$B$166,DO92+DN93-DW92)))</f>
        <v>296.00000000000006</v>
      </c>
      <c r="DP93" s="18">
        <f>DO93*VLOOKUP('Données projet'!$B$14,Paramètres!$A$1:$I$89,3,0)*VLOOKUP('Données projet'!$B$14,Paramètres!$A$1:$I$89,5,0)</f>
        <v>318.61440000000005</v>
      </c>
      <c r="DQ93" s="14">
        <f t="shared" si="97"/>
        <v>75.06497986502842</v>
      </c>
      <c r="DR93" s="22">
        <f t="shared" si="70"/>
        <v>685.6582532649245</v>
      </c>
      <c r="DS93" s="60">
        <f t="shared" si="71"/>
        <v>978.99158659825775</v>
      </c>
      <c r="DT93" s="60">
        <f ca="1">AVERAGE(OFFSET($DS$3,0,0,'Données projet'!$E$14+1,1))-AVERAGE(OFFSET($H$3,0,0,'Données projet'!$E$14+1,1))</f>
        <v>502.07782026233912</v>
      </c>
      <c r="DU93" s="60">
        <f t="shared" si="98"/>
        <v>285.83623046025156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42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-1.7053025658242404E-13</v>
      </c>
      <c r="EK93" s="18">
        <f>EJ93*VLOOKUP('Données projet'!$B$15,Paramètres!$A$1:$I$89,3,0)*VLOOKUP('Données projet'!$B$15,Paramètres!$A$1:$I$89,5,0)</f>
        <v>-1.4897523215040567E-13</v>
      </c>
      <c r="EL93" s="14" t="e">
        <f t="shared" si="99"/>
        <v>#NUM!</v>
      </c>
      <c r="EM93" s="22" t="e">
        <f t="shared" si="73"/>
        <v>#NUM!</v>
      </c>
      <c r="EN93" s="60" t="e">
        <f t="shared" si="74"/>
        <v>#NUM!</v>
      </c>
      <c r="EO93" s="60">
        <f ca="1">AVERAGE(OFFSET($EN$3,0,0,'Données projet'!$E$15+1,1))-AVERAGE(OFFSET($H$3,0,0,'Données projet'!$E$15+1,1))</f>
        <v>339.58437495284466</v>
      </c>
      <c r="EP93" s="60">
        <f t="shared" si="100"/>
        <v>371.26234252426531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296</v>
      </c>
      <c r="FC93" s="13">
        <f>VLOOKUP(A93,'Données projet'!$A$217:$I$237,9,0)</f>
        <v>5.6</v>
      </c>
      <c r="FD93" s="13">
        <f t="array" ref="FD93">INDEX(FC:FC,MIN(IF(ISNUMBER(FC93:FC289),ROW(FC93:FC289),"")))</f>
        <v>5.6</v>
      </c>
      <c r="FE93" s="13">
        <f>IF('Données projet'!$A$218&gt;35,FE92+FD93-FM92,IF(A93&lt;'Données projet'!$A$218,$FB$205^A93,IF(A93='Données projet'!$A$218,'Données projet'!$B$218,FE92+FD93-FM92)))</f>
        <v>296.00000000000006</v>
      </c>
      <c r="FF93" s="18">
        <f>FE93*VLOOKUP('Données projet'!$B$16,Paramètres!$A$1:$I$89,3,0)*VLOOKUP('Données projet'!$B$16,Paramètres!$A$1:$I$89,5,0)</f>
        <v>286.29120000000006</v>
      </c>
      <c r="FG93" s="14">
        <f t="shared" si="101"/>
        <v>68.294796094604408</v>
      </c>
      <c r="FH93" s="22">
        <f t="shared" si="76"/>
        <v>617.57060986476938</v>
      </c>
      <c r="FI93" s="60">
        <f t="shared" si="77"/>
        <v>910.90394319810275</v>
      </c>
      <c r="FJ93" s="60">
        <f ca="1">AVERAGE(OFFSET($FI$3,0,0,'Données projet'!$E$16+1,1))-AVERAGE(OFFSET($H$3,0,0,'Données projet'!$E$16+1,1))</f>
        <v>455.50822833641354</v>
      </c>
      <c r="FK93" s="60">
        <f t="shared" si="102"/>
        <v>261.14722581688039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42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262.52460000000002</v>
      </c>
      <c r="P94" s="14">
        <f t="shared" si="87"/>
        <v>63.260217631774687</v>
      </c>
      <c r="Q94" s="22">
        <f t="shared" si="54"/>
        <v>567.40855737534105</v>
      </c>
      <c r="R94" s="60">
        <f t="shared" si="55"/>
        <v>860.74189070867442</v>
      </c>
      <c r="S94" s="60">
        <f ca="1">AVERAGE(OFFSET($R$3,0,0,'Données projet'!$E$9+1,1))-AVERAGE(OFFSET($H$3,0,0,'Données projet'!$E$9+1,1))</f>
        <v>475.47920969424894</v>
      </c>
      <c r="T94" s="60">
        <f t="shared" si="88"/>
        <v>271.73544012419364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-2.8421709430404007E-13</v>
      </c>
      <c r="AJ94" s="14">
        <f>AI94*VLOOKUP('Données projet'!$B$10,Paramètres!$A$1:$I$89,3,0)*VLOOKUP('Données projet'!$B$10,Paramètres!$A$1:$I$89,5,0)</f>
        <v>-1.69961822393816E-13</v>
      </c>
      <c r="AK94" s="14" t="e">
        <f t="shared" si="89"/>
        <v>#NUM!</v>
      </c>
      <c r="AL94" s="22" t="e">
        <f t="shared" si="58"/>
        <v>#NUM!</v>
      </c>
      <c r="AM94" s="60" t="e">
        <f t="shared" si="59"/>
        <v>#NUM!</v>
      </c>
      <c r="AN94" s="60">
        <f ca="1">AVERAGE(OFFSET($AM$3,0,0,'Données projet'!$E$10+1,1))-AVERAGE(OFFSET($H$3,0,0,'Données projet'!$E$10+1,1))</f>
        <v>289.24721145176682</v>
      </c>
      <c r="AO94" s="60">
        <f t="shared" si="90"/>
        <v>229.06617320689003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0.41780817408903681</v>
      </c>
      <c r="AW94" s="23">
        <f>EXP(-LN(2)/2)*AW93+(1-EXP(-LN(2)/2))/(LN(2)/2)*AQ94*AT94*VLOOKUP('Données projet'!$B$10,Paramètres!$A$1:$I$89,3,0)*0.475*44/12</f>
        <v>2.9196586313866625E-9</v>
      </c>
      <c r="AX94" s="23">
        <f t="shared" si="60"/>
        <v>0.41780817700869544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6.376923076923072</v>
      </c>
      <c r="BD94" s="13">
        <f>IF('Données projet'!$A$88&gt;35,BD93+BC94-BL93,IF(A94&lt;'Données projet'!$A$88,$BA$205^A94,IF(A94='Données projet'!$A$88,'Données projet'!$B$88,BD93+BC94-BL93)))</f>
        <v>347.23076923076934</v>
      </c>
      <c r="BE94" s="14">
        <f>BD94*VLOOKUP('Données projet'!$B$11,Paramètres!$A$1:$I$89,3,0)*VLOOKUP('Données projet'!$B$11,Paramètres!$A$1:$I$89,5,0)</f>
        <v>207.64400000000006</v>
      </c>
      <c r="BF94" s="14">
        <f t="shared" si="91"/>
        <v>51.420402842834136</v>
      </c>
      <c r="BG94" s="22">
        <f t="shared" si="61"/>
        <v>451.20383495126947</v>
      </c>
      <c r="BH94" s="60">
        <f t="shared" si="62"/>
        <v>744.53716828460279</v>
      </c>
      <c r="BI94" s="60">
        <f ca="1">AVERAGE(OFFSET($BH$3,0,0,'Données projet'!$E$11+1,1))-AVERAGE(OFFSET($H$3,0,0,'Données projet'!$E$11+1,1))</f>
        <v>287.91374663515506</v>
      </c>
      <c r="BJ94" s="60">
        <f t="shared" si="92"/>
        <v>217.76240797006147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4.9000000000000004</v>
      </c>
      <c r="BY94" s="13">
        <f>IF('Données projet'!$A$114&gt;35,BY93+BX94-CG93,IF(A94&lt;'Données projet'!$A$114,$BV$205^A94,IF(A94='Données projet'!$A$114,'Données projet'!$B$114,BY93+BX94-CG93)))</f>
        <v>258.90000000000003</v>
      </c>
      <c r="BZ94" s="14">
        <f>BY94*VLOOKUP('Données projet'!$B$12,Paramètres!$A$1:$I$89,3,0)*VLOOKUP('Données projet'!$B$12,Paramètres!$A$1:$I$89,5,0)</f>
        <v>234.25272000000001</v>
      </c>
      <c r="CA94" s="14">
        <f t="shared" si="93"/>
        <v>57.201236231171301</v>
      </c>
      <c r="CB94" s="22">
        <f t="shared" si="64"/>
        <v>507.61564043595672</v>
      </c>
      <c r="CC94" s="60">
        <f t="shared" si="65"/>
        <v>800.94897376928998</v>
      </c>
      <c r="CD94" s="60">
        <f ca="1">AVERAGE(OFFSET($CC$3,0,0,'Données projet'!$E$12+1,1))-AVERAGE(OFFSET($H$3,0,0,'Données projet'!$E$12+1,1))</f>
        <v>428.8489304403459</v>
      </c>
      <c r="CE94" s="60">
        <f t="shared" si="94"/>
        <v>247.01165577562966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>
        <f>VLOOKUP(A94,'Données projet'!$A$139:$I$159,2,0)</f>
        <v>345.63846153846151</v>
      </c>
      <c r="CR94" s="13">
        <f>VLOOKUP(A94,'Données projet'!$A$139:$I$159,9,0)</f>
        <v>8.6692307692307597</v>
      </c>
      <c r="CS94" s="13">
        <f t="array" ref="CS94">INDEX(CR:CR,MIN(IF(ISNUMBER(CR94:CR290),ROW(CR94:CR290),"")))</f>
        <v>8.6692307692307597</v>
      </c>
      <c r="CT94" s="13">
        <f>IF('Données projet'!$A$140&gt;35,CT93+CS94-DB93,IF(A94&lt;'Données projet'!$A$140,$CQ$205^A94,IF(A94='Données projet'!$A$140,'Données projet'!$B$140,CT93+CS94-DB93)))</f>
        <v>345.63846153846146</v>
      </c>
      <c r="CU94" s="18">
        <f>CT94*VLOOKUP('Données projet'!$B$13,Paramètres!$A$1:$I$89,3,0)*VLOOKUP('Données projet'!$B$13,Paramètres!$A$1:$I$89,5,0)</f>
        <v>161.75879999999995</v>
      </c>
      <c r="CV94" s="14">
        <f t="shared" si="95"/>
        <v>41.23896489267198</v>
      </c>
      <c r="CW94" s="22">
        <f t="shared" si="67"/>
        <v>353.55444052140359</v>
      </c>
      <c r="CX94" s="60">
        <f t="shared" si="68"/>
        <v>646.88777385473691</v>
      </c>
      <c r="CY94" s="60">
        <f ca="1">AVERAGE(OFFSET($CX$3,0,0,'Données projet'!$E$13+1,1))-AVERAGE(OFFSET($H$3,0,0,'Données projet'!$E$13+1,1))</f>
        <v>284.88646502866419</v>
      </c>
      <c r="CZ94" s="60">
        <f t="shared" si="96"/>
        <v>190.4880882944471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4.9000000000000004</v>
      </c>
      <c r="DO94" s="13">
        <f>IF('Données projet'!$A$166&gt;35,DO93+DN94-DW93,IF(A94&lt;'Données projet'!$A$166,$DL$205^A94,IF(A94='Données projet'!$A$166,'Données projet'!$B$166,DO93+DN94-DW93)))</f>
        <v>258.90000000000003</v>
      </c>
      <c r="DP94" s="18">
        <f>DO94*VLOOKUP('Données projet'!$B$14,Paramètres!$A$1:$I$89,3,0)*VLOOKUP('Données projet'!$B$14,Paramètres!$A$1:$I$89,5,0)</f>
        <v>278.67996000000005</v>
      </c>
      <c r="DQ94" s="14">
        <f t="shared" si="97"/>
        <v>66.687969806197728</v>
      </c>
      <c r="DR94" s="22">
        <f t="shared" si="70"/>
        <v>601.51581107912773</v>
      </c>
      <c r="DS94" s="60">
        <f t="shared" si="71"/>
        <v>894.8491444124611</v>
      </c>
      <c r="DT94" s="60">
        <f ca="1">AVERAGE(OFFSET($DS$3,0,0,'Données projet'!$E$14+1,1))-AVERAGE(OFFSET($H$3,0,0,'Données projet'!$E$14+1,1))</f>
        <v>502.07782026233912</v>
      </c>
      <c r="DU94" s="60">
        <f t="shared" si="98"/>
        <v>285.83623046025156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-1.7053025658242404E-13</v>
      </c>
      <c r="EK94" s="18">
        <f>EJ94*VLOOKUP('Données projet'!$B$15,Paramètres!$A$1:$I$89,3,0)*VLOOKUP('Données projet'!$B$15,Paramètres!$A$1:$I$89,5,0)</f>
        <v>-1.4897523215040567E-13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339.58437495284466</v>
      </c>
      <c r="EP94" s="60">
        <f t="shared" si="100"/>
        <v>371.26234252426531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4.9000000000000004</v>
      </c>
      <c r="FE94" s="13">
        <f>IF('Données projet'!$A$218&gt;35,FE93+FD94-FM93,IF(A94&lt;'Données projet'!$A$218,$FB$205^A94,IF(A94='Données projet'!$A$218,'Données projet'!$B$218,FE93+FD94-FM93)))</f>
        <v>258.90000000000003</v>
      </c>
      <c r="FF94" s="18">
        <f>FE94*VLOOKUP('Données projet'!$B$16,Paramètres!$A$1:$I$89,3,0)*VLOOKUP('Données projet'!$B$16,Paramètres!$A$1:$I$89,5,0)</f>
        <v>250.40808000000004</v>
      </c>
      <c r="FG94" s="14">
        <f t="shared" si="101"/>
        <v>60.67331674592576</v>
      </c>
      <c r="FH94" s="22">
        <f t="shared" si="76"/>
        <v>541.80009933248743</v>
      </c>
      <c r="FI94" s="60">
        <f t="shared" si="77"/>
        <v>835.13343266582069</v>
      </c>
      <c r="FJ94" s="60">
        <f ca="1">AVERAGE(OFFSET($FI$3,0,0,'Données projet'!$E$16+1,1))-AVERAGE(OFFSET($H$3,0,0,'Données projet'!$E$16+1,1))</f>
        <v>455.50822833641354</v>
      </c>
      <c r="FK94" s="60">
        <f t="shared" si="102"/>
        <v>261.14722581688039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267.49320000000006</v>
      </c>
      <c r="P95" s="14">
        <f t="shared" si="87"/>
        <v>64.316974590266341</v>
      </c>
      <c r="Q95" s="22">
        <f t="shared" si="54"/>
        <v>577.90272074471397</v>
      </c>
      <c r="R95" s="60">
        <f t="shared" si="55"/>
        <v>871.23605407804735</v>
      </c>
      <c r="S95" s="60">
        <f ca="1">AVERAGE(OFFSET($R$3,0,0,'Données projet'!$E$9+1,1))-AVERAGE(OFFSET($H$3,0,0,'Données projet'!$E$9+1,1))</f>
        <v>475.47920969424894</v>
      </c>
      <c r="T95" s="60">
        <f t="shared" si="88"/>
        <v>271.73544012419364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-2.8421709430404007E-13</v>
      </c>
      <c r="AJ95" s="14">
        <f>AI95*VLOOKUP('Données projet'!$B$10,Paramètres!$A$1:$I$89,3,0)*VLOOKUP('Données projet'!$B$10,Paramètres!$A$1:$I$89,5,0)</f>
        <v>-1.69961822393816E-13</v>
      </c>
      <c r="AK95" s="14" t="e">
        <f t="shared" si="89"/>
        <v>#NUM!</v>
      </c>
      <c r="AL95" s="22" t="e">
        <f t="shared" si="58"/>
        <v>#NUM!</v>
      </c>
      <c r="AM95" s="60" t="e">
        <f t="shared" si="59"/>
        <v>#NUM!</v>
      </c>
      <c r="AN95" s="60">
        <f ca="1">AVERAGE(OFFSET($AM$3,0,0,'Données projet'!$E$10+1,1))-AVERAGE(OFFSET($H$3,0,0,'Données projet'!$E$10+1,1))</f>
        <v>289.24721145176682</v>
      </c>
      <c r="AO95" s="60">
        <f t="shared" si="90"/>
        <v>229.06617320689003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0.40638318759699515</v>
      </c>
      <c r="AW95" s="23">
        <f>EXP(-LN(2)/2)*AW94+(1-EXP(-LN(2)/2))/(LN(2)/2)*AQ95*AT95*VLOOKUP('Données projet'!$B$10,Paramètres!$A$1:$I$89,3,0)*0.475*44/12</f>
        <v>2.0645104170033436E-9</v>
      </c>
      <c r="AX95" s="23">
        <f t="shared" si="60"/>
        <v>0.40638318966150555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6.376923076923072</v>
      </c>
      <c r="BD95" s="13">
        <f>IF('Données projet'!$A$88&gt;35,BD94+BC95-BL94,IF(A95&lt;'Données projet'!$A$88,$BA$205^A95,IF(A95='Données projet'!$A$88,'Données projet'!$B$88,BD94+BC95-BL94)))</f>
        <v>353.60769230769239</v>
      </c>
      <c r="BE95" s="14">
        <f>BD95*VLOOKUP('Données projet'!$B$11,Paramètres!$A$1:$I$89,3,0)*VLOOKUP('Données projet'!$B$11,Paramètres!$A$1:$I$89,5,0)</f>
        <v>211.45740000000009</v>
      </c>
      <c r="BF95" s="14">
        <f t="shared" si="91"/>
        <v>52.253935960910923</v>
      </c>
      <c r="BG95" s="22">
        <f t="shared" si="61"/>
        <v>459.29724346525336</v>
      </c>
      <c r="BH95" s="60">
        <f t="shared" si="62"/>
        <v>752.63057679858662</v>
      </c>
      <c r="BI95" s="60">
        <f ca="1">AVERAGE(OFFSET($BH$3,0,0,'Données projet'!$E$11+1,1))-AVERAGE(OFFSET($H$3,0,0,'Données projet'!$E$11+1,1))</f>
        <v>287.91374663515506</v>
      </c>
      <c r="BJ95" s="60">
        <f t="shared" si="92"/>
        <v>217.76240797006147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4.9000000000000004</v>
      </c>
      <c r="BY95" s="13">
        <f>IF('Données projet'!$A$114&gt;35,BY94+BX95-CG94,IF(A95&lt;'Données projet'!$A$114,$BV$205^A95,IF(A95='Données projet'!$A$114,'Données projet'!$B$114,BY94+BX95-CG94)))</f>
        <v>263.8</v>
      </c>
      <c r="BZ95" s="14">
        <f>BY95*VLOOKUP('Données projet'!$B$12,Paramètres!$A$1:$I$89,3,0)*VLOOKUP('Données projet'!$B$12,Paramètres!$A$1:$I$89,5,0)</f>
        <v>238.68624</v>
      </c>
      <c r="CA95" s="14">
        <f t="shared" si="93"/>
        <v>58.156778382060871</v>
      </c>
      <c r="CB95" s="22">
        <f t="shared" si="64"/>
        <v>517.00159034875594</v>
      </c>
      <c r="CC95" s="60">
        <f t="shared" si="65"/>
        <v>810.33492368208931</v>
      </c>
      <c r="CD95" s="60">
        <f ca="1">AVERAGE(OFFSET($CC$3,0,0,'Données projet'!$E$12+1,1))-AVERAGE(OFFSET($H$3,0,0,'Données projet'!$E$12+1,1))</f>
        <v>428.8489304403459</v>
      </c>
      <c r="CE95" s="60">
        <f t="shared" si="94"/>
        <v>247.01165577562966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8.7730769230769283</v>
      </c>
      <c r="CT95" s="13">
        <f>IF('Données projet'!$A$140&gt;35,CT94+CS95-DB94,IF(A95&lt;'Données projet'!$A$140,$CQ$205^A95,IF(A95='Données projet'!$A$140,'Données projet'!$B$140,CT94+CS95-DB94)))</f>
        <v>354.41153846153838</v>
      </c>
      <c r="CU95" s="18">
        <f>CT95*VLOOKUP('Données projet'!$B$13,Paramètres!$A$1:$I$89,3,0)*VLOOKUP('Données projet'!$B$13,Paramètres!$A$1:$I$89,5,0)</f>
        <v>165.86459999999997</v>
      </c>
      <c r="CV95" s="14">
        <f t="shared" si="95"/>
        <v>42.162508255168433</v>
      </c>
      <c r="CW95" s="22">
        <f t="shared" si="67"/>
        <v>362.31388021108495</v>
      </c>
      <c r="CX95" s="60">
        <f t="shared" si="68"/>
        <v>655.64721354441826</v>
      </c>
      <c r="CY95" s="60">
        <f ca="1">AVERAGE(OFFSET($CX$3,0,0,'Données projet'!$E$13+1,1))-AVERAGE(OFFSET($H$3,0,0,'Données projet'!$E$13+1,1))</f>
        <v>284.88646502866419</v>
      </c>
      <c r="CZ95" s="60">
        <f t="shared" si="96"/>
        <v>190.4880882944471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4.9000000000000004</v>
      </c>
      <c r="DO95" s="13">
        <f>IF('Données projet'!$A$166&gt;35,DO94+DN95-DW94,IF(A95&lt;'Données projet'!$A$166,$DL$205^A95,IF(A95='Données projet'!$A$166,'Données projet'!$B$166,DO94+DN95-DW94)))</f>
        <v>263.8</v>
      </c>
      <c r="DP95" s="18">
        <f>DO95*VLOOKUP('Données projet'!$B$14,Paramètres!$A$1:$I$89,3,0)*VLOOKUP('Données projet'!$B$14,Paramètres!$A$1:$I$89,5,0)</f>
        <v>283.95432</v>
      </c>
      <c r="DQ95" s="14">
        <f t="shared" si="97"/>
        <v>67.801987095081913</v>
      </c>
      <c r="DR95" s="22">
        <f t="shared" si="70"/>
        <v>612.64223485726768</v>
      </c>
      <c r="DS95" s="60">
        <f t="shared" si="71"/>
        <v>905.97556819060105</v>
      </c>
      <c r="DT95" s="60">
        <f ca="1">AVERAGE(OFFSET($DS$3,0,0,'Données projet'!$E$14+1,1))-AVERAGE(OFFSET($H$3,0,0,'Données projet'!$E$14+1,1))</f>
        <v>502.07782026233912</v>
      </c>
      <c r="DU95" s="60">
        <f t="shared" si="98"/>
        <v>285.83623046025156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-1.7053025658242404E-13</v>
      </c>
      <c r="EK95" s="18">
        <f>EJ95*VLOOKUP('Données projet'!$B$15,Paramètres!$A$1:$I$89,3,0)*VLOOKUP('Données projet'!$B$15,Paramètres!$A$1:$I$89,5,0)</f>
        <v>-1.4897523215040567E-13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339.58437495284466</v>
      </c>
      <c r="EP95" s="60">
        <f t="shared" si="100"/>
        <v>371.26234252426531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4.9000000000000004</v>
      </c>
      <c r="FE95" s="13">
        <f>IF('Données projet'!$A$218&gt;35,FE94+FD95-FM94,IF(A95&lt;'Données projet'!$A$218,$FB$205^A95,IF(A95='Données projet'!$A$218,'Données projet'!$B$218,FE94+FD95-FM94)))</f>
        <v>263.8</v>
      </c>
      <c r="FF95" s="18">
        <f>FE95*VLOOKUP('Données projet'!$B$16,Paramètres!$A$1:$I$89,3,0)*VLOOKUP('Données projet'!$B$16,Paramètres!$A$1:$I$89,5,0)</f>
        <v>255.14736000000002</v>
      </c>
      <c r="FG95" s="14">
        <f t="shared" si="101"/>
        <v>61.686859728645651</v>
      </c>
      <c r="FH95" s="22">
        <f t="shared" si="76"/>
        <v>551.81959936072451</v>
      </c>
      <c r="FI95" s="60">
        <f t="shared" si="77"/>
        <v>845.15293269405788</v>
      </c>
      <c r="FJ95" s="60">
        <f ca="1">AVERAGE(OFFSET($FI$3,0,0,'Données projet'!$E$16+1,1))-AVERAGE(OFFSET($H$3,0,0,'Données projet'!$E$16+1,1))</f>
        <v>455.50822833641354</v>
      </c>
      <c r="FK95" s="60">
        <f t="shared" si="102"/>
        <v>261.14722581688039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272.46180000000004</v>
      </c>
      <c r="P96" s="14">
        <f t="shared" si="87"/>
        <v>65.371449071921944</v>
      </c>
      <c r="Q96" s="22">
        <f t="shared" si="54"/>
        <v>588.39290880026408</v>
      </c>
      <c r="R96" s="60">
        <f t="shared" si="55"/>
        <v>881.72624213359745</v>
      </c>
      <c r="S96" s="60">
        <f ca="1">AVERAGE(OFFSET($R$3,0,0,'Données projet'!$E$9+1,1))-AVERAGE(OFFSET($H$3,0,0,'Données projet'!$E$9+1,1))</f>
        <v>475.47920969424894</v>
      </c>
      <c r="T96" s="60">
        <f t="shared" si="88"/>
        <v>271.73544012419364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-2.8421709430404007E-13</v>
      </c>
      <c r="AJ96" s="14">
        <f>AI96*VLOOKUP('Données projet'!$B$10,Paramètres!$A$1:$I$89,3,0)*VLOOKUP('Données projet'!$B$10,Paramètres!$A$1:$I$89,5,0)</f>
        <v>-1.69961822393816E-13</v>
      </c>
      <c r="AK96" s="14" t="e">
        <f t="shared" si="89"/>
        <v>#NUM!</v>
      </c>
      <c r="AL96" s="22" t="e">
        <f t="shared" si="58"/>
        <v>#NUM!</v>
      </c>
      <c r="AM96" s="60" t="e">
        <f t="shared" si="59"/>
        <v>#NUM!</v>
      </c>
      <c r="AN96" s="60">
        <f ca="1">AVERAGE(OFFSET($AM$3,0,0,'Données projet'!$E$10+1,1))-AVERAGE(OFFSET($H$3,0,0,'Données projet'!$E$10+1,1))</f>
        <v>289.24721145176682</v>
      </c>
      <c r="AO96" s="60">
        <f t="shared" si="90"/>
        <v>229.06617320689003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0.39527061796139229</v>
      </c>
      <c r="AW96" s="23">
        <f>EXP(-LN(2)/2)*AW95+(1-EXP(-LN(2)/2))/(LN(2)/2)*AQ96*AT96*VLOOKUP('Données projet'!$B$10,Paramètres!$A$1:$I$89,3,0)*0.475*44/12</f>
        <v>1.4598293156933313E-9</v>
      </c>
      <c r="AX96" s="23">
        <f t="shared" si="60"/>
        <v>0.3952706194212216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6.376923076923072</v>
      </c>
      <c r="BD96" s="13">
        <f>IF('Données projet'!$A$88&gt;35,BD95+BC96-BL95,IF(A96&lt;'Données projet'!$A$88,$BA$205^A96,IF(A96='Données projet'!$A$88,'Données projet'!$B$88,BD95+BC96-BL95)))</f>
        <v>359.98461538461544</v>
      </c>
      <c r="BE96" s="14">
        <f>BD96*VLOOKUP('Données projet'!$B$11,Paramètres!$A$1:$I$89,3,0)*VLOOKUP('Données projet'!$B$11,Paramètres!$A$1:$I$89,5,0)</f>
        <v>215.27080000000007</v>
      </c>
      <c r="BF96" s="14">
        <f t="shared" si="91"/>
        <v>53.085721107043916</v>
      </c>
      <c r="BG96" s="22">
        <f t="shared" si="61"/>
        <v>467.38760759476827</v>
      </c>
      <c r="BH96" s="60">
        <f t="shared" si="62"/>
        <v>760.72094092810153</v>
      </c>
      <c r="BI96" s="60">
        <f ca="1">AVERAGE(OFFSET($BH$3,0,0,'Données projet'!$E$11+1,1))-AVERAGE(OFFSET($H$3,0,0,'Données projet'!$E$11+1,1))</f>
        <v>287.91374663515506</v>
      </c>
      <c r="BJ96" s="60">
        <f t="shared" si="92"/>
        <v>217.76240797006147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4.9000000000000004</v>
      </c>
      <c r="BY96" s="13">
        <f>IF('Données projet'!$A$114&gt;35,BY95+BX96-CG95,IF(A96&lt;'Données projet'!$A$114,$BV$205^A96,IF(A96='Données projet'!$A$114,'Données projet'!$B$114,BY95+BX96-CG95)))</f>
        <v>268.7</v>
      </c>
      <c r="BZ96" s="14">
        <f>BY96*VLOOKUP('Données projet'!$B$12,Paramètres!$A$1:$I$89,3,0)*VLOOKUP('Données projet'!$B$12,Paramètres!$A$1:$I$89,5,0)</f>
        <v>243.11975999999996</v>
      </c>
      <c r="CA96" s="14">
        <f t="shared" si="93"/>
        <v>59.110256668778533</v>
      </c>
      <c r="CB96" s="22">
        <f t="shared" si="64"/>
        <v>526.3839456981226</v>
      </c>
      <c r="CC96" s="60">
        <f t="shared" si="65"/>
        <v>819.71727903145597</v>
      </c>
      <c r="CD96" s="60">
        <f ca="1">AVERAGE(OFFSET($CC$3,0,0,'Données projet'!$E$12+1,1))-AVERAGE(OFFSET($H$3,0,0,'Données projet'!$E$12+1,1))</f>
        <v>428.8489304403459</v>
      </c>
      <c r="CE96" s="60">
        <f t="shared" si="94"/>
        <v>247.01165577562966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8.7730769230769283</v>
      </c>
      <c r="CT96" s="13">
        <f>IF('Données projet'!$A$140&gt;35,CT95+CS96-DB95,IF(A96&lt;'Données projet'!$A$140,$CQ$205^A96,IF(A96='Données projet'!$A$140,'Données projet'!$B$140,CT95+CS96-DB95)))</f>
        <v>363.18461538461531</v>
      </c>
      <c r="CU96" s="18">
        <f>CT96*VLOOKUP('Données projet'!$B$13,Paramètres!$A$1:$I$89,3,0)*VLOOKUP('Données projet'!$B$13,Paramètres!$A$1:$I$89,5,0)</f>
        <v>169.97039999999998</v>
      </c>
      <c r="CV96" s="14">
        <f t="shared" si="95"/>
        <v>43.083394102790791</v>
      </c>
      <c r="CW96" s="22">
        <f t="shared" si="67"/>
        <v>371.06869139569397</v>
      </c>
      <c r="CX96" s="60">
        <f t="shared" si="68"/>
        <v>664.40202472902729</v>
      </c>
      <c r="CY96" s="60">
        <f ca="1">AVERAGE(OFFSET($CX$3,0,0,'Données projet'!$E$13+1,1))-AVERAGE(OFFSET($H$3,0,0,'Données projet'!$E$13+1,1))</f>
        <v>284.88646502866419</v>
      </c>
      <c r="CZ96" s="60">
        <f t="shared" si="96"/>
        <v>190.4880882944471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4.9000000000000004</v>
      </c>
      <c r="DO96" s="13">
        <f>IF('Données projet'!$A$166&gt;35,DO95+DN96-DW95,IF(A96&lt;'Données projet'!$A$166,$DL$205^A96,IF(A96='Données projet'!$A$166,'Données projet'!$B$166,DO95+DN96-DW95)))</f>
        <v>268.7</v>
      </c>
      <c r="DP96" s="18">
        <f>DO96*VLOOKUP('Données projet'!$B$14,Paramètres!$A$1:$I$89,3,0)*VLOOKUP('Données projet'!$B$14,Paramètres!$A$1:$I$89,5,0)</f>
        <v>289.22868</v>
      </c>
      <c r="DQ96" s="14">
        <f t="shared" si="97"/>
        <v>68.913598231220931</v>
      </c>
      <c r="DR96" s="22">
        <f t="shared" si="70"/>
        <v>623.76446791937644</v>
      </c>
      <c r="DS96" s="60">
        <f t="shared" si="71"/>
        <v>917.09780125270981</v>
      </c>
      <c r="DT96" s="60">
        <f ca="1">AVERAGE(OFFSET($DS$3,0,0,'Données projet'!$E$14+1,1))-AVERAGE(OFFSET($H$3,0,0,'Données projet'!$E$14+1,1))</f>
        <v>502.07782026233912</v>
      </c>
      <c r="DU96" s="60">
        <f t="shared" si="98"/>
        <v>285.83623046025156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-1.7053025658242404E-13</v>
      </c>
      <c r="EK96" s="18">
        <f>EJ96*VLOOKUP('Données projet'!$B$15,Paramètres!$A$1:$I$89,3,0)*VLOOKUP('Données projet'!$B$15,Paramètres!$A$1:$I$89,5,0)</f>
        <v>-1.4897523215040567E-13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339.58437495284466</v>
      </c>
      <c r="EP96" s="60">
        <f t="shared" si="100"/>
        <v>371.26234252426531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4.9000000000000004</v>
      </c>
      <c r="FE96" s="13">
        <f>IF('Données projet'!$A$218&gt;35,FE95+FD96-FM95,IF(A96&lt;'Données projet'!$A$218,$FB$205^A96,IF(A96='Données projet'!$A$218,'Données projet'!$B$218,FE95+FD96-FM95)))</f>
        <v>268.7</v>
      </c>
      <c r="FF96" s="18">
        <f>FE96*VLOOKUP('Données projet'!$B$16,Paramètres!$A$1:$I$89,3,0)*VLOOKUP('Données projet'!$B$16,Paramètres!$A$1:$I$89,5,0)</f>
        <v>259.88664</v>
      </c>
      <c r="FG96" s="14">
        <f t="shared" si="101"/>
        <v>62.698213571884004</v>
      </c>
      <c r="FH96" s="22">
        <f t="shared" si="76"/>
        <v>561.835286637698</v>
      </c>
      <c r="FI96" s="60">
        <f t="shared" si="77"/>
        <v>855.16861997103138</v>
      </c>
      <c r="FJ96" s="60">
        <f ca="1">AVERAGE(OFFSET($FI$3,0,0,'Données projet'!$E$16+1,1))-AVERAGE(OFFSET($H$3,0,0,'Données projet'!$E$16+1,1))</f>
        <v>455.50822833641354</v>
      </c>
      <c r="FK96" s="60">
        <f t="shared" si="102"/>
        <v>261.14722581688039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277.43039999999996</v>
      </c>
      <c r="P97" s="14">
        <f t="shared" si="87"/>
        <v>66.423687500715673</v>
      </c>
      <c r="Q97" s="22">
        <f t="shared" si="54"/>
        <v>598.87920239707967</v>
      </c>
      <c r="R97" s="60">
        <f t="shared" si="55"/>
        <v>892.21253573041304</v>
      </c>
      <c r="S97" s="60">
        <f ca="1">AVERAGE(OFFSET($R$3,0,0,'Données projet'!$E$9+1,1))-AVERAGE(OFFSET($H$3,0,0,'Données projet'!$E$9+1,1))</f>
        <v>475.47920969424894</v>
      </c>
      <c r="T97" s="60">
        <f t="shared" si="88"/>
        <v>271.73544012419364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-2.8421709430404007E-13</v>
      </c>
      <c r="AJ97" s="14">
        <f>AI97*VLOOKUP('Données projet'!$B$10,Paramètres!$A$1:$I$89,3,0)*VLOOKUP('Données projet'!$B$10,Paramètres!$A$1:$I$89,5,0)</f>
        <v>-1.69961822393816E-13</v>
      </c>
      <c r="AK97" s="14" t="e">
        <f t="shared" si="89"/>
        <v>#NUM!</v>
      </c>
      <c r="AL97" s="22" t="e">
        <f t="shared" si="58"/>
        <v>#NUM!</v>
      </c>
      <c r="AM97" s="60" t="e">
        <f t="shared" si="59"/>
        <v>#NUM!</v>
      </c>
      <c r="AN97" s="60">
        <f ca="1">AVERAGE(OFFSET($AM$3,0,0,'Données projet'!$E$10+1,1))-AVERAGE(OFFSET($H$3,0,0,'Données projet'!$E$10+1,1))</f>
        <v>289.24721145176682</v>
      </c>
      <c r="AO97" s="60">
        <f t="shared" si="90"/>
        <v>229.06617320689003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0.38446192212685965</v>
      </c>
      <c r="AW97" s="23">
        <f>EXP(-LN(2)/2)*AW96+(1-EXP(-LN(2)/2))/(LN(2)/2)*AQ97*AT97*VLOOKUP('Données projet'!$B$10,Paramètres!$A$1:$I$89,3,0)*0.475*44/12</f>
        <v>1.0322552085016718E-9</v>
      </c>
      <c r="AX97" s="23">
        <f t="shared" si="60"/>
        <v>0.38446192315911487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6.376923076923072</v>
      </c>
      <c r="BD97" s="13">
        <f>IF('Données projet'!$A$88&gt;35,BD96+BC97-BL96,IF(A97&lt;'Données projet'!$A$88,$BA$205^A97,IF(A97='Données projet'!$A$88,'Données projet'!$B$88,BD96+BC97-BL96)))</f>
        <v>366.36153846153849</v>
      </c>
      <c r="BE97" s="14">
        <f>BD97*VLOOKUP('Données projet'!$B$11,Paramètres!$A$1:$I$89,3,0)*VLOOKUP('Données projet'!$B$11,Paramètres!$A$1:$I$89,5,0)</f>
        <v>219.08420000000004</v>
      </c>
      <c r="BF97" s="14">
        <f t="shared" si="91"/>
        <v>53.915792817838494</v>
      </c>
      <c r="BG97" s="22">
        <f t="shared" si="61"/>
        <v>475.4749874910687</v>
      </c>
      <c r="BH97" s="60">
        <f t="shared" si="62"/>
        <v>768.80832082440202</v>
      </c>
      <c r="BI97" s="60">
        <f ca="1">AVERAGE(OFFSET($BH$3,0,0,'Données projet'!$E$11+1,1))-AVERAGE(OFFSET($H$3,0,0,'Données projet'!$E$11+1,1))</f>
        <v>287.91374663515506</v>
      </c>
      <c r="BJ97" s="60">
        <f t="shared" si="92"/>
        <v>217.76240797006147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4.9000000000000004</v>
      </c>
      <c r="BY97" s="13">
        <f>IF('Données projet'!$A$114&gt;35,BY96+BX97-CG96,IF(A97&lt;'Données projet'!$A$114,$BV$205^A97,IF(A97='Données projet'!$A$114,'Données projet'!$B$114,BY96+BX97-CG96)))</f>
        <v>273.59999999999997</v>
      </c>
      <c r="BZ97" s="14">
        <f>BY97*VLOOKUP('Données projet'!$B$12,Paramètres!$A$1:$I$89,3,0)*VLOOKUP('Données projet'!$B$12,Paramètres!$A$1:$I$89,5,0)</f>
        <v>247.55327999999994</v>
      </c>
      <c r="CA97" s="14">
        <f t="shared" si="93"/>
        <v>60.061713068870255</v>
      </c>
      <c r="CB97" s="22">
        <f t="shared" si="64"/>
        <v>535.76277959494894</v>
      </c>
      <c r="CC97" s="60">
        <f t="shared" si="65"/>
        <v>829.09611292828231</v>
      </c>
      <c r="CD97" s="60">
        <f ca="1">AVERAGE(OFFSET($CC$3,0,0,'Données projet'!$E$12+1,1))-AVERAGE(OFFSET($H$3,0,0,'Données projet'!$E$12+1,1))</f>
        <v>428.8489304403459</v>
      </c>
      <c r="CE97" s="60">
        <f t="shared" si="94"/>
        <v>247.01165577562966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8.7730769230769283</v>
      </c>
      <c r="CT97" s="13">
        <f>IF('Données projet'!$A$140&gt;35,CT96+CS97-DB96,IF(A97&lt;'Données projet'!$A$140,$CQ$205^A97,IF(A97='Données projet'!$A$140,'Données projet'!$B$140,CT96+CS97-DB96)))</f>
        <v>371.95769230769224</v>
      </c>
      <c r="CU97" s="18">
        <f>CT97*VLOOKUP('Données projet'!$B$13,Paramètres!$A$1:$I$89,3,0)*VLOOKUP('Données projet'!$B$13,Paramètres!$A$1:$I$89,5,0)</f>
        <v>174.07619999999997</v>
      </c>
      <c r="CV97" s="14">
        <f t="shared" si="95"/>
        <v>44.001694016087448</v>
      </c>
      <c r="CW97" s="22">
        <f t="shared" si="67"/>
        <v>379.81899874468553</v>
      </c>
      <c r="CX97" s="60">
        <f t="shared" si="68"/>
        <v>673.15233207801884</v>
      </c>
      <c r="CY97" s="60">
        <f ca="1">AVERAGE(OFFSET($CX$3,0,0,'Données projet'!$E$13+1,1))-AVERAGE(OFFSET($H$3,0,0,'Données projet'!$E$13+1,1))</f>
        <v>284.88646502866419</v>
      </c>
      <c r="CZ97" s="60">
        <f t="shared" si="96"/>
        <v>190.4880882944471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4.9000000000000004</v>
      </c>
      <c r="DO97" s="13">
        <f>IF('Données projet'!$A$166&gt;35,DO96+DN97-DW96,IF(A97&lt;'Données projet'!$A$166,$DL$205^A97,IF(A97='Données projet'!$A$166,'Données projet'!$B$166,DO96+DN97-DW96)))</f>
        <v>273.59999999999997</v>
      </c>
      <c r="DP97" s="18">
        <f>DO97*VLOOKUP('Données projet'!$B$14,Paramètres!$A$1:$I$89,3,0)*VLOOKUP('Données projet'!$B$14,Paramètres!$A$1:$I$89,5,0)</f>
        <v>294.50303999999994</v>
      </c>
      <c r="DQ97" s="14">
        <f t="shared" si="97"/>
        <v>70.022852154069838</v>
      </c>
      <c r="DR97" s="22">
        <f t="shared" si="70"/>
        <v>634.88259550167152</v>
      </c>
      <c r="DS97" s="60">
        <f t="shared" si="71"/>
        <v>928.21592883500489</v>
      </c>
      <c r="DT97" s="60">
        <f ca="1">AVERAGE(OFFSET($DS$3,0,0,'Données projet'!$E$14+1,1))-AVERAGE(OFFSET($H$3,0,0,'Données projet'!$E$14+1,1))</f>
        <v>502.07782026233912</v>
      </c>
      <c r="DU97" s="60">
        <f t="shared" si="98"/>
        <v>285.83623046025156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-1.7053025658242404E-13</v>
      </c>
      <c r="EK97" s="18">
        <f>EJ97*VLOOKUP('Données projet'!$B$15,Paramètres!$A$1:$I$89,3,0)*VLOOKUP('Données projet'!$B$15,Paramètres!$A$1:$I$89,5,0)</f>
        <v>-1.4897523215040567E-13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339.58437495284466</v>
      </c>
      <c r="EP97" s="60">
        <f t="shared" si="100"/>
        <v>371.26234252426531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4.9000000000000004</v>
      </c>
      <c r="FE97" s="13">
        <f>IF('Données projet'!$A$218&gt;35,FE96+FD97-FM96,IF(A97&lt;'Données projet'!$A$218,$FB$205^A97,IF(A97='Données projet'!$A$218,'Données projet'!$B$218,FE96+FD97-FM96)))</f>
        <v>273.59999999999997</v>
      </c>
      <c r="FF97" s="18">
        <f>FE97*VLOOKUP('Données projet'!$B$16,Paramètres!$A$1:$I$89,3,0)*VLOOKUP('Données projet'!$B$16,Paramètres!$A$1:$I$89,5,0)</f>
        <v>264.62591999999995</v>
      </c>
      <c r="FG97" s="14">
        <f t="shared" si="101"/>
        <v>63.707422801198604</v>
      </c>
      <c r="FH97" s="22">
        <f t="shared" si="76"/>
        <v>571.84723871208746</v>
      </c>
      <c r="FI97" s="60">
        <f t="shared" si="77"/>
        <v>865.18057204542083</v>
      </c>
      <c r="FJ97" s="60">
        <f ca="1">AVERAGE(OFFSET($FI$3,0,0,'Données projet'!$E$16+1,1))-AVERAGE(OFFSET($H$3,0,0,'Données projet'!$E$16+1,1))</f>
        <v>455.50822833641354</v>
      </c>
      <c r="FK97" s="60">
        <f t="shared" si="102"/>
        <v>261.14722581688039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282.399</v>
      </c>
      <c r="P98" s="14">
        <f t="shared" si="87"/>
        <v>67.473734542548371</v>
      </c>
      <c r="Q98" s="22">
        <f t="shared" si="54"/>
        <v>609.36167932827175</v>
      </c>
      <c r="R98" s="60">
        <f t="shared" si="55"/>
        <v>902.69501266160501</v>
      </c>
      <c r="S98" s="60">
        <f ca="1">AVERAGE(OFFSET($R$3,0,0,'Données projet'!$E$9+1,1))-AVERAGE(OFFSET($H$3,0,0,'Données projet'!$E$9+1,1))</f>
        <v>475.47920969424894</v>
      </c>
      <c r="T98" s="60">
        <f t="shared" si="88"/>
        <v>271.73544012419364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-2.8421709430404007E-13</v>
      </c>
      <c r="AJ98" s="14">
        <f>AI98*VLOOKUP('Données projet'!$B$10,Paramètres!$A$1:$I$89,3,0)*VLOOKUP('Données projet'!$B$10,Paramètres!$A$1:$I$89,5,0)</f>
        <v>-1.69961822393816E-13</v>
      </c>
      <c r="AK98" s="14" t="e">
        <f t="shared" si="89"/>
        <v>#NUM!</v>
      </c>
      <c r="AL98" s="22" t="e">
        <f t="shared" si="58"/>
        <v>#NUM!</v>
      </c>
      <c r="AM98" s="60" t="e">
        <f t="shared" si="59"/>
        <v>#NUM!</v>
      </c>
      <c r="AN98" s="60">
        <f ca="1">AVERAGE(OFFSET($AM$3,0,0,'Données projet'!$E$10+1,1))-AVERAGE(OFFSET($H$3,0,0,'Données projet'!$E$10+1,1))</f>
        <v>289.24721145176682</v>
      </c>
      <c r="AO98" s="60">
        <f t="shared" si="90"/>
        <v>229.06617320689003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0.37394879064832687</v>
      </c>
      <c r="AW98" s="23">
        <f>EXP(-LN(2)/2)*AW97+(1-EXP(-LN(2)/2))/(LN(2)/2)*AQ98*AT98*VLOOKUP('Données projet'!$B$10,Paramètres!$A$1:$I$89,3,0)*0.475*44/12</f>
        <v>7.2991465784666564E-10</v>
      </c>
      <c r="AX98" s="23">
        <f t="shared" si="60"/>
        <v>0.37394879137824155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372.73846153846154</v>
      </c>
      <c r="BB98" s="13">
        <f>VLOOKUP(A98,'Données projet'!$A$87:$I$107,9,0)</f>
        <v>6.376923076923072</v>
      </c>
      <c r="BC98" s="13">
        <f t="array" ref="BC98">INDEX(BB:BB,MIN(IF(ISNUMBER(BB98:BB294),ROW(BB98:BB294),"")))</f>
        <v>6.376923076923072</v>
      </c>
      <c r="BD98" s="13">
        <f>IF('Données projet'!$A$88&gt;35,BD97+BC98-BL97,IF(A98&lt;'Données projet'!$A$88,$BA$205^A98,IF(A98='Données projet'!$A$88,'Données projet'!$B$88,BD97+BC98-BL97)))</f>
        <v>372.73846153846154</v>
      </c>
      <c r="BE98" s="14">
        <f>BD98*VLOOKUP('Données projet'!$B$11,Paramètres!$A$1:$I$89,3,0)*VLOOKUP('Données projet'!$B$11,Paramètres!$A$1:$I$89,5,0)</f>
        <v>222.89760000000001</v>
      </c>
      <c r="BF98" s="14">
        <f t="shared" si="91"/>
        <v>54.744184358727466</v>
      </c>
      <c r="BG98" s="22">
        <f t="shared" si="61"/>
        <v>483.55944109145031</v>
      </c>
      <c r="BH98" s="60">
        <f t="shared" si="62"/>
        <v>776.89277442478362</v>
      </c>
      <c r="BI98" s="60">
        <f ca="1">AVERAGE(OFFSET($BH$3,0,0,'Données projet'!$E$11+1,1))-AVERAGE(OFFSET($H$3,0,0,'Données projet'!$E$11+1,1))</f>
        <v>287.91374663515506</v>
      </c>
      <c r="BJ98" s="60">
        <f t="shared" si="92"/>
        <v>217.76240797006147</v>
      </c>
      <c r="BK98" s="16">
        <f>IF(ISNA(VLOOKUP(A98,'Données projet'!$A$87:$I$107,3,0)),0,VLOOKUP(A98,'Données projet'!$A$87:$I$107,3,0))</f>
        <v>5</v>
      </c>
      <c r="BL98" s="16">
        <f>IF(ISNA(VLOOKUP(A98,'Données projet'!$A$87:$I$107,4,0)),0,VLOOKUP(A98,'Données projet'!$A$87:$I$107,4,0))</f>
        <v>203.73846153846154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4.9000000000000004</v>
      </c>
      <c r="BY98" s="13">
        <f>IF('Données projet'!$A$114&gt;35,BY97+BX98-CG97,IF(A98&lt;'Données projet'!$A$114,$BV$205^A98,IF(A98='Données projet'!$A$114,'Données projet'!$B$114,BY97+BX98-CG97)))</f>
        <v>278.49999999999994</v>
      </c>
      <c r="BZ98" s="14">
        <f>BY98*VLOOKUP('Données projet'!$B$12,Paramètres!$A$1:$I$89,3,0)*VLOOKUP('Données projet'!$B$12,Paramètres!$A$1:$I$89,5,0)</f>
        <v>251.98679999999993</v>
      </c>
      <c r="CA98" s="14">
        <f t="shared" si="93"/>
        <v>61.011187970195053</v>
      </c>
      <c r="CB98" s="22">
        <f t="shared" si="64"/>
        <v>545.13816238142283</v>
      </c>
      <c r="CC98" s="60">
        <f t="shared" si="65"/>
        <v>838.4714957147562</v>
      </c>
      <c r="CD98" s="60">
        <f ca="1">AVERAGE(OFFSET($CC$3,0,0,'Données projet'!$E$12+1,1))-AVERAGE(OFFSET($H$3,0,0,'Données projet'!$E$12+1,1))</f>
        <v>428.8489304403459</v>
      </c>
      <c r="CE98" s="60">
        <f t="shared" si="94"/>
        <v>247.01165577562966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8.7730769230769283</v>
      </c>
      <c r="CT98" s="13">
        <f>IF('Données projet'!$A$140&gt;35,CT97+CS98-DB97,IF(A98&lt;'Données projet'!$A$140,$CQ$205^A98,IF(A98='Données projet'!$A$140,'Données projet'!$B$140,CT97+CS98-DB97)))</f>
        <v>380.73076923076917</v>
      </c>
      <c r="CU98" s="18">
        <f>CT98*VLOOKUP('Données projet'!$B$13,Paramètres!$A$1:$I$89,3,0)*VLOOKUP('Données projet'!$B$13,Paramètres!$A$1:$I$89,5,0)</f>
        <v>178.18199999999996</v>
      </c>
      <c r="CV98" s="14">
        <f t="shared" si="95"/>
        <v>44.917476006361952</v>
      </c>
      <c r="CW98" s="22">
        <f t="shared" si="67"/>
        <v>388.56492071108028</v>
      </c>
      <c r="CX98" s="60">
        <f t="shared" si="68"/>
        <v>681.89825404441353</v>
      </c>
      <c r="CY98" s="60">
        <f ca="1">AVERAGE(OFFSET($CX$3,0,0,'Données projet'!$E$13+1,1))-AVERAGE(OFFSET($H$3,0,0,'Données projet'!$E$13+1,1))</f>
        <v>284.88646502866419</v>
      </c>
      <c r="CZ98" s="60">
        <f t="shared" si="96"/>
        <v>190.4880882944471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4.9000000000000004</v>
      </c>
      <c r="DO98" s="13">
        <f>IF('Données projet'!$A$166&gt;35,DO97+DN98-DW97,IF(A98&lt;'Données projet'!$A$166,$DL$205^A98,IF(A98='Données projet'!$A$166,'Données projet'!$B$166,DO97+DN98-DW97)))</f>
        <v>278.49999999999994</v>
      </c>
      <c r="DP98" s="18">
        <f>DO98*VLOOKUP('Données projet'!$B$14,Paramètres!$A$1:$I$89,3,0)*VLOOKUP('Données projet'!$B$14,Paramètres!$A$1:$I$89,5,0)</f>
        <v>299.77739999999989</v>
      </c>
      <c r="DQ98" s="14">
        <f t="shared" si="97"/>
        <v>71.129795949749251</v>
      </c>
      <c r="DR98" s="22">
        <f t="shared" si="70"/>
        <v>645.9966996124798</v>
      </c>
      <c r="DS98" s="60">
        <f t="shared" si="71"/>
        <v>939.33003294581317</v>
      </c>
      <c r="DT98" s="60">
        <f ca="1">AVERAGE(OFFSET($DS$3,0,0,'Données projet'!$E$14+1,1))-AVERAGE(OFFSET($H$3,0,0,'Données projet'!$E$14+1,1))</f>
        <v>502.07782026233912</v>
      </c>
      <c r="DU98" s="60">
        <f t="shared" si="98"/>
        <v>285.83623046025156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-1.7053025658242404E-13</v>
      </c>
      <c r="EK98" s="18">
        <f>EJ98*VLOOKUP('Données projet'!$B$15,Paramètres!$A$1:$I$89,3,0)*VLOOKUP('Données projet'!$B$15,Paramètres!$A$1:$I$89,5,0)</f>
        <v>-1.4897523215040567E-13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339.58437495284466</v>
      </c>
      <c r="EP98" s="60">
        <f t="shared" si="100"/>
        <v>371.26234252426531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4.9000000000000004</v>
      </c>
      <c r="FE98" s="13">
        <f>IF('Données projet'!$A$218&gt;35,FE97+FD98-FM97,IF(A98&lt;'Données projet'!$A$218,$FB$205^A98,IF(A98='Données projet'!$A$218,'Données projet'!$B$218,FE97+FD98-FM97)))</f>
        <v>278.49999999999994</v>
      </c>
      <c r="FF98" s="18">
        <f>FE98*VLOOKUP('Données projet'!$B$16,Paramètres!$A$1:$I$89,3,0)*VLOOKUP('Données projet'!$B$16,Paramètres!$A$1:$I$89,5,0)</f>
        <v>269.36519999999996</v>
      </c>
      <c r="FG98" s="14">
        <f t="shared" si="101"/>
        <v>64.714530255967034</v>
      </c>
      <c r="FH98" s="22">
        <f t="shared" si="76"/>
        <v>581.85553019580914</v>
      </c>
      <c r="FI98" s="60">
        <f t="shared" si="77"/>
        <v>875.18886352914251</v>
      </c>
      <c r="FJ98" s="60">
        <f ca="1">AVERAGE(OFFSET($FI$3,0,0,'Données projet'!$E$16+1,1))-AVERAGE(OFFSET($H$3,0,0,'Données projet'!$E$16+1,1))</f>
        <v>455.50822833641354</v>
      </c>
      <c r="FK98" s="60">
        <f t="shared" si="102"/>
        <v>261.14722581688039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287.36759999999992</v>
      </c>
      <c r="P99" s="14">
        <f t="shared" si="87"/>
        <v>68.521633201565123</v>
      </c>
      <c r="Q99" s="22">
        <f t="shared" ref="Q99:Q130" si="107">(O99+P99)*0.475*44/12</f>
        <v>619.84041449272581</v>
      </c>
      <c r="R99" s="60">
        <f t="shared" si="55"/>
        <v>913.17374782605907</v>
      </c>
      <c r="S99" s="60">
        <f ca="1">AVERAGE(OFFSET($R$3,0,0,'Données projet'!$E$9+1,1))-AVERAGE(OFFSET($H$3,0,0,'Données projet'!$E$9+1,1))</f>
        <v>475.47920969424894</v>
      </c>
      <c r="T99" s="60">
        <f t="shared" si="88"/>
        <v>271.73544012419364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-2.8421709430404007E-13</v>
      </c>
      <c r="AJ99" s="14">
        <f>AI99*VLOOKUP('Données projet'!$B$10,Paramètres!$A$1:$I$89,3,0)*VLOOKUP('Données projet'!$B$10,Paramètres!$A$1:$I$89,5,0)</f>
        <v>-1.69961822393816E-13</v>
      </c>
      <c r="AK99" s="14" t="e">
        <f t="shared" si="89"/>
        <v>#NUM!</v>
      </c>
      <c r="AL99" s="22" t="e">
        <f t="shared" si="58"/>
        <v>#NUM!</v>
      </c>
      <c r="AM99" s="60" t="e">
        <f t="shared" si="59"/>
        <v>#NUM!</v>
      </c>
      <c r="AN99" s="60">
        <f ca="1">AVERAGE(OFFSET($AM$3,0,0,'Données projet'!$E$10+1,1))-AVERAGE(OFFSET($H$3,0,0,'Données projet'!$E$10+1,1))</f>
        <v>289.24721145176682</v>
      </c>
      <c r="AO99" s="60">
        <f t="shared" si="90"/>
        <v>229.06617320689003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0.36372314130293615</v>
      </c>
      <c r="AW99" s="23">
        <f>EXP(-LN(2)/2)*AW98+(1-EXP(-LN(2)/2))/(LN(2)/2)*AQ99*AT99*VLOOKUP('Données projet'!$B$10,Paramètres!$A$1:$I$89,3,0)*0.475*44/12</f>
        <v>5.161276042508359E-10</v>
      </c>
      <c r="AX99" s="23">
        <f t="shared" si="60"/>
        <v>0.36372314181906373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4.6046153846153803</v>
      </c>
      <c r="BD99" s="13">
        <f>IF('Données projet'!$A$88&gt;35,BD98+BC99-BL98,IF(A99&lt;'Données projet'!$A$88,$BA$205^A99,IF(A99='Données projet'!$A$88,'Données projet'!$B$88,BD98+BC99-BL98)))</f>
        <v>173.60461538461539</v>
      </c>
      <c r="BE99" s="14">
        <f>BD99*VLOOKUP('Données projet'!$B$11,Paramètres!$A$1:$I$89,3,0)*VLOOKUP('Données projet'!$B$11,Paramètres!$A$1:$I$89,5,0)</f>
        <v>103.81556</v>
      </c>
      <c r="BF99" s="14">
        <f t="shared" si="91"/>
        <v>27.869011613348999</v>
      </c>
      <c r="BG99" s="22">
        <f t="shared" si="61"/>
        <v>229.35062889324948</v>
      </c>
      <c r="BH99" s="60">
        <f t="shared" si="62"/>
        <v>522.68396222658282</v>
      </c>
      <c r="BI99" s="60">
        <f ca="1">AVERAGE(OFFSET($BH$3,0,0,'Données projet'!$E$11+1,1))-AVERAGE(OFFSET($H$3,0,0,'Données projet'!$E$11+1,1))</f>
        <v>287.91374663515506</v>
      </c>
      <c r="BJ99" s="60">
        <f t="shared" si="92"/>
        <v>217.76240797006147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4.9000000000000004</v>
      </c>
      <c r="BY99" s="13">
        <f>IF('Données projet'!$A$114&gt;35,BY98+BX99-CG98,IF(A99&lt;'Données projet'!$A$114,$BV$205^A99,IF(A99='Données projet'!$A$114,'Données projet'!$B$114,BY98+BX99-CG98)))</f>
        <v>283.39999999999992</v>
      </c>
      <c r="BZ99" s="14">
        <f>BY99*VLOOKUP('Données projet'!$B$12,Paramètres!$A$1:$I$89,3,0)*VLOOKUP('Données projet'!$B$12,Paramètres!$A$1:$I$89,5,0)</f>
        <v>256.42031999999989</v>
      </c>
      <c r="CA99" s="14">
        <f t="shared" si="93"/>
        <v>61.958720258016918</v>
      </c>
      <c r="CB99" s="22">
        <f t="shared" si="64"/>
        <v>554.51016178271254</v>
      </c>
      <c r="CC99" s="60">
        <f t="shared" si="65"/>
        <v>847.84349511604591</v>
      </c>
      <c r="CD99" s="60">
        <f ca="1">AVERAGE(OFFSET($CC$3,0,0,'Données projet'!$E$12+1,1))-AVERAGE(OFFSET($H$3,0,0,'Données projet'!$E$12+1,1))</f>
        <v>428.8489304403459</v>
      </c>
      <c r="CE99" s="60">
        <f t="shared" si="94"/>
        <v>247.01165577562966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8.7730769230769283</v>
      </c>
      <c r="CT99" s="13">
        <f>IF('Données projet'!$A$140&gt;35,CT98+CS99-DB98,IF(A99&lt;'Données projet'!$A$140,$CQ$205^A99,IF(A99='Données projet'!$A$140,'Données projet'!$B$140,CT98+CS99-DB98)))</f>
        <v>389.5038461538461</v>
      </c>
      <c r="CU99" s="18">
        <f>CT99*VLOOKUP('Données projet'!$B$13,Paramètres!$A$1:$I$89,3,0)*VLOOKUP('Données projet'!$B$13,Paramètres!$A$1:$I$89,5,0)</f>
        <v>182.28779999999995</v>
      </c>
      <c r="CV99" s="14">
        <f t="shared" si="95"/>
        <v>45.830804771728936</v>
      </c>
      <c r="CW99" s="22">
        <f t="shared" si="67"/>
        <v>397.30656997742784</v>
      </c>
      <c r="CX99" s="60">
        <f t="shared" si="68"/>
        <v>690.63990331076116</v>
      </c>
      <c r="CY99" s="60">
        <f ca="1">AVERAGE(OFFSET($CX$3,0,0,'Données projet'!$E$13+1,1))-AVERAGE(OFFSET($H$3,0,0,'Données projet'!$E$13+1,1))</f>
        <v>284.88646502866419</v>
      </c>
      <c r="CZ99" s="60">
        <f t="shared" si="96"/>
        <v>190.4880882944471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4.9000000000000004</v>
      </c>
      <c r="DO99" s="13">
        <f>IF('Données projet'!$A$166&gt;35,DO98+DN99-DW98,IF(A99&lt;'Données projet'!$A$166,$DL$205^A99,IF(A99='Données projet'!$A$166,'Données projet'!$B$166,DO98+DN99-DW98)))</f>
        <v>283.39999999999992</v>
      </c>
      <c r="DP99" s="18">
        <f>DO99*VLOOKUP('Données projet'!$B$14,Paramètres!$A$1:$I$89,3,0)*VLOOKUP('Données projet'!$B$14,Paramètres!$A$1:$I$89,5,0)</f>
        <v>305.05175999999989</v>
      </c>
      <c r="DQ99" s="14">
        <f t="shared" si="97"/>
        <v>72.23447495258219</v>
      </c>
      <c r="DR99" s="22">
        <f t="shared" si="70"/>
        <v>657.10685920908043</v>
      </c>
      <c r="DS99" s="60">
        <f t="shared" si="71"/>
        <v>950.4401925424138</v>
      </c>
      <c r="DT99" s="60">
        <f ca="1">AVERAGE(OFFSET($DS$3,0,0,'Données projet'!$E$14+1,1))-AVERAGE(OFFSET($H$3,0,0,'Données projet'!$E$14+1,1))</f>
        <v>502.07782026233912</v>
      </c>
      <c r="DU99" s="60">
        <f t="shared" si="98"/>
        <v>285.83623046025156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-1.7053025658242404E-13</v>
      </c>
      <c r="EK99" s="18">
        <f>EJ99*VLOOKUP('Données projet'!$B$15,Paramètres!$A$1:$I$89,3,0)*VLOOKUP('Données projet'!$B$15,Paramètres!$A$1:$I$89,5,0)</f>
        <v>-1.4897523215040567E-13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339.58437495284466</v>
      </c>
      <c r="EP99" s="60">
        <f t="shared" si="100"/>
        <v>371.26234252426531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4.9000000000000004</v>
      </c>
      <c r="FE99" s="13">
        <f>IF('Données projet'!$A$218&gt;35,FE98+FD99-FM98,IF(A99&lt;'Données projet'!$A$218,$FB$205^A99,IF(A99='Données projet'!$A$218,'Données projet'!$B$218,FE98+FD99-FM98)))</f>
        <v>283.39999999999992</v>
      </c>
      <c r="FF99" s="18">
        <f>FE99*VLOOKUP('Données projet'!$B$16,Paramètres!$A$1:$I$89,3,0)*VLOOKUP('Données projet'!$B$16,Paramètres!$A$1:$I$89,5,0)</f>
        <v>274.10447999999991</v>
      </c>
      <c r="FG99" s="14">
        <f t="shared" si="101"/>
        <v>65.719577181765516</v>
      </c>
      <c r="FH99" s="22">
        <f t="shared" si="76"/>
        <v>591.86023292490802</v>
      </c>
      <c r="FI99" s="60">
        <f t="shared" si="77"/>
        <v>885.19356625824139</v>
      </c>
      <c r="FJ99" s="60">
        <f ca="1">AVERAGE(OFFSET($FI$3,0,0,'Données projet'!$E$16+1,1))-AVERAGE(OFFSET($H$3,0,0,'Données projet'!$E$16+1,1))</f>
        <v>455.50822833641354</v>
      </c>
      <c r="FK99" s="60">
        <f t="shared" si="102"/>
        <v>261.14722581688039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292.33619999999996</v>
      </c>
      <c r="P100" s="14">
        <f t="shared" si="87"/>
        <v>69.56742490962327</v>
      </c>
      <c r="Q100" s="22">
        <f t="shared" si="107"/>
        <v>630.31548005092702</v>
      </c>
      <c r="R100" s="60">
        <f t="shared" si="55"/>
        <v>923.64881338426039</v>
      </c>
      <c r="S100" s="60">
        <f ca="1">AVERAGE(OFFSET($R$3,0,0,'Données projet'!$E$9+1,1))-AVERAGE(OFFSET($H$3,0,0,'Données projet'!$E$9+1,1))</f>
        <v>475.47920969424894</v>
      </c>
      <c r="T100" s="60">
        <f t="shared" si="88"/>
        <v>271.73544012419364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-2.8421709430404007E-13</v>
      </c>
      <c r="AJ100" s="14">
        <f>AI100*VLOOKUP('Données projet'!$B$10,Paramètres!$A$1:$I$89,3,0)*VLOOKUP('Données projet'!$B$10,Paramètres!$A$1:$I$89,5,0)</f>
        <v>-1.69961822393816E-13</v>
      </c>
      <c r="AK100" s="14" t="e">
        <f t="shared" si="89"/>
        <v>#NUM!</v>
      </c>
      <c r="AL100" s="22" t="e">
        <f t="shared" si="58"/>
        <v>#NUM!</v>
      </c>
      <c r="AM100" s="60" t="e">
        <f t="shared" si="59"/>
        <v>#NUM!</v>
      </c>
      <c r="AN100" s="60">
        <f ca="1">AVERAGE(OFFSET($AM$3,0,0,'Données projet'!$E$10+1,1))-AVERAGE(OFFSET($H$3,0,0,'Données projet'!$E$10+1,1))</f>
        <v>289.24721145176682</v>
      </c>
      <c r="AO100" s="60">
        <f t="shared" si="90"/>
        <v>229.06617320689003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0.35377711287663866</v>
      </c>
      <c r="AW100" s="23">
        <f>EXP(-LN(2)/2)*AW99+(1-EXP(-LN(2)/2))/(LN(2)/2)*AQ100*AT100*VLOOKUP('Données projet'!$B$10,Paramètres!$A$1:$I$89,3,0)*0.475*44/12</f>
        <v>3.6495732892333282E-10</v>
      </c>
      <c r="AX100" s="23">
        <f t="shared" si="60"/>
        <v>0.353777113241596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4.6046153846153803</v>
      </c>
      <c r="BD100" s="13">
        <f>IF('Données projet'!$A$88&gt;35,BD99+BC100-BL99,IF(A100&lt;'Données projet'!$A$88,$BA$205^A100,IF(A100='Données projet'!$A$88,'Données projet'!$B$88,BD99+BC100-BL99)))</f>
        <v>178.20923076923077</v>
      </c>
      <c r="BE100" s="14">
        <f>BD100*VLOOKUP('Données projet'!$B$11,Paramètres!$A$1:$I$89,3,0)*VLOOKUP('Données projet'!$B$11,Paramètres!$A$1:$I$89,5,0)</f>
        <v>106.56912000000001</v>
      </c>
      <c r="BF100" s="14">
        <f t="shared" si="91"/>
        <v>28.52115782606614</v>
      </c>
      <c r="BG100" s="22">
        <f t="shared" si="61"/>
        <v>235.28223388039854</v>
      </c>
      <c r="BH100" s="60">
        <f t="shared" si="62"/>
        <v>528.61556721373188</v>
      </c>
      <c r="BI100" s="60">
        <f ca="1">AVERAGE(OFFSET($BH$3,0,0,'Données projet'!$E$11+1,1))-AVERAGE(OFFSET($H$3,0,0,'Données projet'!$E$11+1,1))</f>
        <v>287.91374663515506</v>
      </c>
      <c r="BJ100" s="60">
        <f t="shared" si="92"/>
        <v>217.76240797006147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4.9000000000000004</v>
      </c>
      <c r="BY100" s="13">
        <f>IF('Données projet'!$A$114&gt;35,BY99+BX100-CG99,IF(A100&lt;'Données projet'!$A$114,$BV$205^A100,IF(A100='Données projet'!$A$114,'Données projet'!$B$114,BY99+BX100-CG99)))</f>
        <v>288.2999999999999</v>
      </c>
      <c r="BZ100" s="14">
        <f>BY100*VLOOKUP('Données projet'!$B$12,Paramètres!$A$1:$I$89,3,0)*VLOOKUP('Données projet'!$B$12,Paramètres!$A$1:$I$89,5,0)</f>
        <v>260.85383999999993</v>
      </c>
      <c r="CA100" s="14">
        <f t="shared" si="93"/>
        <v>62.904347395903763</v>
      </c>
      <c r="CB100" s="22">
        <f t="shared" si="64"/>
        <v>563.87884304786564</v>
      </c>
      <c r="CC100" s="60">
        <f t="shared" si="65"/>
        <v>857.21217638119901</v>
      </c>
      <c r="CD100" s="60">
        <f ca="1">AVERAGE(OFFSET($CC$3,0,0,'Données projet'!$E$12+1,1))-AVERAGE(OFFSET($H$3,0,0,'Données projet'!$E$12+1,1))</f>
        <v>428.8489304403459</v>
      </c>
      <c r="CE100" s="60">
        <f t="shared" si="94"/>
        <v>247.01165577562966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>
        <f>VLOOKUP(A100,'Données projet'!$A$139:$I$159,2,0)</f>
        <v>398.27692307692308</v>
      </c>
      <c r="CR100" s="13">
        <f>VLOOKUP(A100,'Données projet'!$A$139:$I$159,9,0)</f>
        <v>8.7730769230769283</v>
      </c>
      <c r="CS100" s="13">
        <f t="array" ref="CS100">INDEX(CR:CR,MIN(IF(ISNUMBER(CR100:CR296),ROW(CR100:CR296),"")))</f>
        <v>8.7730769230769283</v>
      </c>
      <c r="CT100" s="13">
        <f>IF('Données projet'!$A$140&gt;35,CT99+CS100-DB99,IF(A100&lt;'Données projet'!$A$140,$CQ$205^A100,IF(A100='Données projet'!$A$140,'Données projet'!$B$140,CT99+CS100-DB99)))</f>
        <v>398.27692307692303</v>
      </c>
      <c r="CU100" s="18">
        <f>CT100*VLOOKUP('Données projet'!$B$13,Paramètres!$A$1:$I$89,3,0)*VLOOKUP('Données projet'!$B$13,Paramètres!$A$1:$I$89,5,0)</f>
        <v>186.39359999999999</v>
      </c>
      <c r="CV100" s="14">
        <f t="shared" si="95"/>
        <v>46.741741929451358</v>
      </c>
      <c r="CW100" s="22">
        <f t="shared" si="67"/>
        <v>406.04405386046113</v>
      </c>
      <c r="CX100" s="60">
        <f t="shared" si="68"/>
        <v>699.37738719379445</v>
      </c>
      <c r="CY100" s="60">
        <f ca="1">AVERAGE(OFFSET($CX$3,0,0,'Données projet'!$E$13+1,1))-AVERAGE(OFFSET($H$3,0,0,'Données projet'!$E$13+1,1))</f>
        <v>284.88646502866419</v>
      </c>
      <c r="CZ100" s="60">
        <f t="shared" si="96"/>
        <v>190.4880882944471</v>
      </c>
      <c r="DA100" s="16">
        <f>IF(ISNA(VLOOKUP(A100,'Données projet'!$A$139:$I$159,3,0)),0,VLOOKUP(A100,'Données projet'!$A$139:$I$159,3,0))</f>
        <v>5</v>
      </c>
      <c r="DB100" s="16">
        <f>IF(ISNA(VLOOKUP(A100,'Données projet'!$A$139:$I$159,4,0)),0,VLOOKUP(A100,'Données projet'!$A$139:$I$159,4,0))</f>
        <v>79.669230769230765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4.9000000000000004</v>
      </c>
      <c r="DO100" s="13">
        <f>IF('Données projet'!$A$166&gt;35,DO99+DN100-DW99,IF(A100&lt;'Données projet'!$A$166,$DL$205^A100,IF(A100='Données projet'!$A$166,'Données projet'!$B$166,DO99+DN100-DW99)))</f>
        <v>288.2999999999999</v>
      </c>
      <c r="DP100" s="18">
        <f>DO100*VLOOKUP('Données projet'!$B$14,Paramètres!$A$1:$I$89,3,0)*VLOOKUP('Données projet'!$B$14,Paramètres!$A$1:$I$89,5,0)</f>
        <v>310.32611999999989</v>
      </c>
      <c r="DQ100" s="14">
        <f t="shared" si="97"/>
        <v>73.336932839409357</v>
      </c>
      <c r="DR100" s="22">
        <f t="shared" si="70"/>
        <v>668.21315036197109</v>
      </c>
      <c r="DS100" s="60">
        <f t="shared" si="71"/>
        <v>961.54648369530446</v>
      </c>
      <c r="DT100" s="60">
        <f ca="1">AVERAGE(OFFSET($DS$3,0,0,'Données projet'!$E$14+1,1))-AVERAGE(OFFSET($H$3,0,0,'Données projet'!$E$14+1,1))</f>
        <v>502.07782026233912</v>
      </c>
      <c r="DU100" s="60">
        <f t="shared" si="98"/>
        <v>285.83623046025156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-1.7053025658242404E-13</v>
      </c>
      <c r="EK100" s="18">
        <f>EJ100*VLOOKUP('Données projet'!$B$15,Paramètres!$A$1:$I$89,3,0)*VLOOKUP('Données projet'!$B$15,Paramètres!$A$1:$I$89,5,0)</f>
        <v>-1.4897523215040567E-13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339.58437495284466</v>
      </c>
      <c r="EP100" s="60">
        <f t="shared" si="100"/>
        <v>371.26234252426531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4.9000000000000004</v>
      </c>
      <c r="FE100" s="13">
        <f>IF('Données projet'!$A$218&gt;35,FE99+FD100-FM99,IF(A100&lt;'Données projet'!$A$218,$FB$205^A100,IF(A100='Données projet'!$A$218,'Données projet'!$B$218,FE99+FD100-FM99)))</f>
        <v>288.2999999999999</v>
      </c>
      <c r="FF100" s="18">
        <f>FE100*VLOOKUP('Données projet'!$B$16,Paramètres!$A$1:$I$89,3,0)*VLOOKUP('Données projet'!$B$16,Paramètres!$A$1:$I$89,5,0)</f>
        <v>278.84375999999992</v>
      </c>
      <c r="FG100" s="14">
        <f t="shared" si="101"/>
        <v>66.722603316177725</v>
      </c>
      <c r="FH100" s="22">
        <f t="shared" si="76"/>
        <v>601.86141610900938</v>
      </c>
      <c r="FI100" s="60">
        <f t="shared" si="77"/>
        <v>895.19474944234275</v>
      </c>
      <c r="FJ100" s="60">
        <f ca="1">AVERAGE(OFFSET($FI$3,0,0,'Données projet'!$E$16+1,1))-AVERAGE(OFFSET($H$3,0,0,'Données projet'!$E$16+1,1))</f>
        <v>455.50822833641354</v>
      </c>
      <c r="FK100" s="60">
        <f t="shared" si="102"/>
        <v>261.14722581688039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297.30479999999989</v>
      </c>
      <c r="P101" s="14">
        <f t="shared" si="87"/>
        <v>70.611149609504906</v>
      </c>
      <c r="Q101" s="22">
        <f t="shared" si="107"/>
        <v>640.78694556988739</v>
      </c>
      <c r="R101" s="60">
        <f t="shared" si="55"/>
        <v>934.12027890322065</v>
      </c>
      <c r="S101" s="60">
        <f ca="1">AVERAGE(OFFSET($R$3,0,0,'Données projet'!$E$9+1,1))-AVERAGE(OFFSET($H$3,0,0,'Données projet'!$E$9+1,1))</f>
        <v>475.47920969424894</v>
      </c>
      <c r="T101" s="60">
        <f t="shared" si="88"/>
        <v>271.73544012419364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-2.8421709430404007E-13</v>
      </c>
      <c r="AJ101" s="14">
        <f>AI101*VLOOKUP('Données projet'!$B$10,Paramètres!$A$1:$I$89,3,0)*VLOOKUP('Données projet'!$B$10,Paramètres!$A$1:$I$89,5,0)</f>
        <v>-1.69961822393816E-13</v>
      </c>
      <c r="AK101" s="14" t="e">
        <f t="shared" si="89"/>
        <v>#NUM!</v>
      </c>
      <c r="AL101" s="22" t="e">
        <f t="shared" si="58"/>
        <v>#NUM!</v>
      </c>
      <c r="AM101" s="60" t="e">
        <f t="shared" si="59"/>
        <v>#NUM!</v>
      </c>
      <c r="AN101" s="60">
        <f ca="1">AVERAGE(OFFSET($AM$3,0,0,'Données projet'!$E$10+1,1))-AVERAGE(OFFSET($H$3,0,0,'Données projet'!$E$10+1,1))</f>
        <v>289.24721145176682</v>
      </c>
      <c r="AO101" s="60">
        <f t="shared" si="90"/>
        <v>229.06617320689003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0.34410305912069716</v>
      </c>
      <c r="AW101" s="23">
        <f>EXP(-LN(2)/2)*AW100+(1-EXP(-LN(2)/2))/(LN(2)/2)*AQ101*AT101*VLOOKUP('Données projet'!$B$10,Paramètres!$A$1:$I$89,3,0)*0.475*44/12</f>
        <v>2.5806380212541795E-10</v>
      </c>
      <c r="AX101" s="23">
        <f t="shared" si="60"/>
        <v>0.34410305937876096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4.6046153846153803</v>
      </c>
      <c r="BD101" s="13">
        <f>IF('Données projet'!$A$88&gt;35,BD100+BC101-BL100,IF(A101&lt;'Données projet'!$A$88,$BA$205^A101,IF(A101='Données projet'!$A$88,'Données projet'!$B$88,BD100+BC101-BL100)))</f>
        <v>182.81384615384616</v>
      </c>
      <c r="BE101" s="14">
        <f>BD101*VLOOKUP('Données projet'!$B$11,Paramètres!$A$1:$I$89,3,0)*VLOOKUP('Données projet'!$B$11,Paramètres!$A$1:$I$89,5,0)</f>
        <v>109.32268000000001</v>
      </c>
      <c r="BF101" s="14">
        <f t="shared" si="91"/>
        <v>29.171345377812671</v>
      </c>
      <c r="BG101" s="22">
        <f t="shared" si="61"/>
        <v>241.21042753302376</v>
      </c>
      <c r="BH101" s="60">
        <f t="shared" si="62"/>
        <v>534.54376086635705</v>
      </c>
      <c r="BI101" s="60">
        <f ca="1">AVERAGE(OFFSET($BH$3,0,0,'Données projet'!$E$11+1,1))-AVERAGE(OFFSET($H$3,0,0,'Données projet'!$E$11+1,1))</f>
        <v>287.91374663515506</v>
      </c>
      <c r="BJ101" s="60">
        <f t="shared" si="92"/>
        <v>217.76240797006147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4.9000000000000004</v>
      </c>
      <c r="BY101" s="13">
        <f>IF('Données projet'!$A$114&gt;35,BY100+BX101-CG100,IF(A101&lt;'Données projet'!$A$114,$BV$205^A101,IF(A101='Données projet'!$A$114,'Données projet'!$B$114,BY100+BX101-CG100)))</f>
        <v>293.19999999999987</v>
      </c>
      <c r="BZ101" s="14">
        <f>BY101*VLOOKUP('Données projet'!$B$12,Paramètres!$A$1:$I$89,3,0)*VLOOKUP('Données projet'!$B$12,Paramètres!$A$1:$I$89,5,0)</f>
        <v>265.28735999999992</v>
      </c>
      <c r="CA101" s="14">
        <f t="shared" si="93"/>
        <v>63.84810550096995</v>
      </c>
      <c r="CB101" s="22">
        <f t="shared" si="64"/>
        <v>573.24426908085582</v>
      </c>
      <c r="CC101" s="60">
        <f t="shared" si="65"/>
        <v>866.57760241418919</v>
      </c>
      <c r="CD101" s="60">
        <f ca="1">AVERAGE(OFFSET($CC$3,0,0,'Données projet'!$E$12+1,1))-AVERAGE(OFFSET($H$3,0,0,'Données projet'!$E$12+1,1))</f>
        <v>428.8489304403459</v>
      </c>
      <c r="CE101" s="60">
        <f t="shared" si="94"/>
        <v>247.01165577562966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7.8564102564102525</v>
      </c>
      <c r="CT101" s="13">
        <f>IF('Données projet'!$A$140&gt;35,CT100+CS101-DB100,IF(A101&lt;'Données projet'!$A$140,$CQ$205^A101,IF(A101='Données projet'!$A$140,'Données projet'!$B$140,CT100+CS101-DB100)))</f>
        <v>326.46410256410252</v>
      </c>
      <c r="CU101" s="18">
        <f>CT101*VLOOKUP('Données projet'!$B$13,Paramètres!$A$1:$I$89,3,0)*VLOOKUP('Données projet'!$B$13,Paramètres!$A$1:$I$89,5,0)</f>
        <v>152.78519999999997</v>
      </c>
      <c r="CV101" s="14">
        <f t="shared" si="95"/>
        <v>39.210852996881968</v>
      </c>
      <c r="CW101" s="22">
        <f t="shared" si="67"/>
        <v>334.39312563623599</v>
      </c>
      <c r="CX101" s="60">
        <f t="shared" si="68"/>
        <v>627.72645896956931</v>
      </c>
      <c r="CY101" s="60">
        <f ca="1">AVERAGE(OFFSET($CX$3,0,0,'Données projet'!$E$13+1,1))-AVERAGE(OFFSET($H$3,0,0,'Données projet'!$E$13+1,1))</f>
        <v>284.88646502866419</v>
      </c>
      <c r="CZ101" s="60">
        <f t="shared" si="96"/>
        <v>190.4880882944471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4.9000000000000004</v>
      </c>
      <c r="DO101" s="13">
        <f>IF('Données projet'!$A$166&gt;35,DO100+DN101-DW100,IF(A101&lt;'Données projet'!$A$166,$DL$205^A101,IF(A101='Données projet'!$A$166,'Données projet'!$B$166,DO100+DN101-DW100)))</f>
        <v>293.19999999999987</v>
      </c>
      <c r="DP101" s="18">
        <f>DO101*VLOOKUP('Données projet'!$B$14,Paramètres!$A$1:$I$89,3,0)*VLOOKUP('Données projet'!$B$14,Paramètres!$A$1:$I$89,5,0)</f>
        <v>315.60047999999989</v>
      </c>
      <c r="DQ101" s="14">
        <f t="shared" si="97"/>
        <v>74.437211717310802</v>
      </c>
      <c r="DR101" s="22">
        <f t="shared" si="70"/>
        <v>679.31564640764952</v>
      </c>
      <c r="DS101" s="60">
        <f t="shared" si="71"/>
        <v>972.6489797409829</v>
      </c>
      <c r="DT101" s="60">
        <f ca="1">AVERAGE(OFFSET($DS$3,0,0,'Données projet'!$E$14+1,1))-AVERAGE(OFFSET($H$3,0,0,'Données projet'!$E$14+1,1))</f>
        <v>502.07782026233912</v>
      </c>
      <c r="DU101" s="60">
        <f t="shared" si="98"/>
        <v>285.83623046025156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-1.7053025658242404E-13</v>
      </c>
      <c r="EK101" s="18">
        <f>EJ101*VLOOKUP('Données projet'!$B$15,Paramètres!$A$1:$I$89,3,0)*VLOOKUP('Données projet'!$B$15,Paramètres!$A$1:$I$89,5,0)</f>
        <v>-1.4897523215040567E-13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339.58437495284466</v>
      </c>
      <c r="EP101" s="60">
        <f t="shared" si="100"/>
        <v>371.26234252426531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4.9000000000000004</v>
      </c>
      <c r="FE101" s="13">
        <f>IF('Données projet'!$A$218&gt;35,FE100+FD101-FM100,IF(A101&lt;'Données projet'!$A$218,$FB$205^A101,IF(A101='Données projet'!$A$218,'Données projet'!$B$218,FE100+FD101-FM100)))</f>
        <v>293.19999999999987</v>
      </c>
      <c r="FF101" s="18">
        <f>FE101*VLOOKUP('Données projet'!$B$16,Paramètres!$A$1:$I$89,3,0)*VLOOKUP('Données projet'!$B$16,Paramètres!$A$1:$I$89,5,0)</f>
        <v>283.58303999999993</v>
      </c>
      <c r="FG101" s="14">
        <f t="shared" si="101"/>
        <v>67.723646968605209</v>
      </c>
      <c r="FH101" s="22">
        <f t="shared" si="76"/>
        <v>611.85914647032064</v>
      </c>
      <c r="FI101" s="60">
        <f t="shared" si="77"/>
        <v>905.1924798036539</v>
      </c>
      <c r="FJ101" s="60">
        <f ca="1">AVERAGE(OFFSET($FI$3,0,0,'Données projet'!$E$16+1,1))-AVERAGE(OFFSET($H$3,0,0,'Données projet'!$E$16+1,1))</f>
        <v>455.50822833641354</v>
      </c>
      <c r="FK101" s="60">
        <f t="shared" si="102"/>
        <v>261.14722581688039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302.27339999999987</v>
      </c>
      <c r="P102" s="14">
        <f t="shared" si="87"/>
        <v>71.652845832409739</v>
      </c>
      <c r="Q102" s="22">
        <f t="shared" si="107"/>
        <v>651.25487815811346</v>
      </c>
      <c r="R102" s="60">
        <f t="shared" si="55"/>
        <v>944.58821149144683</v>
      </c>
      <c r="S102" s="60">
        <f ca="1">AVERAGE(OFFSET($R$3,0,0,'Données projet'!$E$9+1,1))-AVERAGE(OFFSET($H$3,0,0,'Données projet'!$E$9+1,1))</f>
        <v>475.47920969424894</v>
      </c>
      <c r="T102" s="60">
        <f t="shared" si="88"/>
        <v>271.73544012419364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-2.8421709430404007E-13</v>
      </c>
      <c r="AJ102" s="14">
        <f>AI102*VLOOKUP('Données projet'!$B$10,Paramètres!$A$1:$I$89,3,0)*VLOOKUP('Données projet'!$B$10,Paramètres!$A$1:$I$89,5,0)</f>
        <v>-1.69961822393816E-13</v>
      </c>
      <c r="AK102" s="14" t="e">
        <f t="shared" si="89"/>
        <v>#NUM!</v>
      </c>
      <c r="AL102" s="22" t="e">
        <f t="shared" si="58"/>
        <v>#NUM!</v>
      </c>
      <c r="AM102" s="60" t="e">
        <f t="shared" si="59"/>
        <v>#NUM!</v>
      </c>
      <c r="AN102" s="60">
        <f ca="1">AVERAGE(OFFSET($AM$3,0,0,'Données projet'!$E$10+1,1))-AVERAGE(OFFSET($H$3,0,0,'Données projet'!$E$10+1,1))</f>
        <v>289.24721145176682</v>
      </c>
      <c r="AO102" s="60">
        <f t="shared" si="90"/>
        <v>229.06617320689003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0.33469354287344827</v>
      </c>
      <c r="AW102" s="23">
        <f>EXP(-LN(2)/2)*AW101+(1-EXP(-LN(2)/2))/(LN(2)/2)*AQ102*AT102*VLOOKUP('Données projet'!$B$10,Paramètres!$A$1:$I$89,3,0)*0.475*44/12</f>
        <v>1.8247866446166641E-10</v>
      </c>
      <c r="AX102" s="23">
        <f t="shared" si="60"/>
        <v>0.33469354305592691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4.6046153846153803</v>
      </c>
      <c r="BD102" s="13">
        <f>IF('Données projet'!$A$88&gt;35,BD101+BC102-BL101,IF(A102&lt;'Données projet'!$A$88,$BA$205^A102,IF(A102='Données projet'!$A$88,'Données projet'!$B$88,BD101+BC102-BL101)))</f>
        <v>187.41846153846154</v>
      </c>
      <c r="BE102" s="14">
        <f>BD102*VLOOKUP('Données projet'!$B$11,Paramètres!$A$1:$I$89,3,0)*VLOOKUP('Données projet'!$B$11,Paramètres!$A$1:$I$89,5,0)</f>
        <v>112.07624000000001</v>
      </c>
      <c r="BF102" s="14">
        <f t="shared" si="91"/>
        <v>29.819629275822379</v>
      </c>
      <c r="BG102" s="22">
        <f t="shared" si="61"/>
        <v>247.13530565539068</v>
      </c>
      <c r="BH102" s="60">
        <f t="shared" si="62"/>
        <v>540.46863898872402</v>
      </c>
      <c r="BI102" s="60">
        <f ca="1">AVERAGE(OFFSET($BH$3,0,0,'Données projet'!$E$11+1,1))-AVERAGE(OFFSET($H$3,0,0,'Données projet'!$E$11+1,1))</f>
        <v>287.91374663515506</v>
      </c>
      <c r="BJ102" s="60">
        <f t="shared" si="92"/>
        <v>217.76240797006147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4.9000000000000004</v>
      </c>
      <c r="BY102" s="13">
        <f>IF('Données projet'!$A$114&gt;35,BY101+BX102-CG101,IF(A102&lt;'Données projet'!$A$114,$BV$205^A102,IF(A102='Données projet'!$A$114,'Données projet'!$B$114,BY101+BX102-CG101)))</f>
        <v>298.09999999999985</v>
      </c>
      <c r="BZ102" s="14">
        <f>BY102*VLOOKUP('Données projet'!$B$12,Paramètres!$A$1:$I$89,3,0)*VLOOKUP('Données projet'!$B$12,Paramètres!$A$1:$I$89,5,0)</f>
        <v>269.72087999999985</v>
      </c>
      <c r="CA102" s="14">
        <f t="shared" si="93"/>
        <v>64.790029413946939</v>
      </c>
      <c r="CB102" s="22">
        <f t="shared" si="64"/>
        <v>582.60650056262409</v>
      </c>
      <c r="CC102" s="60">
        <f t="shared" si="65"/>
        <v>875.93983389595746</v>
      </c>
      <c r="CD102" s="60">
        <f ca="1">AVERAGE(OFFSET($CC$3,0,0,'Données projet'!$E$12+1,1))-AVERAGE(OFFSET($H$3,0,0,'Données projet'!$E$12+1,1))</f>
        <v>428.8489304403459</v>
      </c>
      <c r="CE102" s="60">
        <f t="shared" si="94"/>
        <v>247.01165577562966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7.8564102564102525</v>
      </c>
      <c r="CT102" s="13">
        <f>IF('Données projet'!$A$140&gt;35,CT101+CS102-DB101,IF(A102&lt;'Données projet'!$A$140,$CQ$205^A102,IF(A102='Données projet'!$A$140,'Données projet'!$B$140,CT101+CS102-DB101)))</f>
        <v>334.32051282051276</v>
      </c>
      <c r="CU102" s="18">
        <f>CT102*VLOOKUP('Données projet'!$B$13,Paramètres!$A$1:$I$89,3,0)*VLOOKUP('Données projet'!$B$13,Paramètres!$A$1:$I$89,5,0)</f>
        <v>156.46199999999999</v>
      </c>
      <c r="CV102" s="14">
        <f t="shared" si="95"/>
        <v>40.043474088256666</v>
      </c>
      <c r="CW102" s="22">
        <f t="shared" si="67"/>
        <v>342.24703403704694</v>
      </c>
      <c r="CX102" s="60">
        <f t="shared" si="68"/>
        <v>635.58036737038026</v>
      </c>
      <c r="CY102" s="60">
        <f ca="1">AVERAGE(OFFSET($CX$3,0,0,'Données projet'!$E$13+1,1))-AVERAGE(OFFSET($H$3,0,0,'Données projet'!$E$13+1,1))</f>
        <v>284.88646502866419</v>
      </c>
      <c r="CZ102" s="60">
        <f t="shared" si="96"/>
        <v>190.4880882944471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4.9000000000000004</v>
      </c>
      <c r="DO102" s="13">
        <f>IF('Données projet'!$A$166&gt;35,DO101+DN102-DW101,IF(A102&lt;'Données projet'!$A$166,$DL$205^A102,IF(A102='Données projet'!$A$166,'Données projet'!$B$166,DO101+DN102-DW101)))</f>
        <v>298.09999999999985</v>
      </c>
      <c r="DP102" s="18">
        <f>DO102*VLOOKUP('Données projet'!$B$14,Paramètres!$A$1:$I$89,3,0)*VLOOKUP('Données projet'!$B$14,Paramètres!$A$1:$I$89,5,0)</f>
        <v>320.87483999999984</v>
      </c>
      <c r="DQ102" s="14">
        <f t="shared" si="97"/>
        <v>75.535352205297585</v>
      </c>
      <c r="DR102" s="22">
        <f t="shared" si="70"/>
        <v>690.41441809089304</v>
      </c>
      <c r="DS102" s="60">
        <f t="shared" si="71"/>
        <v>983.74775142422641</v>
      </c>
      <c r="DT102" s="60">
        <f ca="1">AVERAGE(OFFSET($DS$3,0,0,'Données projet'!$E$14+1,1))-AVERAGE(OFFSET($H$3,0,0,'Données projet'!$E$14+1,1))</f>
        <v>502.07782026233912</v>
      </c>
      <c r="DU102" s="60">
        <f t="shared" si="98"/>
        <v>285.83623046025156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-1.7053025658242404E-13</v>
      </c>
      <c r="EK102" s="18">
        <f>EJ102*VLOOKUP('Données projet'!$B$15,Paramètres!$A$1:$I$89,3,0)*VLOOKUP('Données projet'!$B$15,Paramètres!$A$1:$I$89,5,0)</f>
        <v>-1.4897523215040567E-13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339.58437495284466</v>
      </c>
      <c r="EP102" s="60">
        <f t="shared" si="100"/>
        <v>371.26234252426531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4.9000000000000004</v>
      </c>
      <c r="FE102" s="13">
        <f>IF('Données projet'!$A$218&gt;35,FE101+FD102-FM101,IF(A102&lt;'Données projet'!$A$218,$FB$205^A102,IF(A102='Données projet'!$A$218,'Données projet'!$B$218,FE101+FD102-FM101)))</f>
        <v>298.09999999999985</v>
      </c>
      <c r="FF102" s="18">
        <f>FE102*VLOOKUP('Données projet'!$B$16,Paramètres!$A$1:$I$89,3,0)*VLOOKUP('Données projet'!$B$16,Paramètres!$A$1:$I$89,5,0)</f>
        <v>288.32231999999988</v>
      </c>
      <c r="FG102" s="14">
        <f t="shared" si="101"/>
        <v>68.722745094590621</v>
      </c>
      <c r="FH102" s="22">
        <f t="shared" si="76"/>
        <v>621.85348837307845</v>
      </c>
      <c r="FI102" s="60">
        <f t="shared" si="77"/>
        <v>915.18682170641182</v>
      </c>
      <c r="FJ102" s="60">
        <f ca="1">AVERAGE(OFFSET($FI$3,0,0,'Données projet'!$E$16+1,1))-AVERAGE(OFFSET($H$3,0,0,'Données projet'!$E$16+1,1))</f>
        <v>455.50822833641354</v>
      </c>
      <c r="FK102" s="60">
        <f t="shared" si="102"/>
        <v>261.14722581688039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307.24199999999985</v>
      </c>
      <c r="P103" s="14">
        <f t="shared" si="87"/>
        <v>72.692550770207774</v>
      </c>
      <c r="Q103" s="22">
        <f t="shared" si="107"/>
        <v>661.71934259144484</v>
      </c>
      <c r="R103" s="60">
        <f t="shared" si="55"/>
        <v>955.05267592477821</v>
      </c>
      <c r="S103" s="60">
        <f ca="1">AVERAGE(OFFSET($R$3,0,0,'Données projet'!$E$9+1,1))-AVERAGE(OFFSET($H$3,0,0,'Données projet'!$E$9+1,1))</f>
        <v>475.47920969424894</v>
      </c>
      <c r="T103" s="60">
        <f t="shared" si="88"/>
        <v>271.73544012419364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-2.8421709430404007E-13</v>
      </c>
      <c r="AJ103" s="14">
        <f>AI103*VLOOKUP('Données projet'!$B$10,Paramètres!$A$1:$I$89,3,0)*VLOOKUP('Données projet'!$B$10,Paramètres!$A$1:$I$89,5,0)</f>
        <v>-1.69961822393816E-13</v>
      </c>
      <c r="AK103" s="14" t="e">
        <f t="shared" si="89"/>
        <v>#NUM!</v>
      </c>
      <c r="AL103" s="22" t="e">
        <f t="shared" si="58"/>
        <v>#NUM!</v>
      </c>
      <c r="AM103" s="60" t="e">
        <f t="shared" si="59"/>
        <v>#NUM!</v>
      </c>
      <c r="AN103" s="60">
        <f ca="1">AVERAGE(OFFSET($AM$3,0,0,'Données projet'!$E$10+1,1))-AVERAGE(OFFSET($H$3,0,0,'Données projet'!$E$10+1,1))</f>
        <v>289.24721145176682</v>
      </c>
      <c r="AO103" s="60">
        <f t="shared" si="90"/>
        <v>229.06617320689003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0.32554133034280536</v>
      </c>
      <c r="AW103" s="23">
        <f>EXP(-LN(2)/2)*AW102+(1-EXP(-LN(2)/2))/(LN(2)/2)*AQ103*AT103*VLOOKUP('Données projet'!$B$10,Paramètres!$A$1:$I$89,3,0)*0.475*44/12</f>
        <v>1.2903190106270897E-10</v>
      </c>
      <c r="AX103" s="23">
        <f t="shared" si="60"/>
        <v>0.32554133047183725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192.0230769230769</v>
      </c>
      <c r="BB103" s="13">
        <f>VLOOKUP(A103,'Données projet'!$A$87:$I$107,9,0)</f>
        <v>4.6046153846153803</v>
      </c>
      <c r="BC103" s="13">
        <f t="array" ref="BC103">INDEX(BB:BB,MIN(IF(ISNUMBER(BB103:BB299),ROW(BB103:BB299),"")))</f>
        <v>4.6046153846153803</v>
      </c>
      <c r="BD103" s="13">
        <f>IF('Données projet'!$A$88&gt;35,BD102+BC103-BL102,IF(A103&lt;'Données projet'!$A$88,$BA$205^A103,IF(A103='Données projet'!$A$88,'Données projet'!$B$88,BD102+BC103-BL102)))</f>
        <v>192.02307692307693</v>
      </c>
      <c r="BE103" s="14">
        <f>BD103*VLOOKUP('Données projet'!$B$11,Paramètres!$A$1:$I$89,3,0)*VLOOKUP('Données projet'!$B$11,Paramètres!$A$1:$I$89,5,0)</f>
        <v>114.82980000000001</v>
      </c>
      <c r="BF103" s="14">
        <f t="shared" si="91"/>
        <v>30.466061670334689</v>
      </c>
      <c r="BG103" s="22">
        <f t="shared" si="61"/>
        <v>253.05695907583291</v>
      </c>
      <c r="BH103" s="60">
        <f t="shared" si="62"/>
        <v>546.39029240916625</v>
      </c>
      <c r="BI103" s="60">
        <f ca="1">AVERAGE(OFFSET($BH$3,0,0,'Données projet'!$E$11+1,1))-AVERAGE(OFFSET($H$3,0,0,'Données projet'!$E$11+1,1))</f>
        <v>287.91374663515506</v>
      </c>
      <c r="BJ103" s="60">
        <f t="shared" si="92"/>
        <v>217.76240797006147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303</v>
      </c>
      <c r="BW103" s="13">
        <f>VLOOKUP(A103,'Données projet'!$A$113:$I$133,9,0)</f>
        <v>4.9000000000000004</v>
      </c>
      <c r="BX103" s="13">
        <f t="array" ref="BX103">INDEX(BW:BW,MIN(IF(ISNUMBER(BW103:BW299),ROW(BW103:BW299),"")))</f>
        <v>4.9000000000000004</v>
      </c>
      <c r="BY103" s="13">
        <f>IF('Données projet'!$A$114&gt;35,BY102+BX103-CG102,IF(A103&lt;'Données projet'!$A$114,$BV$205^A103,IF(A103='Données projet'!$A$114,'Données projet'!$B$114,BY102+BX103-CG102)))</f>
        <v>302.99999999999983</v>
      </c>
      <c r="BZ103" s="14">
        <f>BY103*VLOOKUP('Données projet'!$B$12,Paramètres!$A$1:$I$89,3,0)*VLOOKUP('Données projet'!$B$12,Paramètres!$A$1:$I$89,5,0)</f>
        <v>274.15439999999984</v>
      </c>
      <c r="CA103" s="14">
        <f t="shared" si="93"/>
        <v>65.730152764515779</v>
      </c>
      <c r="CB103" s="22">
        <f t="shared" si="64"/>
        <v>591.9655960648646</v>
      </c>
      <c r="CC103" s="60">
        <f t="shared" si="65"/>
        <v>885.29892939819797</v>
      </c>
      <c r="CD103" s="60">
        <f ca="1">AVERAGE(OFFSET($CC$3,0,0,'Données projet'!$E$12+1,1))-AVERAGE(OFFSET($H$3,0,0,'Données projet'!$E$12+1,1))</f>
        <v>428.8489304403459</v>
      </c>
      <c r="CE103" s="60">
        <f t="shared" si="94"/>
        <v>247.01165577562966</v>
      </c>
      <c r="CF103" s="16">
        <f>IF(ISNA(VLOOKUP(A103,'Données projet'!$A$113:$I$133,3,0)),0,VLOOKUP(A103,'Données projet'!$A$113:$I$133,3,0))</f>
        <v>8</v>
      </c>
      <c r="CG103" s="16">
        <f>IF(ISNA(VLOOKUP(A103,'Données projet'!$A$113:$I$133,4,0)),0,VLOOKUP(A103,'Données projet'!$A$113:$I$133,4,0))</f>
        <v>42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7.8564102564102525</v>
      </c>
      <c r="CT103" s="13">
        <f>IF('Données projet'!$A$140&gt;35,CT102+CS103-DB102,IF(A103&lt;'Données projet'!$A$140,$CQ$205^A103,IF(A103='Données projet'!$A$140,'Données projet'!$B$140,CT102+CS103-DB102)))</f>
        <v>342.176923076923</v>
      </c>
      <c r="CU103" s="18">
        <f>CT103*VLOOKUP('Données projet'!$B$13,Paramètres!$A$1:$I$89,3,0)*VLOOKUP('Données projet'!$B$13,Paramètres!$A$1:$I$89,5,0)</f>
        <v>160.13879999999997</v>
      </c>
      <c r="CV103" s="14">
        <f t="shared" si="95"/>
        <v>40.873820554013228</v>
      </c>
      <c r="CW103" s="22">
        <f t="shared" si="67"/>
        <v>350.09698079823966</v>
      </c>
      <c r="CX103" s="60">
        <f t="shared" si="68"/>
        <v>643.43031413157291</v>
      </c>
      <c r="CY103" s="60">
        <f ca="1">AVERAGE(OFFSET($CX$3,0,0,'Données projet'!$E$13+1,1))-AVERAGE(OFFSET($H$3,0,0,'Données projet'!$E$13+1,1))</f>
        <v>284.88646502866419</v>
      </c>
      <c r="CZ103" s="60">
        <f t="shared" si="96"/>
        <v>190.4880882944471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303</v>
      </c>
      <c r="DM103" s="13">
        <f>VLOOKUP(A103,'Données projet'!$A$165:$I$185,9,0)</f>
        <v>4.9000000000000004</v>
      </c>
      <c r="DN103" s="13">
        <f t="array" ref="DN103">INDEX(DM:DM,MIN(IF(ISNUMBER(DM103:DM299),ROW(DM103:DM299),"")))</f>
        <v>4.9000000000000004</v>
      </c>
      <c r="DO103" s="13">
        <f>IF('Données projet'!$A$166&gt;35,DO102+DN103-DW102,IF(A103&lt;'Données projet'!$A$166,$DL$205^A103,IF(A103='Données projet'!$A$166,'Données projet'!$B$166,DO102+DN103-DW102)))</f>
        <v>302.99999999999983</v>
      </c>
      <c r="DP103" s="18">
        <f>DO103*VLOOKUP('Données projet'!$B$14,Paramètres!$A$1:$I$89,3,0)*VLOOKUP('Données projet'!$B$14,Paramètres!$A$1:$I$89,5,0)</f>
        <v>326.14919999999984</v>
      </c>
      <c r="DQ103" s="14">
        <f t="shared" si="97"/>
        <v>76.631393510479555</v>
      </c>
      <c r="DR103" s="22">
        <f t="shared" si="70"/>
        <v>701.50953369741819</v>
      </c>
      <c r="DS103" s="60">
        <f t="shared" si="71"/>
        <v>994.84286703075145</v>
      </c>
      <c r="DT103" s="60">
        <f ca="1">AVERAGE(OFFSET($DS$3,0,0,'Données projet'!$E$14+1,1))-AVERAGE(OFFSET($H$3,0,0,'Données projet'!$E$14+1,1))</f>
        <v>502.07782026233912</v>
      </c>
      <c r="DU103" s="60">
        <f t="shared" si="98"/>
        <v>285.83623046025156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42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-1.7053025658242404E-13</v>
      </c>
      <c r="EK103" s="18">
        <f>EJ103*VLOOKUP('Données projet'!$B$15,Paramètres!$A$1:$I$89,3,0)*VLOOKUP('Données projet'!$B$15,Paramètres!$A$1:$I$89,5,0)</f>
        <v>-1.4897523215040567E-13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339.58437495284466</v>
      </c>
      <c r="EP103" s="60">
        <f t="shared" si="100"/>
        <v>371.26234252426531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303</v>
      </c>
      <c r="FC103" s="13">
        <f>VLOOKUP(A103,'Données projet'!$A$217:$I$237,9,0)</f>
        <v>4.9000000000000004</v>
      </c>
      <c r="FD103" s="13">
        <f t="array" ref="FD103">INDEX(FC:FC,MIN(IF(ISNUMBER(FC103:FC299),ROW(FC103:FC299),"")))</f>
        <v>4.9000000000000004</v>
      </c>
      <c r="FE103" s="13">
        <f>IF('Données projet'!$A$218&gt;35,FE102+FD103-FM102,IF(A103&lt;'Données projet'!$A$218,$FB$205^A103,IF(A103='Données projet'!$A$218,'Données projet'!$B$218,FE102+FD103-FM102)))</f>
        <v>302.99999999999983</v>
      </c>
      <c r="FF103" s="18">
        <f>FE103*VLOOKUP('Données projet'!$B$16,Paramètres!$A$1:$I$89,3,0)*VLOOKUP('Données projet'!$B$16,Paramètres!$A$1:$I$89,5,0)</f>
        <v>293.06159999999983</v>
      </c>
      <c r="FG103" s="14">
        <f t="shared" si="101"/>
        <v>69.719933365116546</v>
      </c>
      <c r="FH103" s="22">
        <f t="shared" si="76"/>
        <v>631.84450394424437</v>
      </c>
      <c r="FI103" s="60">
        <f t="shared" si="77"/>
        <v>925.17783727757774</v>
      </c>
      <c r="FJ103" s="60">
        <f ca="1">AVERAGE(OFFSET($FI$3,0,0,'Données projet'!$E$16+1,1))-AVERAGE(OFFSET($H$3,0,0,'Données projet'!$E$16+1,1))</f>
        <v>455.50822833641354</v>
      </c>
      <c r="FK103" s="60">
        <f t="shared" si="102"/>
        <v>261.14722581688039</v>
      </c>
      <c r="FL103" s="16">
        <f>IF(ISNA(VLOOKUP(A103,'Données projet'!$A$217:$I$237,3,0)),0,VLOOKUP(A103,'Données projet'!$A$217:$I$237,3,0))</f>
        <v>8</v>
      </c>
      <c r="FM103" s="16">
        <f>IF(ISNA(VLOOKUP(A103,'Données projet'!$A$217:$I$237,4,0)),0,VLOOKUP(A103,'Données projet'!$A$217:$I$237,4,0))</f>
        <v>42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269.1155999999998</v>
      </c>
      <c r="P104" s="14">
        <f t="shared" si="87"/>
        <v>64.661541462287076</v>
      </c>
      <c r="Q104" s="22">
        <f t="shared" si="107"/>
        <v>581.3285213801496</v>
      </c>
      <c r="R104" s="60">
        <f t="shared" si="55"/>
        <v>874.66185471348285</v>
      </c>
      <c r="S104" s="60">
        <f ca="1">AVERAGE(OFFSET($R$3,0,0,'Données projet'!$E$9+1,1))-AVERAGE(OFFSET($H$3,0,0,'Données projet'!$E$9+1,1))</f>
        <v>475.47920969424894</v>
      </c>
      <c r="T104" s="60">
        <f t="shared" si="88"/>
        <v>271.73544012419364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-2.8421709430404007E-13</v>
      </c>
      <c r="AJ104" s="14">
        <f>AI104*VLOOKUP('Données projet'!$B$10,Paramètres!$A$1:$I$89,3,0)*VLOOKUP('Données projet'!$B$10,Paramètres!$A$1:$I$89,5,0)</f>
        <v>-1.69961822393816E-13</v>
      </c>
      <c r="AK104" s="14" t="e">
        <f t="shared" si="89"/>
        <v>#NUM!</v>
      </c>
      <c r="AL104" s="22" t="e">
        <f t="shared" si="58"/>
        <v>#NUM!</v>
      </c>
      <c r="AM104" s="60" t="e">
        <f t="shared" si="59"/>
        <v>#NUM!</v>
      </c>
      <c r="AN104" s="60">
        <f ca="1">AVERAGE(OFFSET($AM$3,0,0,'Données projet'!$E$10+1,1))-AVERAGE(OFFSET($H$3,0,0,'Données projet'!$E$10+1,1))</f>
        <v>289.24721145176682</v>
      </c>
      <c r="AO104" s="60">
        <f t="shared" si="90"/>
        <v>229.06617320689003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0.31663938554510684</v>
      </c>
      <c r="AW104" s="23">
        <f>EXP(-LN(2)/2)*AW103+(1-EXP(-LN(2)/2))/(LN(2)/2)*AQ104*AT104*VLOOKUP('Données projet'!$B$10,Paramètres!$A$1:$I$89,3,0)*0.475*44/12</f>
        <v>9.1239332230833205E-11</v>
      </c>
      <c r="AX104" s="23">
        <f t="shared" si="60"/>
        <v>0.31663938563634619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4.3600000000000083</v>
      </c>
      <c r="BD104" s="13">
        <f>IF('Données projet'!$A$88&gt;35,BD103+BC104-BL103,IF(A104&lt;'Données projet'!$A$88,$BA$205^A104,IF(A104='Données projet'!$A$88,'Données projet'!$B$88,BD103+BC104-BL103)))</f>
        <v>196.38307692307694</v>
      </c>
      <c r="BE104" s="14">
        <f>BD104*VLOOKUP('Données projet'!$B$11,Paramètres!$A$1:$I$89,3,0)*VLOOKUP('Données projet'!$B$11,Paramètres!$A$1:$I$89,5,0)</f>
        <v>117.43708000000002</v>
      </c>
      <c r="BF104" s="14">
        <f t="shared" si="91"/>
        <v>31.076491294807429</v>
      </c>
      <c r="BG104" s="22">
        <f t="shared" si="61"/>
        <v>258.66113667178968</v>
      </c>
      <c r="BH104" s="60">
        <f t="shared" si="62"/>
        <v>551.99447000512305</v>
      </c>
      <c r="BI104" s="60">
        <f ca="1">AVERAGE(OFFSET($BH$3,0,0,'Données projet'!$E$11+1,1))-AVERAGE(OFFSET($H$3,0,0,'Données projet'!$E$11+1,1))</f>
        <v>287.91374663515506</v>
      </c>
      <c r="BJ104" s="60">
        <f t="shared" si="92"/>
        <v>217.76240797006147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4.4000000000000004</v>
      </c>
      <c r="BY104" s="13">
        <f>IF('Données projet'!$A$114&gt;35,BY103+BX104-CG103,IF(A104&lt;'Données projet'!$A$114,$BV$205^A104,IF(A104='Données projet'!$A$114,'Données projet'!$B$114,BY103+BX104-CG103)))</f>
        <v>265.39999999999981</v>
      </c>
      <c r="BZ104" s="14">
        <f>BY104*VLOOKUP('Données projet'!$B$12,Paramètres!$A$1:$I$89,3,0)*VLOOKUP('Données projet'!$B$12,Paramètres!$A$1:$I$89,5,0)</f>
        <v>240.13391999999982</v>
      </c>
      <c r="CA104" s="14">
        <f t="shared" si="93"/>
        <v>58.468343087048559</v>
      </c>
      <c r="CB104" s="22">
        <f t="shared" si="64"/>
        <v>520.06560820994252</v>
      </c>
      <c r="CC104" s="60">
        <f t="shared" si="65"/>
        <v>813.3989415432759</v>
      </c>
      <c r="CD104" s="60">
        <f ca="1">AVERAGE(OFFSET($CC$3,0,0,'Données projet'!$E$12+1,1))-AVERAGE(OFFSET($H$3,0,0,'Données projet'!$E$12+1,1))</f>
        <v>428.8489304403459</v>
      </c>
      <c r="CE104" s="60">
        <f t="shared" si="94"/>
        <v>247.01165577562966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7.8564102564102525</v>
      </c>
      <c r="CT104" s="13">
        <f>IF('Données projet'!$A$140&gt;35,CT103+CS104-DB103,IF(A104&lt;'Données projet'!$A$140,$CQ$205^A104,IF(A104='Données projet'!$A$140,'Données projet'!$B$140,CT103+CS104-DB103)))</f>
        <v>350.03333333333325</v>
      </c>
      <c r="CU104" s="18">
        <f>CT104*VLOOKUP('Données projet'!$B$13,Paramètres!$A$1:$I$89,3,0)*VLOOKUP('Données projet'!$B$13,Paramètres!$A$1:$I$89,5,0)</f>
        <v>163.81559999999996</v>
      </c>
      <c r="CV104" s="14">
        <f t="shared" si="95"/>
        <v>41.701950631300939</v>
      </c>
      <c r="CW104" s="22">
        <f t="shared" si="67"/>
        <v>357.94306734951579</v>
      </c>
      <c r="CX104" s="60">
        <f t="shared" si="68"/>
        <v>651.27640068284904</v>
      </c>
      <c r="CY104" s="60">
        <f ca="1">AVERAGE(OFFSET($CX$3,0,0,'Données projet'!$E$13+1,1))-AVERAGE(OFFSET($H$3,0,0,'Données projet'!$E$13+1,1))</f>
        <v>284.88646502866419</v>
      </c>
      <c r="CZ104" s="60">
        <f t="shared" si="96"/>
        <v>190.4880882944471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265.39999999999981</v>
      </c>
      <c r="DP104" s="18">
        <f>DO104*VLOOKUP('Données projet'!$B$14,Paramètres!$A$1:$I$89,3,0)*VLOOKUP('Données projet'!$B$14,Paramètres!$A$1:$I$89,5,0)</f>
        <v>285.67655999999977</v>
      </c>
      <c r="DQ104" s="14">
        <f t="shared" si="97"/>
        <v>68.165224308258956</v>
      </c>
      <c r="DR104" s="22">
        <f t="shared" si="70"/>
        <v>616.27444100355058</v>
      </c>
      <c r="DS104" s="60">
        <f t="shared" si="71"/>
        <v>909.60777433688395</v>
      </c>
      <c r="DT104" s="60">
        <f ca="1">AVERAGE(OFFSET($DS$3,0,0,'Données projet'!$E$14+1,1))-AVERAGE(OFFSET($H$3,0,0,'Données projet'!$E$14+1,1))</f>
        <v>502.07782026233912</v>
      </c>
      <c r="DU104" s="60">
        <f t="shared" si="98"/>
        <v>285.83623046025156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-1.7053025658242404E-13</v>
      </c>
      <c r="EK104" s="18">
        <f>EJ104*VLOOKUP('Données projet'!$B$15,Paramètres!$A$1:$I$89,3,0)*VLOOKUP('Données projet'!$B$15,Paramètres!$A$1:$I$89,5,0)</f>
        <v>-1.4897523215040567E-13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339.58437495284466</v>
      </c>
      <c r="EP104" s="60">
        <f t="shared" si="100"/>
        <v>371.26234252426531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4.4000000000000004</v>
      </c>
      <c r="FE104" s="13">
        <f>IF('Données projet'!$A$218&gt;35,FE103+FD104-FM103,IF(A104&lt;'Données projet'!$A$218,$FB$205^A104,IF(A104='Données projet'!$A$218,'Données projet'!$B$218,FE103+FD104-FM103)))</f>
        <v>265.39999999999981</v>
      </c>
      <c r="FF104" s="18">
        <f>FE104*VLOOKUP('Données projet'!$B$16,Paramètres!$A$1:$I$89,3,0)*VLOOKUP('Données projet'!$B$16,Paramètres!$A$1:$I$89,5,0)</f>
        <v>256.69487999999984</v>
      </c>
      <c r="FG104" s="14">
        <f t="shared" si="101"/>
        <v>62.017336223177502</v>
      </c>
      <c r="FH104" s="22">
        <f t="shared" si="76"/>
        <v>555.09044325536718</v>
      </c>
      <c r="FI104" s="60">
        <f t="shared" si="77"/>
        <v>848.42377658870055</v>
      </c>
      <c r="FJ104" s="60">
        <f ca="1">AVERAGE(OFFSET($FI$3,0,0,'Données projet'!$E$16+1,1))-AVERAGE(OFFSET($H$3,0,0,'Données projet'!$E$16+1,1))</f>
        <v>455.50822833641354</v>
      </c>
      <c r="FK104" s="60">
        <f t="shared" si="102"/>
        <v>261.14722581688039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273.57719999999978</v>
      </c>
      <c r="P105" s="14">
        <f t="shared" si="87"/>
        <v>65.60785888991505</v>
      </c>
      <c r="Q105" s="22">
        <f t="shared" si="107"/>
        <v>590.74731089993509</v>
      </c>
      <c r="R105" s="60">
        <f t="shared" si="55"/>
        <v>884.08064423326846</v>
      </c>
      <c r="S105" s="60">
        <f ca="1">AVERAGE(OFFSET($R$3,0,0,'Données projet'!$E$9+1,1))-AVERAGE(OFFSET($H$3,0,0,'Données projet'!$E$9+1,1))</f>
        <v>475.47920969424894</v>
      </c>
      <c r="T105" s="60">
        <f t="shared" si="88"/>
        <v>271.73544012419364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-2.8421709430404007E-13</v>
      </c>
      <c r="AJ105" s="14">
        <f>AI105*VLOOKUP('Données projet'!$B$10,Paramètres!$A$1:$I$89,3,0)*VLOOKUP('Données projet'!$B$10,Paramètres!$A$1:$I$89,5,0)</f>
        <v>-1.69961822393816E-13</v>
      </c>
      <c r="AK105" s="14" t="e">
        <f t="shared" si="89"/>
        <v>#NUM!</v>
      </c>
      <c r="AL105" s="22" t="e">
        <f t="shared" si="58"/>
        <v>#NUM!</v>
      </c>
      <c r="AM105" s="60" t="e">
        <f t="shared" si="59"/>
        <v>#NUM!</v>
      </c>
      <c r="AN105" s="60">
        <f ca="1">AVERAGE(OFFSET($AM$3,0,0,'Données projet'!$E$10+1,1))-AVERAGE(OFFSET($H$3,0,0,'Données projet'!$E$10+1,1))</f>
        <v>289.24721145176682</v>
      </c>
      <c r="AO105" s="60">
        <f t="shared" si="90"/>
        <v>229.06617320689003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0.30798086489603432</v>
      </c>
      <c r="AW105" s="23">
        <f>EXP(-LN(2)/2)*AW104+(1-EXP(-LN(2)/2))/(LN(2)/2)*AQ105*AT105*VLOOKUP('Données projet'!$B$10,Paramètres!$A$1:$I$89,3,0)*0.475*44/12</f>
        <v>6.4515950531354487E-11</v>
      </c>
      <c r="AX105" s="23">
        <f t="shared" si="60"/>
        <v>0.30798086496055027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4.3600000000000083</v>
      </c>
      <c r="BD105" s="13">
        <f>IF('Données projet'!$A$88&gt;35,BD104+BC105-BL104,IF(A105&lt;'Données projet'!$A$88,$BA$205^A105,IF(A105='Données projet'!$A$88,'Données projet'!$B$88,BD104+BC105-BL104)))</f>
        <v>200.74307692307696</v>
      </c>
      <c r="BE105" s="14">
        <f>BD105*VLOOKUP('Données projet'!$B$11,Paramètres!$A$1:$I$89,3,0)*VLOOKUP('Données projet'!$B$11,Paramètres!$A$1:$I$89,5,0)</f>
        <v>120.04436000000003</v>
      </c>
      <c r="BF105" s="14">
        <f t="shared" si="91"/>
        <v>31.685345313084543</v>
      </c>
      <c r="BG105" s="22">
        <f t="shared" si="61"/>
        <v>264.26257008695558</v>
      </c>
      <c r="BH105" s="60">
        <f t="shared" si="62"/>
        <v>557.59590342028889</v>
      </c>
      <c r="BI105" s="60">
        <f ca="1">AVERAGE(OFFSET($BH$3,0,0,'Données projet'!$E$11+1,1))-AVERAGE(OFFSET($H$3,0,0,'Données projet'!$E$11+1,1))</f>
        <v>287.91374663515506</v>
      </c>
      <c r="BJ105" s="60">
        <f t="shared" si="92"/>
        <v>217.76240797006147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4.4000000000000004</v>
      </c>
      <c r="BY105" s="13">
        <f>IF('Données projet'!$A$114&gt;35,BY104+BX105-CG104,IF(A105&lt;'Données projet'!$A$114,$BV$205^A105,IF(A105='Données projet'!$A$114,'Données projet'!$B$114,BY104+BX105-CG104)))</f>
        <v>269.79999999999978</v>
      </c>
      <c r="BZ105" s="14">
        <f>BY105*VLOOKUP('Données projet'!$B$12,Paramètres!$A$1:$I$89,3,0)*VLOOKUP('Données projet'!$B$12,Paramètres!$A$1:$I$89,5,0)</f>
        <v>244.11503999999979</v>
      </c>
      <c r="CA105" s="14">
        <f t="shared" si="93"/>
        <v>59.324023461759012</v>
      </c>
      <c r="CB105" s="22">
        <f t="shared" si="64"/>
        <v>528.48970219589648</v>
      </c>
      <c r="CC105" s="60">
        <f t="shared" si="65"/>
        <v>821.82303552922986</v>
      </c>
      <c r="CD105" s="60">
        <f ca="1">AVERAGE(OFFSET($CC$3,0,0,'Données projet'!$E$12+1,1))-AVERAGE(OFFSET($H$3,0,0,'Données projet'!$E$12+1,1))</f>
        <v>428.8489304403459</v>
      </c>
      <c r="CE105" s="60">
        <f t="shared" si="94"/>
        <v>247.01165577562966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7.8564102564102525</v>
      </c>
      <c r="CT105" s="13">
        <f>IF('Données projet'!$A$140&gt;35,CT104+CS105-DB104,IF(A105&lt;'Données projet'!$A$140,$CQ$205^A105,IF(A105='Données projet'!$A$140,'Données projet'!$B$140,CT104+CS105-DB104)))</f>
        <v>357.88974358974349</v>
      </c>
      <c r="CU105" s="18">
        <f>CT105*VLOOKUP('Données projet'!$B$13,Paramètres!$A$1:$I$89,3,0)*VLOOKUP('Données projet'!$B$13,Paramètres!$A$1:$I$89,5,0)</f>
        <v>167.49239999999995</v>
      </c>
      <c r="CV105" s="14">
        <f t="shared" si="95"/>
        <v>42.527919793797054</v>
      </c>
      <c r="CW105" s="22">
        <f t="shared" si="67"/>
        <v>365.78539030752978</v>
      </c>
      <c r="CX105" s="60">
        <f t="shared" si="68"/>
        <v>659.1187236408631</v>
      </c>
      <c r="CY105" s="60">
        <f ca="1">AVERAGE(OFFSET($CX$3,0,0,'Données projet'!$E$13+1,1))-AVERAGE(OFFSET($H$3,0,0,'Données projet'!$E$13+1,1))</f>
        <v>284.88646502866419</v>
      </c>
      <c r="CZ105" s="60">
        <f t="shared" si="96"/>
        <v>190.4880882944471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269.79999999999978</v>
      </c>
      <c r="DP105" s="18">
        <f>DO105*VLOOKUP('Données projet'!$B$14,Paramètres!$A$1:$I$89,3,0)*VLOOKUP('Données projet'!$B$14,Paramètres!$A$1:$I$89,5,0)</f>
        <v>290.41271999999975</v>
      </c>
      <c r="DQ105" s="14">
        <f t="shared" si="97"/>
        <v>69.162817905044719</v>
      </c>
      <c r="DR105" s="22">
        <f t="shared" si="70"/>
        <v>626.26072851795254</v>
      </c>
      <c r="DS105" s="60">
        <f t="shared" si="71"/>
        <v>919.59406185128591</v>
      </c>
      <c r="DT105" s="60">
        <f ca="1">AVERAGE(OFFSET($DS$3,0,0,'Données projet'!$E$14+1,1))-AVERAGE(OFFSET($H$3,0,0,'Données projet'!$E$14+1,1))</f>
        <v>502.07782026233912</v>
      </c>
      <c r="DU105" s="60">
        <f t="shared" si="98"/>
        <v>285.83623046025156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-1.7053025658242404E-13</v>
      </c>
      <c r="EK105" s="18">
        <f>EJ105*VLOOKUP('Données projet'!$B$15,Paramètres!$A$1:$I$89,3,0)*VLOOKUP('Données projet'!$B$15,Paramètres!$A$1:$I$89,5,0)</f>
        <v>-1.4897523215040567E-13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339.58437495284466</v>
      </c>
      <c r="EP105" s="60">
        <f t="shared" si="100"/>
        <v>371.26234252426531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4.4000000000000004</v>
      </c>
      <c r="FE105" s="13">
        <f>IF('Données projet'!$A$218&gt;35,FE104+FD105-FM104,IF(A105&lt;'Données projet'!$A$218,$FB$205^A105,IF(A105='Données projet'!$A$218,'Données projet'!$B$218,FE104+FD105-FM104)))</f>
        <v>269.79999999999978</v>
      </c>
      <c r="FF105" s="18">
        <f>FE105*VLOOKUP('Données projet'!$B$16,Paramètres!$A$1:$I$89,3,0)*VLOOKUP('Données projet'!$B$16,Paramètres!$A$1:$I$89,5,0)</f>
        <v>260.95055999999983</v>
      </c>
      <c r="FG105" s="14">
        <f t="shared" si="101"/>
        <v>62.924955880176938</v>
      </c>
      <c r="FH105" s="22">
        <f t="shared" si="76"/>
        <v>564.08319015797451</v>
      </c>
      <c r="FI105" s="60">
        <f t="shared" si="77"/>
        <v>857.41652349130777</v>
      </c>
      <c r="FJ105" s="60">
        <f ca="1">AVERAGE(OFFSET($FI$3,0,0,'Données projet'!$E$16+1,1))-AVERAGE(OFFSET($H$3,0,0,'Données projet'!$E$16+1,1))</f>
        <v>455.50822833641354</v>
      </c>
      <c r="FK105" s="60">
        <f t="shared" si="102"/>
        <v>261.14722581688039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278.03879999999975</v>
      </c>
      <c r="P106" s="14">
        <f t="shared" si="87"/>
        <v>66.552381547717744</v>
      </c>
      <c r="Q106" s="22">
        <f t="shared" si="107"/>
        <v>600.16297452894128</v>
      </c>
      <c r="R106" s="60">
        <f t="shared" si="55"/>
        <v>893.49630786227453</v>
      </c>
      <c r="S106" s="60">
        <f ca="1">AVERAGE(OFFSET($R$3,0,0,'Données projet'!$E$9+1,1))-AVERAGE(OFFSET($H$3,0,0,'Données projet'!$E$9+1,1))</f>
        <v>475.47920969424894</v>
      </c>
      <c r="T106" s="60">
        <f t="shared" si="88"/>
        <v>271.73544012419364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-2.8421709430404007E-13</v>
      </c>
      <c r="AJ106" s="14">
        <f>AI106*VLOOKUP('Données projet'!$B$10,Paramètres!$A$1:$I$89,3,0)*VLOOKUP('Données projet'!$B$10,Paramètres!$A$1:$I$89,5,0)</f>
        <v>-1.69961822393816E-13</v>
      </c>
      <c r="AK106" s="14" t="e">
        <f t="shared" si="89"/>
        <v>#NUM!</v>
      </c>
      <c r="AL106" s="22" t="e">
        <f t="shared" si="58"/>
        <v>#NUM!</v>
      </c>
      <c r="AM106" s="60" t="e">
        <f t="shared" si="59"/>
        <v>#NUM!</v>
      </c>
      <c r="AN106" s="60">
        <f ca="1">AVERAGE(OFFSET($AM$3,0,0,'Données projet'!$E$10+1,1))-AVERAGE(OFFSET($H$3,0,0,'Données projet'!$E$10+1,1))</f>
        <v>289.24721145176682</v>
      </c>
      <c r="AO106" s="60">
        <f t="shared" si="90"/>
        <v>229.06617320689003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0.29955911194944246</v>
      </c>
      <c r="AW106" s="23">
        <f>EXP(-LN(2)/2)*AW105+(1-EXP(-LN(2)/2))/(LN(2)/2)*AQ106*AT106*VLOOKUP('Données projet'!$B$10,Paramètres!$A$1:$I$89,3,0)*0.475*44/12</f>
        <v>4.5619666115416602E-11</v>
      </c>
      <c r="AX106" s="23">
        <f t="shared" si="60"/>
        <v>0.29955911199506213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4.3600000000000083</v>
      </c>
      <c r="BD106" s="13">
        <f>IF('Données projet'!$A$88&gt;35,BD105+BC106-BL105,IF(A106&lt;'Données projet'!$A$88,$BA$205^A106,IF(A106='Données projet'!$A$88,'Données projet'!$B$88,BD105+BC106-BL105)))</f>
        <v>205.10307692307697</v>
      </c>
      <c r="BE106" s="14">
        <f>BD106*VLOOKUP('Données projet'!$B$11,Paramètres!$A$1:$I$89,3,0)*VLOOKUP('Données projet'!$B$11,Paramètres!$A$1:$I$89,5,0)</f>
        <v>122.65164000000004</v>
      </c>
      <c r="BF106" s="14">
        <f t="shared" si="91"/>
        <v>32.29266188737742</v>
      </c>
      <c r="BG106" s="22">
        <f t="shared" si="61"/>
        <v>269.86132578718241</v>
      </c>
      <c r="BH106" s="60">
        <f t="shared" si="62"/>
        <v>563.19465912051578</v>
      </c>
      <c r="BI106" s="60">
        <f ca="1">AVERAGE(OFFSET($BH$3,0,0,'Données projet'!$E$11+1,1))-AVERAGE(OFFSET($H$3,0,0,'Données projet'!$E$11+1,1))</f>
        <v>287.91374663515506</v>
      </c>
      <c r="BJ106" s="60">
        <f t="shared" si="92"/>
        <v>217.76240797006147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4.4000000000000004</v>
      </c>
      <c r="BY106" s="13">
        <f>IF('Données projet'!$A$114&gt;35,BY105+BX106-CG105,IF(A106&lt;'Données projet'!$A$114,$BV$205^A106,IF(A106='Données projet'!$A$114,'Données projet'!$B$114,BY105+BX106-CG105)))</f>
        <v>274.19999999999976</v>
      </c>
      <c r="BZ106" s="14">
        <f>BY106*VLOOKUP('Données projet'!$B$12,Paramètres!$A$1:$I$89,3,0)*VLOOKUP('Données projet'!$B$12,Paramètres!$A$1:$I$89,5,0)</f>
        <v>248.0961599999998</v>
      </c>
      <c r="CA106" s="14">
        <f t="shared" si="93"/>
        <v>60.178080967364686</v>
      </c>
      <c r="CB106" s="22">
        <f t="shared" si="64"/>
        <v>536.91096968482657</v>
      </c>
      <c r="CC106" s="60">
        <f t="shared" si="65"/>
        <v>830.24430301815983</v>
      </c>
      <c r="CD106" s="60">
        <f ca="1">AVERAGE(OFFSET($CC$3,0,0,'Données projet'!$E$12+1,1))-AVERAGE(OFFSET($H$3,0,0,'Données projet'!$E$12+1,1))</f>
        <v>428.8489304403459</v>
      </c>
      <c r="CE106" s="60">
        <f t="shared" si="94"/>
        <v>247.01165577562966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>
        <f>VLOOKUP(A106,'Données projet'!$A$139:$I$159,2,0)</f>
        <v>365.74615384615385</v>
      </c>
      <c r="CR106" s="13">
        <f>VLOOKUP(A106,'Données projet'!$A$139:$I$159,9,0)</f>
        <v>7.8564102564102525</v>
      </c>
      <c r="CS106" s="13">
        <f t="array" ref="CS106">INDEX(CR:CR,MIN(IF(ISNUMBER(CR106:CR302),ROW(CR106:CR302),"")))</f>
        <v>7.8564102564102525</v>
      </c>
      <c r="CT106" s="13">
        <f>IF('Données projet'!$A$140&gt;35,CT105+CS106-DB105,IF(A106&lt;'Données projet'!$A$140,$CQ$205^A106,IF(A106='Données projet'!$A$140,'Données projet'!$B$140,CT105+CS106-DB105)))</f>
        <v>365.74615384615373</v>
      </c>
      <c r="CU106" s="18">
        <f>CT106*VLOOKUP('Données projet'!$B$13,Paramètres!$A$1:$I$89,3,0)*VLOOKUP('Données projet'!$B$13,Paramètres!$A$1:$I$89,5,0)</f>
        <v>171.16919999999996</v>
      </c>
      <c r="CV106" s="14">
        <f t="shared" si="95"/>
        <v>43.351780940579147</v>
      </c>
      <c r="CW106" s="22">
        <f t="shared" si="67"/>
        <v>373.62404180484191</v>
      </c>
      <c r="CX106" s="60">
        <f t="shared" si="68"/>
        <v>666.95737513817517</v>
      </c>
      <c r="CY106" s="60">
        <f ca="1">AVERAGE(OFFSET($CX$3,0,0,'Données projet'!$E$13+1,1))-AVERAGE(OFFSET($H$3,0,0,'Données projet'!$E$13+1,1))</f>
        <v>284.88646502866419</v>
      </c>
      <c r="CZ106" s="60">
        <f t="shared" si="96"/>
        <v>190.4880882944471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274.19999999999976</v>
      </c>
      <c r="DP106" s="18">
        <f>DO106*VLOOKUP('Données projet'!$B$14,Paramètres!$A$1:$I$89,3,0)*VLOOKUP('Données projet'!$B$14,Paramètres!$A$1:$I$89,5,0)</f>
        <v>295.14887999999974</v>
      </c>
      <c r="DQ106" s="14">
        <f t="shared" si="97"/>
        <v>70.158519482479349</v>
      </c>
      <c r="DR106" s="22">
        <f t="shared" si="70"/>
        <v>636.24372076531768</v>
      </c>
      <c r="DS106" s="60">
        <f t="shared" si="71"/>
        <v>929.57705409865093</v>
      </c>
      <c r="DT106" s="60">
        <f ca="1">AVERAGE(OFFSET($DS$3,0,0,'Données projet'!$E$14+1,1))-AVERAGE(OFFSET($H$3,0,0,'Données projet'!$E$14+1,1))</f>
        <v>502.07782026233912</v>
      </c>
      <c r="DU106" s="60">
        <f t="shared" si="98"/>
        <v>285.83623046025156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-1.7053025658242404E-13</v>
      </c>
      <c r="EK106" s="18">
        <f>EJ106*VLOOKUP('Données projet'!$B$15,Paramètres!$A$1:$I$89,3,0)*VLOOKUP('Données projet'!$B$15,Paramètres!$A$1:$I$89,5,0)</f>
        <v>-1.4897523215040567E-13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339.58437495284466</v>
      </c>
      <c r="EP106" s="60">
        <f t="shared" si="100"/>
        <v>371.26234252426531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4.4000000000000004</v>
      </c>
      <c r="FE106" s="13">
        <f>IF('Données projet'!$A$218&gt;35,FE105+FD106-FM105,IF(A106&lt;'Données projet'!$A$218,$FB$205^A106,IF(A106='Données projet'!$A$218,'Données projet'!$B$218,FE105+FD106-FM105)))</f>
        <v>274.19999999999976</v>
      </c>
      <c r="FF106" s="18">
        <f>FE106*VLOOKUP('Données projet'!$B$16,Paramètres!$A$1:$I$89,3,0)*VLOOKUP('Données projet'!$B$16,Paramètres!$A$1:$I$89,5,0)</f>
        <v>265.20623999999975</v>
      </c>
      <c r="FG106" s="14">
        <f t="shared" si="101"/>
        <v>63.830854160896386</v>
      </c>
      <c r="FH106" s="22">
        <f t="shared" si="76"/>
        <v>573.07293899689409</v>
      </c>
      <c r="FI106" s="60">
        <f t="shared" si="77"/>
        <v>866.40627233022747</v>
      </c>
      <c r="FJ106" s="60">
        <f ca="1">AVERAGE(OFFSET($FI$3,0,0,'Données projet'!$E$16+1,1))-AVERAGE(OFFSET($H$3,0,0,'Données projet'!$E$16+1,1))</f>
        <v>455.50822833641354</v>
      </c>
      <c r="FK106" s="60">
        <f t="shared" si="102"/>
        <v>261.14722581688039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282.50039999999973</v>
      </c>
      <c r="P107" s="14">
        <f t="shared" si="87"/>
        <v>67.495141560894311</v>
      </c>
      <c r="Q107" s="22">
        <f t="shared" si="107"/>
        <v>609.57556821855712</v>
      </c>
      <c r="R107" s="60">
        <f t="shared" si="55"/>
        <v>902.90890155189049</v>
      </c>
      <c r="S107" s="60">
        <f ca="1">AVERAGE(OFFSET($R$3,0,0,'Données projet'!$E$9+1,1))-AVERAGE(OFFSET($H$3,0,0,'Données projet'!$E$9+1,1))</f>
        <v>475.47920969424894</v>
      </c>
      <c r="T107" s="60">
        <f t="shared" si="88"/>
        <v>271.73544012419364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-2.8421709430404007E-13</v>
      </c>
      <c r="AJ107" s="14">
        <f>AI107*VLOOKUP('Données projet'!$B$10,Paramètres!$A$1:$I$89,3,0)*VLOOKUP('Données projet'!$B$10,Paramètres!$A$1:$I$89,5,0)</f>
        <v>-1.69961822393816E-13</v>
      </c>
      <c r="AK107" s="14" t="e">
        <f t="shared" si="89"/>
        <v>#NUM!</v>
      </c>
      <c r="AL107" s="22" t="e">
        <f t="shared" si="58"/>
        <v>#NUM!</v>
      </c>
      <c r="AM107" s="60" t="e">
        <f t="shared" si="59"/>
        <v>#NUM!</v>
      </c>
      <c r="AN107" s="60">
        <f ca="1">AVERAGE(OFFSET($AM$3,0,0,'Données projet'!$E$10+1,1))-AVERAGE(OFFSET($H$3,0,0,'Données projet'!$E$10+1,1))</f>
        <v>289.24721145176682</v>
      </c>
      <c r="AO107" s="60">
        <f t="shared" si="90"/>
        <v>229.06617320689003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0.2913676522800559</v>
      </c>
      <c r="AW107" s="23">
        <f>EXP(-LN(2)/2)*AW106+(1-EXP(-LN(2)/2))/(LN(2)/2)*AQ107*AT107*VLOOKUP('Données projet'!$B$10,Paramètres!$A$1:$I$89,3,0)*0.475*44/12</f>
        <v>3.2257975265677243E-11</v>
      </c>
      <c r="AX107" s="23">
        <f t="shared" si="60"/>
        <v>0.29136765231231387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4.3600000000000083</v>
      </c>
      <c r="BD107" s="13">
        <f>IF('Données projet'!$A$88&gt;35,BD106+BC107-BL106,IF(A107&lt;'Données projet'!$A$88,$BA$205^A107,IF(A107='Données projet'!$A$88,'Données projet'!$B$88,BD106+BC107-BL106)))</f>
        <v>209.46307692307698</v>
      </c>
      <c r="BE107" s="14">
        <f>BD107*VLOOKUP('Données projet'!$B$11,Paramètres!$A$1:$I$89,3,0)*VLOOKUP('Données projet'!$B$11,Paramètres!$A$1:$I$89,5,0)</f>
        <v>125.25892000000005</v>
      </c>
      <c r="BF107" s="14">
        <f t="shared" si="91"/>
        <v>32.898477464729766</v>
      </c>
      <c r="BG107" s="22">
        <f t="shared" si="61"/>
        <v>275.45746725107102</v>
      </c>
      <c r="BH107" s="60">
        <f t="shared" si="62"/>
        <v>568.79080058440434</v>
      </c>
      <c r="BI107" s="60">
        <f ca="1">AVERAGE(OFFSET($BH$3,0,0,'Données projet'!$E$11+1,1))-AVERAGE(OFFSET($H$3,0,0,'Données projet'!$E$11+1,1))</f>
        <v>287.91374663515506</v>
      </c>
      <c r="BJ107" s="60">
        <f t="shared" si="92"/>
        <v>217.76240797006147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4.4000000000000004</v>
      </c>
      <c r="BY107" s="13">
        <f>IF('Données projet'!$A$114&gt;35,BY106+BX107-CG106,IF(A107&lt;'Données projet'!$A$114,$BV$205^A107,IF(A107='Données projet'!$A$114,'Données projet'!$B$114,BY106+BX107-CG106)))</f>
        <v>278.59999999999974</v>
      </c>
      <c r="BZ107" s="14">
        <f>BY107*VLOOKUP('Données projet'!$B$12,Paramètres!$A$1:$I$89,3,0)*VLOOKUP('Données projet'!$B$12,Paramètres!$A$1:$I$89,5,0)</f>
        <v>252.07727999999975</v>
      </c>
      <c r="CA107" s="14">
        <f t="shared" si="93"/>
        <v>61.03054465215493</v>
      </c>
      <c r="CB107" s="22">
        <f t="shared" si="64"/>
        <v>545.32946126916943</v>
      </c>
      <c r="CC107" s="60">
        <f t="shared" si="65"/>
        <v>838.6627946025028</v>
      </c>
      <c r="CD107" s="60">
        <f ca="1">AVERAGE(OFFSET($CC$3,0,0,'Données projet'!$E$12+1,1))-AVERAGE(OFFSET($H$3,0,0,'Données projet'!$E$12+1,1))</f>
        <v>428.8489304403459</v>
      </c>
      <c r="CE107" s="60">
        <f t="shared" si="94"/>
        <v>247.01165577562966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7.9089743589743575</v>
      </c>
      <c r="CT107" s="13">
        <f>IF('Données projet'!$A$140&gt;35,CT106+CS107-DB106,IF(A107&lt;'Données projet'!$A$140,$CQ$205^A107,IF(A107='Données projet'!$A$140,'Données projet'!$B$140,CT106+CS107-DB106)))</f>
        <v>373.65512820512811</v>
      </c>
      <c r="CU107" s="18">
        <f>CT107*VLOOKUP('Données projet'!$B$13,Paramètres!$A$1:$I$89,3,0)*VLOOKUP('Données projet'!$B$13,Paramètres!$A$1:$I$89,5,0)</f>
        <v>174.87059999999997</v>
      </c>
      <c r="CV107" s="14">
        <f t="shared" si="95"/>
        <v>44.17907610892069</v>
      </c>
      <c r="CW107" s="22">
        <f t="shared" si="67"/>
        <v>381.51151922303683</v>
      </c>
      <c r="CX107" s="60">
        <f t="shared" si="68"/>
        <v>674.84485255637014</v>
      </c>
      <c r="CY107" s="60">
        <f ca="1">AVERAGE(OFFSET($CX$3,0,0,'Données projet'!$E$13+1,1))-AVERAGE(OFFSET($H$3,0,0,'Données projet'!$E$13+1,1))</f>
        <v>284.88646502866419</v>
      </c>
      <c r="CZ107" s="60">
        <f t="shared" si="96"/>
        <v>190.4880882944471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278.59999999999974</v>
      </c>
      <c r="DP107" s="18">
        <f>DO107*VLOOKUP('Données projet'!$B$14,Paramètres!$A$1:$I$89,3,0)*VLOOKUP('Données projet'!$B$14,Paramètres!$A$1:$I$89,5,0)</f>
        <v>299.88503999999972</v>
      </c>
      <c r="DQ107" s="14">
        <f t="shared" si="97"/>
        <v>71.152362906464575</v>
      </c>
      <c r="DR107" s="22">
        <f t="shared" si="70"/>
        <v>646.22347672875867</v>
      </c>
      <c r="DS107" s="60">
        <f t="shared" si="71"/>
        <v>939.55681006209193</v>
      </c>
      <c r="DT107" s="60">
        <f ca="1">AVERAGE(OFFSET($DS$3,0,0,'Données projet'!$E$14+1,1))-AVERAGE(OFFSET($H$3,0,0,'Données projet'!$E$14+1,1))</f>
        <v>502.07782026233912</v>
      </c>
      <c r="DU107" s="60">
        <f t="shared" si="98"/>
        <v>285.83623046025156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-1.7053025658242404E-13</v>
      </c>
      <c r="EK107" s="18">
        <f>EJ107*VLOOKUP('Données projet'!$B$15,Paramètres!$A$1:$I$89,3,0)*VLOOKUP('Données projet'!$B$15,Paramètres!$A$1:$I$89,5,0)</f>
        <v>-1.4897523215040567E-13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339.58437495284466</v>
      </c>
      <c r="EP107" s="60">
        <f t="shared" si="100"/>
        <v>371.26234252426531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4.4000000000000004</v>
      </c>
      <c r="FE107" s="13">
        <f>IF('Données projet'!$A$218&gt;35,FE106+FD107-FM106,IF(A107&lt;'Données projet'!$A$218,$FB$205^A107,IF(A107='Données projet'!$A$218,'Données projet'!$B$218,FE106+FD107-FM106)))</f>
        <v>278.59999999999974</v>
      </c>
      <c r="FF107" s="18">
        <f>FE107*VLOOKUP('Données projet'!$B$16,Paramètres!$A$1:$I$89,3,0)*VLOOKUP('Données projet'!$B$16,Paramètres!$A$1:$I$89,5,0)</f>
        <v>269.46191999999974</v>
      </c>
      <c r="FG107" s="14">
        <f t="shared" si="101"/>
        <v>64.735061876839055</v>
      </c>
      <c r="FH107" s="22">
        <f t="shared" si="76"/>
        <v>582.05974343549417</v>
      </c>
      <c r="FI107" s="60">
        <f t="shared" si="77"/>
        <v>875.39307676882754</v>
      </c>
      <c r="FJ107" s="60">
        <f ca="1">AVERAGE(OFFSET($FI$3,0,0,'Données projet'!$E$16+1,1))-AVERAGE(OFFSET($H$3,0,0,'Données projet'!$E$16+1,1))</f>
        <v>455.50822833641354</v>
      </c>
      <c r="FK107" s="60">
        <f t="shared" si="102"/>
        <v>261.14722581688039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286.9619999999997</v>
      </c>
      <c r="P108" s="14">
        <f t="shared" si="87"/>
        <v>68.436169981717796</v>
      </c>
      <c r="Q108" s="22">
        <f t="shared" si="107"/>
        <v>618.98514605149137</v>
      </c>
      <c r="R108" s="60">
        <f t="shared" si="55"/>
        <v>912.31847938482474</v>
      </c>
      <c r="S108" s="60">
        <f ca="1">AVERAGE(OFFSET($R$3,0,0,'Données projet'!$E$9+1,1))-AVERAGE(OFFSET($H$3,0,0,'Données projet'!$E$9+1,1))</f>
        <v>475.47920969424894</v>
      </c>
      <c r="T108" s="60">
        <f t="shared" si="88"/>
        <v>271.73544012419364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-2.8421709430404007E-13</v>
      </c>
      <c r="AJ108" s="14">
        <f>AI108*VLOOKUP('Données projet'!$B$10,Paramètres!$A$1:$I$89,3,0)*VLOOKUP('Données projet'!$B$10,Paramètres!$A$1:$I$89,5,0)</f>
        <v>-1.69961822393816E-13</v>
      </c>
      <c r="AK108" s="14" t="e">
        <f t="shared" si="89"/>
        <v>#NUM!</v>
      </c>
      <c r="AL108" s="22" t="e">
        <f t="shared" si="58"/>
        <v>#NUM!</v>
      </c>
      <c r="AM108" s="60" t="e">
        <f t="shared" si="59"/>
        <v>#NUM!</v>
      </c>
      <c r="AN108" s="60">
        <f ca="1">AVERAGE(OFFSET($AM$3,0,0,'Données projet'!$E$10+1,1))-AVERAGE(OFFSET($H$3,0,0,'Données projet'!$E$10+1,1))</f>
        <v>289.24721145176682</v>
      </c>
      <c r="AO108" s="60">
        <f t="shared" si="90"/>
        <v>229.06617320689003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0.28340018850609888</v>
      </c>
      <c r="AW108" s="23">
        <f>EXP(-LN(2)/2)*AW107+(1-EXP(-LN(2)/2))/(LN(2)/2)*AQ108*AT108*VLOOKUP('Données projet'!$B$10,Paramètres!$A$1:$I$89,3,0)*0.475*44/12</f>
        <v>2.2809833057708301E-11</v>
      </c>
      <c r="AX108" s="23">
        <f t="shared" si="60"/>
        <v>0.28340018852890869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213.82307692307694</v>
      </c>
      <c r="BB108" s="13">
        <f>VLOOKUP(A108,'Données projet'!$A$87:$I$107,9,0)</f>
        <v>4.3600000000000083</v>
      </c>
      <c r="BC108" s="13">
        <f t="array" ref="BC108">INDEX(BB:BB,MIN(IF(ISNUMBER(BB108:BB304),ROW(BB108:BB304),"")))</f>
        <v>4.3600000000000083</v>
      </c>
      <c r="BD108" s="13">
        <f>IF('Données projet'!$A$88&gt;35,BD107+BC108-BL107,IF(A108&lt;'Données projet'!$A$88,$BA$205^A108,IF(A108='Données projet'!$A$88,'Données projet'!$B$88,BD107+BC108-BL107)))</f>
        <v>213.823076923077</v>
      </c>
      <c r="BE108" s="14">
        <f>BD108*VLOOKUP('Données projet'!$B$11,Paramètres!$A$1:$I$89,3,0)*VLOOKUP('Données projet'!$B$11,Paramètres!$A$1:$I$89,5,0)</f>
        <v>127.86620000000005</v>
      </c>
      <c r="BF108" s="14">
        <f t="shared" si="91"/>
        <v>33.502826888174525</v>
      </c>
      <c r="BG108" s="22">
        <f t="shared" si="61"/>
        <v>281.05105516357071</v>
      </c>
      <c r="BH108" s="60">
        <f t="shared" si="62"/>
        <v>574.38438849690397</v>
      </c>
      <c r="BI108" s="60">
        <f ca="1">AVERAGE(OFFSET($BH$3,0,0,'Données projet'!$E$11+1,1))-AVERAGE(OFFSET($H$3,0,0,'Données projet'!$E$11+1,1))</f>
        <v>287.91374663515506</v>
      </c>
      <c r="BJ108" s="60">
        <f t="shared" si="92"/>
        <v>217.76240797006147</v>
      </c>
      <c r="BK108" s="16">
        <f>IF(ISNA(VLOOKUP(A108,'Données projet'!$A$87:$I$107,3,0)),0,VLOOKUP(A108,'Données projet'!$A$87:$I$107,3,0))</f>
        <v>6</v>
      </c>
      <c r="BL108" s="16">
        <f>IF(ISNA(VLOOKUP(A108,'Données projet'!$A$87:$I$107,4,0)),0,VLOOKUP(A108,'Données projet'!$A$87:$I$107,4,0))</f>
        <v>213.82307692307694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4.4000000000000004</v>
      </c>
      <c r="BY108" s="13">
        <f>IF('Données projet'!$A$114&gt;35,BY107+BX108-CG107,IF(A108&lt;'Données projet'!$A$114,$BV$205^A108,IF(A108='Données projet'!$A$114,'Données projet'!$B$114,BY107+BX108-CG107)))</f>
        <v>282.99999999999972</v>
      </c>
      <c r="BZ108" s="14">
        <f>BY108*VLOOKUP('Données projet'!$B$12,Paramètres!$A$1:$I$89,3,0)*VLOOKUP('Données projet'!$B$12,Paramètres!$A$1:$I$89,5,0)</f>
        <v>256.05839999999972</v>
      </c>
      <c r="CA108" s="14">
        <f t="shared" si="93"/>
        <v>61.881442594256434</v>
      </c>
      <c r="CB108" s="22">
        <f t="shared" si="64"/>
        <v>553.74522585166278</v>
      </c>
      <c r="CC108" s="60">
        <f t="shared" si="65"/>
        <v>847.07855918499604</v>
      </c>
      <c r="CD108" s="60">
        <f ca="1">AVERAGE(OFFSET($CC$3,0,0,'Données projet'!$E$12+1,1))-AVERAGE(OFFSET($H$3,0,0,'Données projet'!$E$12+1,1))</f>
        <v>428.8489304403459</v>
      </c>
      <c r="CE108" s="60">
        <f t="shared" si="94"/>
        <v>247.01165577562966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7.9089743589743575</v>
      </c>
      <c r="CT108" s="13">
        <f>IF('Données projet'!$A$140&gt;35,CT107+CS108-DB107,IF(A108&lt;'Données projet'!$A$140,$CQ$205^A108,IF(A108='Données projet'!$A$140,'Données projet'!$B$140,CT107+CS108-DB107)))</f>
        <v>381.56410256410248</v>
      </c>
      <c r="CU108" s="18">
        <f>CT108*VLOOKUP('Données projet'!$B$13,Paramètres!$A$1:$I$89,3,0)*VLOOKUP('Données projet'!$B$13,Paramètres!$A$1:$I$89,5,0)</f>
        <v>178.57199999999997</v>
      </c>
      <c r="CV108" s="14">
        <f t="shared" si="95"/>
        <v>45.004335350860913</v>
      </c>
      <c r="CW108" s="22">
        <f t="shared" si="67"/>
        <v>389.39545073608269</v>
      </c>
      <c r="CX108" s="60">
        <f t="shared" si="68"/>
        <v>682.72878406941595</v>
      </c>
      <c r="CY108" s="60">
        <f ca="1">AVERAGE(OFFSET($CX$3,0,0,'Données projet'!$E$13+1,1))-AVERAGE(OFFSET($H$3,0,0,'Données projet'!$E$13+1,1))</f>
        <v>284.88646502866419</v>
      </c>
      <c r="CZ108" s="60">
        <f t="shared" si="96"/>
        <v>190.4880882944471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282.99999999999972</v>
      </c>
      <c r="DP108" s="18">
        <f>DO108*VLOOKUP('Données projet'!$B$14,Paramètres!$A$1:$I$89,3,0)*VLOOKUP('Données projet'!$B$14,Paramètres!$A$1:$I$89,5,0)</f>
        <v>304.62119999999965</v>
      </c>
      <c r="DQ108" s="14">
        <f t="shared" si="97"/>
        <v>72.144380911839335</v>
      </c>
      <c r="DR108" s="22">
        <f t="shared" si="70"/>
        <v>656.20005342145294</v>
      </c>
      <c r="DS108" s="60">
        <f t="shared" si="71"/>
        <v>949.53338675478631</v>
      </c>
      <c r="DT108" s="60">
        <f ca="1">AVERAGE(OFFSET($DS$3,0,0,'Données projet'!$E$14+1,1))-AVERAGE(OFFSET($H$3,0,0,'Données projet'!$E$14+1,1))</f>
        <v>502.07782026233912</v>
      </c>
      <c r="DU108" s="60">
        <f t="shared" si="98"/>
        <v>285.83623046025156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-1.7053025658242404E-13</v>
      </c>
      <c r="EK108" s="18">
        <f>EJ108*VLOOKUP('Données projet'!$B$15,Paramètres!$A$1:$I$89,3,0)*VLOOKUP('Données projet'!$B$15,Paramètres!$A$1:$I$89,5,0)</f>
        <v>-1.4897523215040567E-13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339.58437495284466</v>
      </c>
      <c r="EP108" s="60">
        <f t="shared" si="100"/>
        <v>371.26234252426531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4.4000000000000004</v>
      </c>
      <c r="FE108" s="13">
        <f>IF('Données projet'!$A$218&gt;35,FE107+FD108-FM107,IF(A108&lt;'Données projet'!$A$218,$FB$205^A108,IF(A108='Données projet'!$A$218,'Données projet'!$B$218,FE107+FD108-FM107)))</f>
        <v>282.99999999999972</v>
      </c>
      <c r="FF108" s="18">
        <f>FE108*VLOOKUP('Données projet'!$B$16,Paramètres!$A$1:$I$89,3,0)*VLOOKUP('Données projet'!$B$16,Paramètres!$A$1:$I$89,5,0)</f>
        <v>273.71759999999972</v>
      </c>
      <c r="FG108" s="14">
        <f t="shared" si="101"/>
        <v>65.637608810456612</v>
      </c>
      <c r="FH108" s="22">
        <f t="shared" si="76"/>
        <v>591.04365534487806</v>
      </c>
      <c r="FI108" s="60">
        <f t="shared" si="77"/>
        <v>884.37698867821132</v>
      </c>
      <c r="FJ108" s="60">
        <f ca="1">AVERAGE(OFFSET($FI$3,0,0,'Données projet'!$E$16+1,1))-AVERAGE(OFFSET($H$3,0,0,'Données projet'!$E$16+1,1))</f>
        <v>455.50822833641354</v>
      </c>
      <c r="FK108" s="60">
        <f t="shared" si="102"/>
        <v>261.14722581688039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291.42359999999968</v>
      </c>
      <c r="P109" s="14">
        <f t="shared" si="87"/>
        <v>69.375496841482104</v>
      </c>
      <c r="Q109" s="22">
        <f t="shared" si="107"/>
        <v>628.39176033224737</v>
      </c>
      <c r="R109" s="60">
        <f t="shared" si="55"/>
        <v>921.72509366558074</v>
      </c>
      <c r="S109" s="60">
        <f ca="1">AVERAGE(OFFSET($R$3,0,0,'Données projet'!$E$9+1,1))-AVERAGE(OFFSET($H$3,0,0,'Données projet'!$E$9+1,1))</f>
        <v>475.47920969424894</v>
      </c>
      <c r="T109" s="60">
        <f t="shared" si="88"/>
        <v>271.73544012419364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-2.8421709430404007E-13</v>
      </c>
      <c r="AJ109" s="14">
        <f>AI109*VLOOKUP('Données projet'!$B$10,Paramètres!$A$1:$I$89,3,0)*VLOOKUP('Données projet'!$B$10,Paramètres!$A$1:$I$89,5,0)</f>
        <v>-1.69961822393816E-13</v>
      </c>
      <c r="AK109" s="14" t="e">
        <f t="shared" si="89"/>
        <v>#NUM!</v>
      </c>
      <c r="AL109" s="22" t="e">
        <f t="shared" si="58"/>
        <v>#NUM!</v>
      </c>
      <c r="AM109" s="60" t="e">
        <f t="shared" si="59"/>
        <v>#NUM!</v>
      </c>
      <c r="AN109" s="60">
        <f ca="1">AVERAGE(OFFSET($AM$3,0,0,'Données projet'!$E$10+1,1))-AVERAGE(OFFSET($H$3,0,0,'Données projet'!$E$10+1,1))</f>
        <v>289.24721145176682</v>
      </c>
      <c r="AO109" s="60">
        <f t="shared" si="90"/>
        <v>229.06617320689003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0.27565059544803139</v>
      </c>
      <c r="AW109" s="23">
        <f>EXP(-LN(2)/2)*AW108+(1-EXP(-LN(2)/2))/(LN(2)/2)*AQ109*AT109*VLOOKUP('Données projet'!$B$10,Paramètres!$A$1:$I$89,3,0)*0.475*44/12</f>
        <v>1.6128987632838622E-11</v>
      </c>
      <c r="AX109" s="23">
        <f t="shared" si="60"/>
        <v>0.27565059546416038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5.6843418860808015E-14</v>
      </c>
      <c r="BE109" s="14">
        <f>BD109*VLOOKUP('Données projet'!$B$11,Paramètres!$A$1:$I$89,3,0)*VLOOKUP('Données projet'!$B$11,Paramètres!$A$1:$I$89,5,0)</f>
        <v>3.3992364478763198E-14</v>
      </c>
      <c r="BF109" s="14">
        <f t="shared" si="91"/>
        <v>5.790027782444094E-13</v>
      </c>
      <c r="BG109" s="22">
        <f t="shared" si="61"/>
        <v>1.0676332069095257E-12</v>
      </c>
      <c r="BH109" s="60">
        <f t="shared" si="62"/>
        <v>293.33333333333439</v>
      </c>
      <c r="BI109" s="60">
        <f ca="1">AVERAGE(OFFSET($BH$3,0,0,'Données projet'!$E$11+1,1))-AVERAGE(OFFSET($H$3,0,0,'Données projet'!$E$11+1,1))</f>
        <v>287.91374663515506</v>
      </c>
      <c r="BJ109" s="60">
        <f t="shared" si="92"/>
        <v>217.76240797006147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4.4000000000000004</v>
      </c>
      <c r="BY109" s="13">
        <f>IF('Données projet'!$A$114&gt;35,BY108+BX109-CG108,IF(A109&lt;'Données projet'!$A$114,$BV$205^A109,IF(A109='Données projet'!$A$114,'Données projet'!$B$114,BY108+BX109-CG108)))</f>
        <v>287.39999999999969</v>
      </c>
      <c r="BZ109" s="14">
        <f>BY109*VLOOKUP('Données projet'!$B$12,Paramètres!$A$1:$I$89,3,0)*VLOOKUP('Données projet'!$B$12,Paramètres!$A$1:$I$89,5,0)</f>
        <v>260.0395199999997</v>
      </c>
      <c r="CA109" s="14">
        <f t="shared" si="93"/>
        <v>62.730801948604821</v>
      </c>
      <c r="CB109" s="22">
        <f t="shared" si="64"/>
        <v>562.15831072715287</v>
      </c>
      <c r="CC109" s="60">
        <f t="shared" si="65"/>
        <v>855.49164406048612</v>
      </c>
      <c r="CD109" s="60">
        <f ca="1">AVERAGE(OFFSET($CC$3,0,0,'Données projet'!$E$12+1,1))-AVERAGE(OFFSET($H$3,0,0,'Données projet'!$E$12+1,1))</f>
        <v>428.8489304403459</v>
      </c>
      <c r="CE109" s="60">
        <f t="shared" si="94"/>
        <v>247.01165577562966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7.9089743589743575</v>
      </c>
      <c r="CT109" s="13">
        <f>IF('Données projet'!$A$140&gt;35,CT108+CS109-DB108,IF(A109&lt;'Données projet'!$A$140,$CQ$205^A109,IF(A109='Données projet'!$A$140,'Données projet'!$B$140,CT108+CS109-DB108)))</f>
        <v>389.47307692307686</v>
      </c>
      <c r="CU109" s="18">
        <f>CT109*VLOOKUP('Données projet'!$B$13,Paramètres!$A$1:$I$89,3,0)*VLOOKUP('Données projet'!$B$13,Paramètres!$A$1:$I$89,5,0)</f>
        <v>182.27339999999995</v>
      </c>
      <c r="CV109" s="14">
        <f t="shared" si="95"/>
        <v>45.827605728742469</v>
      </c>
      <c r="CW109" s="22">
        <f t="shared" si="67"/>
        <v>397.27591831089302</v>
      </c>
      <c r="CX109" s="60">
        <f t="shared" si="68"/>
        <v>690.60925164422633</v>
      </c>
      <c r="CY109" s="60">
        <f ca="1">AVERAGE(OFFSET($CX$3,0,0,'Données projet'!$E$13+1,1))-AVERAGE(OFFSET($H$3,0,0,'Données projet'!$E$13+1,1))</f>
        <v>284.88646502866419</v>
      </c>
      <c r="CZ109" s="60">
        <f t="shared" si="96"/>
        <v>190.4880882944471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4.4000000000000004</v>
      </c>
      <c r="DO109" s="13">
        <f>IF('Données projet'!$A$166&gt;35,DO108+DN109-DW108,IF(A109&lt;'Données projet'!$A$166,$DL$205^A109,IF(A109='Données projet'!$A$166,'Données projet'!$B$166,DO108+DN109-DW108)))</f>
        <v>287.39999999999969</v>
      </c>
      <c r="DP109" s="18">
        <f>DO109*VLOOKUP('Données projet'!$B$14,Paramètres!$A$1:$I$89,3,0)*VLOOKUP('Données projet'!$B$14,Paramètres!$A$1:$I$89,5,0)</f>
        <v>309.35735999999969</v>
      </c>
      <c r="DQ109" s="14">
        <f t="shared" si="97"/>
        <v>73.134605157142161</v>
      </c>
      <c r="DR109" s="22">
        <f t="shared" si="70"/>
        <v>666.17350598202211</v>
      </c>
      <c r="DS109" s="60">
        <f t="shared" si="71"/>
        <v>959.50683931535536</v>
      </c>
      <c r="DT109" s="60">
        <f ca="1">AVERAGE(OFFSET($DS$3,0,0,'Données projet'!$E$14+1,1))-AVERAGE(OFFSET($H$3,0,0,'Données projet'!$E$14+1,1))</f>
        <v>502.07782026233912</v>
      </c>
      <c r="DU109" s="60">
        <f t="shared" si="98"/>
        <v>285.83623046025156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-1.7053025658242404E-13</v>
      </c>
      <c r="EK109" s="18">
        <f>EJ109*VLOOKUP('Données projet'!$B$15,Paramètres!$A$1:$I$89,3,0)*VLOOKUP('Données projet'!$B$15,Paramètres!$A$1:$I$89,5,0)</f>
        <v>-1.4897523215040567E-13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339.58437495284466</v>
      </c>
      <c r="EP109" s="60">
        <f t="shared" si="100"/>
        <v>371.26234252426531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4.4000000000000004</v>
      </c>
      <c r="FE109" s="13">
        <f>IF('Données projet'!$A$218&gt;35,FE108+FD109-FM108,IF(A109&lt;'Données projet'!$A$218,$FB$205^A109,IF(A109='Données projet'!$A$218,'Données projet'!$B$218,FE108+FD109-FM108)))</f>
        <v>287.39999999999969</v>
      </c>
      <c r="FF109" s="18">
        <f>FE109*VLOOKUP('Données projet'!$B$16,Paramètres!$A$1:$I$89,3,0)*VLOOKUP('Données projet'!$B$16,Paramètres!$A$1:$I$89,5,0)</f>
        <v>277.9732799999997</v>
      </c>
      <c r="FG109" s="14">
        <f t="shared" si="101"/>
        <v>66.538523764973135</v>
      </c>
      <c r="FH109" s="22">
        <f t="shared" si="76"/>
        <v>600.0247248906611</v>
      </c>
      <c r="FI109" s="60">
        <f t="shared" si="77"/>
        <v>893.35805822399448</v>
      </c>
      <c r="FJ109" s="60">
        <f ca="1">AVERAGE(OFFSET($FI$3,0,0,'Données projet'!$E$16+1,1))-AVERAGE(OFFSET($H$3,0,0,'Données projet'!$E$16+1,1))</f>
        <v>455.50822833641354</v>
      </c>
      <c r="FK109" s="60">
        <f t="shared" si="102"/>
        <v>261.14722581688039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295.88519999999966</v>
      </c>
      <c r="P110" s="14">
        <f t="shared" si="87"/>
        <v>70.313151199178748</v>
      </c>
      <c r="Q110" s="22">
        <f t="shared" si="107"/>
        <v>637.79546167190244</v>
      </c>
      <c r="R110" s="60">
        <f t="shared" si="55"/>
        <v>931.12879500523582</v>
      </c>
      <c r="S110" s="60">
        <f ca="1">AVERAGE(OFFSET($R$3,0,0,'Données projet'!$E$9+1,1))-AVERAGE(OFFSET($H$3,0,0,'Données projet'!$E$9+1,1))</f>
        <v>475.47920969424894</v>
      </c>
      <c r="T110" s="60">
        <f t="shared" si="88"/>
        <v>271.73544012419364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-2.8421709430404007E-13</v>
      </c>
      <c r="AJ110" s="14">
        <f>AI110*VLOOKUP('Données projet'!$B$10,Paramètres!$A$1:$I$89,3,0)*VLOOKUP('Données projet'!$B$10,Paramètres!$A$1:$I$89,5,0)</f>
        <v>-1.69961822393816E-13</v>
      </c>
      <c r="AK110" s="14" t="e">
        <f t="shared" si="89"/>
        <v>#NUM!</v>
      </c>
      <c r="AL110" s="22" t="e">
        <f t="shared" si="58"/>
        <v>#NUM!</v>
      </c>
      <c r="AM110" s="60" t="e">
        <f t="shared" si="59"/>
        <v>#NUM!</v>
      </c>
      <c r="AN110" s="60">
        <f ca="1">AVERAGE(OFFSET($AM$3,0,0,'Données projet'!$E$10+1,1))-AVERAGE(OFFSET($H$3,0,0,'Données projet'!$E$10+1,1))</f>
        <v>289.24721145176682</v>
      </c>
      <c r="AO110" s="60">
        <f t="shared" si="90"/>
        <v>229.06617320689003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0.26811291541967014</v>
      </c>
      <c r="AW110" s="23">
        <f>EXP(-LN(2)/2)*AW109+(1-EXP(-LN(2)/2))/(LN(2)/2)*AQ110*AT110*VLOOKUP('Données projet'!$B$10,Paramètres!$A$1:$I$89,3,0)*0.475*44/12</f>
        <v>1.1404916528854151E-11</v>
      </c>
      <c r="AX110" s="23">
        <f t="shared" si="60"/>
        <v>0.26811291543107507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5.6843418860808015E-14</v>
      </c>
      <c r="BE110" s="14">
        <f>BD110*VLOOKUP('Données projet'!$B$11,Paramètres!$A$1:$I$89,3,0)*VLOOKUP('Données projet'!$B$11,Paramètres!$A$1:$I$89,5,0)</f>
        <v>3.3992364478763198E-14</v>
      </c>
      <c r="BF110" s="14">
        <f t="shared" si="91"/>
        <v>5.790027782444094E-13</v>
      </c>
      <c r="BG110" s="22">
        <f t="shared" si="61"/>
        <v>1.0676332069095257E-12</v>
      </c>
      <c r="BH110" s="60">
        <f t="shared" si="62"/>
        <v>293.33333333333439</v>
      </c>
      <c r="BI110" s="60">
        <f ca="1">AVERAGE(OFFSET($BH$3,0,0,'Données projet'!$E$11+1,1))-AVERAGE(OFFSET($H$3,0,0,'Données projet'!$E$11+1,1))</f>
        <v>287.91374663515506</v>
      </c>
      <c r="BJ110" s="60">
        <f t="shared" si="92"/>
        <v>217.76240797006147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4.4000000000000004</v>
      </c>
      <c r="BY110" s="13">
        <f>IF('Données projet'!$A$114&gt;35,BY109+BX110-CG109,IF(A110&lt;'Données projet'!$A$114,$BV$205^A110,IF(A110='Données projet'!$A$114,'Données projet'!$B$114,BY109+BX110-CG109)))</f>
        <v>291.79999999999967</v>
      </c>
      <c r="BZ110" s="14">
        <f>BY110*VLOOKUP('Données projet'!$B$12,Paramètres!$A$1:$I$89,3,0)*VLOOKUP('Données projet'!$B$12,Paramètres!$A$1:$I$89,5,0)</f>
        <v>264.02063999999967</v>
      </c>
      <c r="CA110" s="14">
        <f t="shared" si="93"/>
        <v>63.57864899095906</v>
      </c>
      <c r="CB110" s="22">
        <f t="shared" si="64"/>
        <v>570.56876165925303</v>
      </c>
      <c r="CC110" s="60">
        <f t="shared" si="65"/>
        <v>863.9020949925864</v>
      </c>
      <c r="CD110" s="60">
        <f ca="1">AVERAGE(OFFSET($CC$3,0,0,'Données projet'!$E$12+1,1))-AVERAGE(OFFSET($H$3,0,0,'Données projet'!$E$12+1,1))</f>
        <v>428.8489304403459</v>
      </c>
      <c r="CE110" s="60">
        <f t="shared" si="94"/>
        <v>247.01165577562966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7.9089743589743575</v>
      </c>
      <c r="CT110" s="13">
        <f>IF('Données projet'!$A$140&gt;35,CT109+CS110-DB109,IF(A110&lt;'Données projet'!$A$140,$CQ$205^A110,IF(A110='Données projet'!$A$140,'Données projet'!$B$140,CT109+CS110-DB109)))</f>
        <v>397.38205128205124</v>
      </c>
      <c r="CU110" s="18">
        <f>CT110*VLOOKUP('Données projet'!$B$13,Paramètres!$A$1:$I$89,3,0)*VLOOKUP('Données projet'!$B$13,Paramètres!$A$1:$I$89,5,0)</f>
        <v>185.97479999999996</v>
      </c>
      <c r="CV110" s="14">
        <f t="shared" si="95"/>
        <v>46.648932284261271</v>
      </c>
      <c r="CW110" s="22">
        <f t="shared" si="67"/>
        <v>405.15300039508821</v>
      </c>
      <c r="CX110" s="60">
        <f t="shared" si="68"/>
        <v>698.48633372842153</v>
      </c>
      <c r="CY110" s="60">
        <f ca="1">AVERAGE(OFFSET($CX$3,0,0,'Données projet'!$E$13+1,1))-AVERAGE(OFFSET($H$3,0,0,'Données projet'!$E$13+1,1))</f>
        <v>284.88646502866419</v>
      </c>
      <c r="CZ110" s="60">
        <f t="shared" si="96"/>
        <v>190.4880882944471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4.4000000000000004</v>
      </c>
      <c r="DO110" s="13">
        <f>IF('Données projet'!$A$166&gt;35,DO109+DN110-DW109,IF(A110&lt;'Données projet'!$A$166,$DL$205^A110,IF(A110='Données projet'!$A$166,'Données projet'!$B$166,DO109+DN110-DW109)))</f>
        <v>291.79999999999967</v>
      </c>
      <c r="DP110" s="18">
        <f>DO110*VLOOKUP('Données projet'!$B$14,Paramètres!$A$1:$I$89,3,0)*VLOOKUP('Données projet'!$B$14,Paramètres!$A$1:$I$89,5,0)</f>
        <v>314.09351999999961</v>
      </c>
      <c r="DQ110" s="14">
        <f t="shared" si="97"/>
        <v>74.123066275924458</v>
      </c>
      <c r="DR110" s="22">
        <f t="shared" si="70"/>
        <v>676.14388776390103</v>
      </c>
      <c r="DS110" s="60">
        <f t="shared" si="71"/>
        <v>969.47722109723441</v>
      </c>
      <c r="DT110" s="60">
        <f ca="1">AVERAGE(OFFSET($DS$3,0,0,'Données projet'!$E$14+1,1))-AVERAGE(OFFSET($H$3,0,0,'Données projet'!$E$14+1,1))</f>
        <v>502.07782026233912</v>
      </c>
      <c r="DU110" s="60">
        <f t="shared" si="98"/>
        <v>285.83623046025156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-1.7053025658242404E-13</v>
      </c>
      <c r="EK110" s="18">
        <f>EJ110*VLOOKUP('Données projet'!$B$15,Paramètres!$A$1:$I$89,3,0)*VLOOKUP('Données projet'!$B$15,Paramètres!$A$1:$I$89,5,0)</f>
        <v>-1.4897523215040567E-13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339.58437495284466</v>
      </c>
      <c r="EP110" s="60">
        <f t="shared" si="100"/>
        <v>371.26234252426531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4.4000000000000004</v>
      </c>
      <c r="FE110" s="13">
        <f>IF('Données projet'!$A$218&gt;35,FE109+FD110-FM109,IF(A110&lt;'Données projet'!$A$218,$FB$205^A110,IF(A110='Données projet'!$A$218,'Données projet'!$B$218,FE109+FD110-FM109)))</f>
        <v>291.79999999999967</v>
      </c>
      <c r="FF110" s="18">
        <f>FE110*VLOOKUP('Données projet'!$B$16,Paramètres!$A$1:$I$89,3,0)*VLOOKUP('Données projet'!$B$16,Paramètres!$A$1:$I$89,5,0)</f>
        <v>282.22895999999969</v>
      </c>
      <c r="FG110" s="14">
        <f t="shared" si="101"/>
        <v>67.437834611070301</v>
      </c>
      <c r="FH110" s="22">
        <f t="shared" si="76"/>
        <v>609.00300061428027</v>
      </c>
      <c r="FI110" s="60">
        <f t="shared" si="77"/>
        <v>902.33633394761364</v>
      </c>
      <c r="FJ110" s="60">
        <f ca="1">AVERAGE(OFFSET($FI$3,0,0,'Données projet'!$E$16+1,1))-AVERAGE(OFFSET($H$3,0,0,'Données projet'!$E$16+1,1))</f>
        <v>455.50822833641354</v>
      </c>
      <c r="FK110" s="60">
        <f t="shared" si="102"/>
        <v>261.14722581688039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300.34679999999963</v>
      </c>
      <c r="P111" s="14">
        <f t="shared" si="87"/>
        <v>71.249161187153291</v>
      </c>
      <c r="Q111" s="22">
        <f t="shared" si="107"/>
        <v>647.19629906762464</v>
      </c>
      <c r="R111" s="60">
        <f t="shared" si="55"/>
        <v>940.52963240095801</v>
      </c>
      <c r="S111" s="60">
        <f ca="1">AVERAGE(OFFSET($R$3,0,0,'Données projet'!$E$9+1,1))-AVERAGE(OFFSET($H$3,0,0,'Données projet'!$E$9+1,1))</f>
        <v>475.47920969424894</v>
      </c>
      <c r="T111" s="60">
        <f t="shared" si="88"/>
        <v>271.73544012419364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-2.8421709430404007E-13</v>
      </c>
      <c r="AJ111" s="14">
        <f>AI111*VLOOKUP('Données projet'!$B$10,Paramètres!$A$1:$I$89,3,0)*VLOOKUP('Données projet'!$B$10,Paramètres!$A$1:$I$89,5,0)</f>
        <v>-1.69961822393816E-13</v>
      </c>
      <c r="AK111" s="14" t="e">
        <f t="shared" si="89"/>
        <v>#NUM!</v>
      </c>
      <c r="AL111" s="22" t="e">
        <f t="shared" si="58"/>
        <v>#NUM!</v>
      </c>
      <c r="AM111" s="60" t="e">
        <f t="shared" si="59"/>
        <v>#NUM!</v>
      </c>
      <c r="AN111" s="60">
        <f ca="1">AVERAGE(OFFSET($AM$3,0,0,'Données projet'!$E$10+1,1))-AVERAGE(OFFSET($H$3,0,0,'Données projet'!$E$10+1,1))</f>
        <v>289.24721145176682</v>
      </c>
      <c r="AO111" s="60">
        <f t="shared" si="90"/>
        <v>229.06617320689003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0.26078135364807381</v>
      </c>
      <c r="AW111" s="23">
        <f>EXP(-LN(2)/2)*AW110+(1-EXP(-LN(2)/2))/(LN(2)/2)*AQ111*AT111*VLOOKUP('Données projet'!$B$10,Paramètres!$A$1:$I$89,3,0)*0.475*44/12</f>
        <v>8.0644938164193109E-12</v>
      </c>
      <c r="AX111" s="23">
        <f t="shared" si="60"/>
        <v>0.2607813536561383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5.6843418860808015E-14</v>
      </c>
      <c r="BE111" s="14">
        <f>BD111*VLOOKUP('Données projet'!$B$11,Paramètres!$A$1:$I$89,3,0)*VLOOKUP('Données projet'!$B$11,Paramètres!$A$1:$I$89,5,0)</f>
        <v>3.3992364478763198E-14</v>
      </c>
      <c r="BF111" s="14">
        <f t="shared" si="91"/>
        <v>5.790027782444094E-13</v>
      </c>
      <c r="BG111" s="22">
        <f t="shared" si="61"/>
        <v>1.0676332069095257E-12</v>
      </c>
      <c r="BH111" s="60">
        <f t="shared" si="62"/>
        <v>293.33333333333439</v>
      </c>
      <c r="BI111" s="60">
        <f ca="1">AVERAGE(OFFSET($BH$3,0,0,'Données projet'!$E$11+1,1))-AVERAGE(OFFSET($H$3,0,0,'Données projet'!$E$11+1,1))</f>
        <v>287.91374663515506</v>
      </c>
      <c r="BJ111" s="60">
        <f t="shared" si="92"/>
        <v>217.76240797006147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4.4000000000000004</v>
      </c>
      <c r="BY111" s="13">
        <f>IF('Données projet'!$A$114&gt;35,BY110+BX111-CG110,IF(A111&lt;'Données projet'!$A$114,$BV$205^A111,IF(A111='Données projet'!$A$114,'Données projet'!$B$114,BY110+BX111-CG110)))</f>
        <v>296.19999999999965</v>
      </c>
      <c r="BZ111" s="14">
        <f>BY111*VLOOKUP('Données projet'!$B$12,Paramètres!$A$1:$I$89,3,0)*VLOOKUP('Données projet'!$B$12,Paramètres!$A$1:$I$89,5,0)</f>
        <v>268.00175999999971</v>
      </c>
      <c r="CA111" s="14">
        <f t="shared" si="93"/>
        <v>64.425009159185521</v>
      </c>
      <c r="CB111" s="22">
        <f t="shared" si="64"/>
        <v>578.97662295224757</v>
      </c>
      <c r="CC111" s="60">
        <f t="shared" si="65"/>
        <v>872.30995628558094</v>
      </c>
      <c r="CD111" s="60">
        <f ca="1">AVERAGE(OFFSET($CC$3,0,0,'Données projet'!$E$12+1,1))-AVERAGE(OFFSET($H$3,0,0,'Données projet'!$E$12+1,1))</f>
        <v>428.8489304403459</v>
      </c>
      <c r="CE111" s="60">
        <f t="shared" si="94"/>
        <v>247.01165577562966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7.9089743589743575</v>
      </c>
      <c r="CT111" s="13">
        <f>IF('Données projet'!$A$140&gt;35,CT110+CS111-DB110,IF(A111&lt;'Données projet'!$A$140,$CQ$205^A111,IF(A111='Données projet'!$A$140,'Données projet'!$B$140,CT110+CS111-DB110)))</f>
        <v>405.29102564102561</v>
      </c>
      <c r="CU111" s="18">
        <f>CT111*VLOOKUP('Données projet'!$B$13,Paramètres!$A$1:$I$89,3,0)*VLOOKUP('Données projet'!$B$13,Paramètres!$A$1:$I$89,5,0)</f>
        <v>189.67619999999997</v>
      </c>
      <c r="CV111" s="14">
        <f t="shared" si="95"/>
        <v>47.468358163684449</v>
      </c>
      <c r="CW111" s="22">
        <f t="shared" si="67"/>
        <v>413.02677213508372</v>
      </c>
      <c r="CX111" s="60">
        <f t="shared" si="68"/>
        <v>706.36010546841703</v>
      </c>
      <c r="CY111" s="60">
        <f ca="1">AVERAGE(OFFSET($CX$3,0,0,'Données projet'!$E$13+1,1))-AVERAGE(OFFSET($H$3,0,0,'Données projet'!$E$13+1,1))</f>
        <v>284.88646502866419</v>
      </c>
      <c r="CZ111" s="60">
        <f t="shared" si="96"/>
        <v>190.4880882944471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4.4000000000000004</v>
      </c>
      <c r="DO111" s="13">
        <f>IF('Données projet'!$A$166&gt;35,DO110+DN111-DW110,IF(A111&lt;'Données projet'!$A$166,$DL$205^A111,IF(A111='Données projet'!$A$166,'Données projet'!$B$166,DO110+DN111-DW110)))</f>
        <v>296.19999999999965</v>
      </c>
      <c r="DP111" s="18">
        <f>DO111*VLOOKUP('Données projet'!$B$14,Paramètres!$A$1:$I$89,3,0)*VLOOKUP('Données projet'!$B$14,Paramètres!$A$1:$I$89,5,0)</f>
        <v>318.8296799999996</v>
      </c>
      <c r="DQ111" s="14">
        <f t="shared" si="97"/>
        <v>75.109793924882112</v>
      </c>
      <c r="DR111" s="22">
        <f t="shared" si="70"/>
        <v>686.11125041916887</v>
      </c>
      <c r="DS111" s="60">
        <f t="shared" si="71"/>
        <v>979.44458375250224</v>
      </c>
      <c r="DT111" s="60">
        <f ca="1">AVERAGE(OFFSET($DS$3,0,0,'Données projet'!$E$14+1,1))-AVERAGE(OFFSET($H$3,0,0,'Données projet'!$E$14+1,1))</f>
        <v>502.07782026233912</v>
      </c>
      <c r="DU111" s="60">
        <f t="shared" si="98"/>
        <v>285.83623046025156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-1.7053025658242404E-13</v>
      </c>
      <c r="EK111" s="18">
        <f>EJ111*VLOOKUP('Données projet'!$B$15,Paramètres!$A$1:$I$89,3,0)*VLOOKUP('Données projet'!$B$15,Paramètres!$A$1:$I$89,5,0)</f>
        <v>-1.4897523215040567E-13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339.58437495284466</v>
      </c>
      <c r="EP111" s="60">
        <f t="shared" si="100"/>
        <v>371.26234252426531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4.4000000000000004</v>
      </c>
      <c r="FE111" s="13">
        <f>IF('Données projet'!$A$218&gt;35,FE110+FD111-FM110,IF(A111&lt;'Données projet'!$A$218,$FB$205^A111,IF(A111='Données projet'!$A$218,'Données projet'!$B$218,FE110+FD111-FM110)))</f>
        <v>296.19999999999965</v>
      </c>
      <c r="FF111" s="18">
        <f>FE111*VLOOKUP('Données projet'!$B$16,Paramètres!$A$1:$I$89,3,0)*VLOOKUP('Données projet'!$B$16,Paramètres!$A$1:$I$89,5,0)</f>
        <v>286.48463999999967</v>
      </c>
      <c r="FG111" s="14">
        <f t="shared" si="101"/>
        <v>68.335568330677432</v>
      </c>
      <c r="FH111" s="22">
        <f t="shared" si="76"/>
        <v>617.97852950926267</v>
      </c>
      <c r="FI111" s="60">
        <f t="shared" si="77"/>
        <v>911.31186284259593</v>
      </c>
      <c r="FJ111" s="60">
        <f ca="1">AVERAGE(OFFSET($FI$3,0,0,'Données projet'!$E$16+1,1))-AVERAGE(OFFSET($H$3,0,0,'Données projet'!$E$16+1,1))</f>
        <v>455.50822833641354</v>
      </c>
      <c r="FK111" s="60">
        <f t="shared" si="102"/>
        <v>261.14722581688039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304.80839999999961</v>
      </c>
      <c r="P112" s="14">
        <f t="shared" si="87"/>
        <v>72.183554053972728</v>
      </c>
      <c r="Q112" s="22">
        <f t="shared" si="107"/>
        <v>656.59431997733509</v>
      </c>
      <c r="R112" s="60">
        <f t="shared" si="55"/>
        <v>949.92765331066835</v>
      </c>
      <c r="S112" s="60">
        <f ca="1">AVERAGE(OFFSET($R$3,0,0,'Données projet'!$E$9+1,1))-AVERAGE(OFFSET($H$3,0,0,'Données projet'!$E$9+1,1))</f>
        <v>475.47920969424894</v>
      </c>
      <c r="T112" s="60">
        <f t="shared" si="88"/>
        <v>271.73544012419364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-2.8421709430404007E-13</v>
      </c>
      <c r="AJ112" s="14">
        <f>AI112*VLOOKUP('Données projet'!$B$10,Paramètres!$A$1:$I$89,3,0)*VLOOKUP('Données projet'!$B$10,Paramètres!$A$1:$I$89,5,0)</f>
        <v>-1.69961822393816E-13</v>
      </c>
      <c r="AK112" s="14" t="e">
        <f t="shared" si="89"/>
        <v>#NUM!</v>
      </c>
      <c r="AL112" s="22" t="e">
        <f t="shared" si="58"/>
        <v>#NUM!</v>
      </c>
      <c r="AM112" s="60" t="e">
        <f t="shared" si="59"/>
        <v>#NUM!</v>
      </c>
      <c r="AN112" s="60">
        <f ca="1">AVERAGE(OFFSET($AM$3,0,0,'Données projet'!$E$10+1,1))-AVERAGE(OFFSET($H$3,0,0,'Données projet'!$E$10+1,1))</f>
        <v>289.24721145176682</v>
      </c>
      <c r="AO112" s="60">
        <f t="shared" si="90"/>
        <v>229.06617320689003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0.25365027381867189</v>
      </c>
      <c r="AW112" s="23">
        <f>EXP(-LN(2)/2)*AW111+(1-EXP(-LN(2)/2))/(LN(2)/2)*AQ112*AT112*VLOOKUP('Données projet'!$B$10,Paramètres!$A$1:$I$89,3,0)*0.475*44/12</f>
        <v>5.7024582644270753E-12</v>
      </c>
      <c r="AX112" s="23">
        <f t="shared" si="60"/>
        <v>0.25365027382437433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5.6843418860808015E-14</v>
      </c>
      <c r="BE112" s="14">
        <f>BD112*VLOOKUP('Données projet'!$B$11,Paramètres!$A$1:$I$89,3,0)*VLOOKUP('Données projet'!$B$11,Paramètres!$A$1:$I$89,5,0)</f>
        <v>3.3992364478763198E-14</v>
      </c>
      <c r="BF112" s="14">
        <f t="shared" si="91"/>
        <v>5.790027782444094E-13</v>
      </c>
      <c r="BG112" s="22">
        <f t="shared" si="61"/>
        <v>1.0676332069095257E-12</v>
      </c>
      <c r="BH112" s="60">
        <f t="shared" si="62"/>
        <v>293.33333333333439</v>
      </c>
      <c r="BI112" s="60">
        <f ca="1">AVERAGE(OFFSET($BH$3,0,0,'Données projet'!$E$11+1,1))-AVERAGE(OFFSET($H$3,0,0,'Données projet'!$E$11+1,1))</f>
        <v>287.91374663515506</v>
      </c>
      <c r="BJ112" s="60">
        <f t="shared" si="92"/>
        <v>217.76240797006147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4.4000000000000004</v>
      </c>
      <c r="BY112" s="13">
        <f>IF('Données projet'!$A$114&gt;35,BY111+BX112-CG111,IF(A112&lt;'Données projet'!$A$114,$BV$205^A112,IF(A112='Données projet'!$A$114,'Données projet'!$B$114,BY111+BX112-CG111)))</f>
        <v>300.59999999999962</v>
      </c>
      <c r="BZ112" s="14">
        <f>BY112*VLOOKUP('Données projet'!$B$12,Paramètres!$A$1:$I$89,3,0)*VLOOKUP('Données projet'!$B$12,Paramètres!$A$1:$I$89,5,0)</f>
        <v>271.98287999999962</v>
      </c>
      <c r="CA112" s="14">
        <f t="shared" si="93"/>
        <v>65.269907092018684</v>
      </c>
      <c r="CB112" s="22">
        <f t="shared" si="64"/>
        <v>587.38193751859842</v>
      </c>
      <c r="CC112" s="60">
        <f t="shared" si="65"/>
        <v>880.71527085193179</v>
      </c>
      <c r="CD112" s="60">
        <f ca="1">AVERAGE(OFFSET($CC$3,0,0,'Données projet'!$E$12+1,1))-AVERAGE(OFFSET($H$3,0,0,'Données projet'!$E$12+1,1))</f>
        <v>428.8489304403459</v>
      </c>
      <c r="CE112" s="60">
        <f t="shared" si="94"/>
        <v>247.01165577562966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>
        <f>VLOOKUP(A112,'Données projet'!$A$139:$I$159,2,0)</f>
        <v>413.2</v>
      </c>
      <c r="CR112" s="13">
        <f>VLOOKUP(A112,'Données projet'!$A$139:$I$159,9,0)</f>
        <v>7.9089743589743575</v>
      </c>
      <c r="CS112" s="13">
        <f t="array" ref="CS112">INDEX(CR:CR,MIN(IF(ISNUMBER(CR112:CR308),ROW(CR112:CR308),"")))</f>
        <v>7.9089743589743575</v>
      </c>
      <c r="CT112" s="13">
        <f>IF('Données projet'!$A$140&gt;35,CT111+CS112-DB111,IF(A112&lt;'Données projet'!$A$140,$CQ$205^A112,IF(A112='Données projet'!$A$140,'Données projet'!$B$140,CT111+CS112-DB111)))</f>
        <v>413.2</v>
      </c>
      <c r="CU112" s="18">
        <f>CT112*VLOOKUP('Données projet'!$B$13,Paramètres!$A$1:$I$89,3,0)*VLOOKUP('Données projet'!$B$13,Paramètres!$A$1:$I$89,5,0)</f>
        <v>193.37759999999997</v>
      </c>
      <c r="CV112" s="14">
        <f t="shared" si="95"/>
        <v>48.285924733018234</v>
      </c>
      <c r="CW112" s="22">
        <f t="shared" si="67"/>
        <v>420.89730557667332</v>
      </c>
      <c r="CX112" s="60">
        <f t="shared" si="68"/>
        <v>714.23063891000663</v>
      </c>
      <c r="CY112" s="60">
        <f ca="1">AVERAGE(OFFSET($CX$3,0,0,'Données projet'!$E$13+1,1))-AVERAGE(OFFSET($H$3,0,0,'Données projet'!$E$13+1,1))</f>
        <v>284.88646502866419</v>
      </c>
      <c r="CZ112" s="60">
        <f t="shared" si="96"/>
        <v>190.4880882944471</v>
      </c>
      <c r="DA112" s="16">
        <f>IF(ISNA(VLOOKUP(A112,'Données projet'!$A$139:$I$159,3,0)),0,VLOOKUP(A112,'Données projet'!$A$139:$I$159,3,0))</f>
        <v>6</v>
      </c>
      <c r="DB112" s="16">
        <f>IF(ISNA(VLOOKUP(A112,'Données projet'!$A$139:$I$159,4,0)),0,VLOOKUP(A112,'Données projet'!$A$139:$I$159,4,0))</f>
        <v>80.653846153846146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4.4000000000000004</v>
      </c>
      <c r="DO112" s="13">
        <f>IF('Données projet'!$A$166&gt;35,DO111+DN112-DW111,IF(A112&lt;'Données projet'!$A$166,$DL$205^A112,IF(A112='Données projet'!$A$166,'Données projet'!$B$166,DO111+DN112-DW111)))</f>
        <v>300.59999999999962</v>
      </c>
      <c r="DP112" s="18">
        <f>DO112*VLOOKUP('Données projet'!$B$14,Paramètres!$A$1:$I$89,3,0)*VLOOKUP('Données projet'!$B$14,Paramètres!$A$1:$I$89,5,0)</f>
        <v>323.56583999999958</v>
      </c>
      <c r="DQ112" s="14">
        <f t="shared" si="97"/>
        <v>76.094816829044248</v>
      </c>
      <c r="DR112" s="22">
        <f t="shared" si="70"/>
        <v>696.07564397725127</v>
      </c>
      <c r="DS112" s="60">
        <f t="shared" si="71"/>
        <v>989.40897731058453</v>
      </c>
      <c r="DT112" s="60">
        <f ca="1">AVERAGE(OFFSET($DS$3,0,0,'Données projet'!$E$14+1,1))-AVERAGE(OFFSET($H$3,0,0,'Données projet'!$E$14+1,1))</f>
        <v>502.07782026233912</v>
      </c>
      <c r="DU112" s="60">
        <f t="shared" si="98"/>
        <v>285.83623046025156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-1.7053025658242404E-13</v>
      </c>
      <c r="EK112" s="18">
        <f>EJ112*VLOOKUP('Données projet'!$B$15,Paramètres!$A$1:$I$89,3,0)*VLOOKUP('Données projet'!$B$15,Paramètres!$A$1:$I$89,5,0)</f>
        <v>-1.4897523215040567E-13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339.58437495284466</v>
      </c>
      <c r="EP112" s="60">
        <f t="shared" si="100"/>
        <v>371.26234252426531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4.4000000000000004</v>
      </c>
      <c r="FE112" s="13">
        <f>IF('Données projet'!$A$218&gt;35,FE111+FD112-FM111,IF(A112&lt;'Données projet'!$A$218,$FB$205^A112,IF(A112='Données projet'!$A$218,'Données projet'!$B$218,FE111+FD112-FM111)))</f>
        <v>300.59999999999962</v>
      </c>
      <c r="FF112" s="18">
        <f>FE112*VLOOKUP('Données projet'!$B$16,Paramètres!$A$1:$I$89,3,0)*VLOOKUP('Données projet'!$B$16,Paramètres!$A$1:$I$89,5,0)</f>
        <v>290.74031999999966</v>
      </c>
      <c r="FG112" s="14">
        <f t="shared" si="101"/>
        <v>69.231751058085507</v>
      </c>
      <c r="FH112" s="22">
        <f t="shared" si="76"/>
        <v>626.95135709283159</v>
      </c>
      <c r="FI112" s="60">
        <f t="shared" si="77"/>
        <v>920.28469042616484</v>
      </c>
      <c r="FJ112" s="60">
        <f ca="1">AVERAGE(OFFSET($FI$3,0,0,'Données projet'!$E$16+1,1))-AVERAGE(OFFSET($H$3,0,0,'Données projet'!$E$16+1,1))</f>
        <v>455.50822833641354</v>
      </c>
      <c r="FK112" s="60">
        <f t="shared" si="102"/>
        <v>261.14722581688039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309.26999999999958</v>
      </c>
      <c r="P113" s="14">
        <f t="shared" si="87"/>
        <v>73.116356204710968</v>
      </c>
      <c r="Q113" s="22">
        <f t="shared" si="107"/>
        <v>665.98957038987078</v>
      </c>
      <c r="R113" s="60">
        <f t="shared" si="55"/>
        <v>959.32290372320404</v>
      </c>
      <c r="S113" s="60">
        <f ca="1">AVERAGE(OFFSET($R$3,0,0,'Données projet'!$E$9+1,1))-AVERAGE(OFFSET($H$3,0,0,'Données projet'!$E$9+1,1))</f>
        <v>475.47920969424894</v>
      </c>
      <c r="T113" s="60">
        <f t="shared" si="88"/>
        <v>271.73544012419364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-2.8421709430404007E-13</v>
      </c>
      <c r="AJ113" s="14">
        <f>AI113*VLOOKUP('Données projet'!$B$10,Paramètres!$A$1:$I$89,3,0)*VLOOKUP('Données projet'!$B$10,Paramètres!$A$1:$I$89,5,0)</f>
        <v>-1.69961822393816E-13</v>
      </c>
      <c r="AK113" s="14" t="e">
        <f t="shared" si="89"/>
        <v>#NUM!</v>
      </c>
      <c r="AL113" s="22" t="e">
        <f t="shared" si="58"/>
        <v>#NUM!</v>
      </c>
      <c r="AM113" s="60" t="e">
        <f t="shared" si="59"/>
        <v>#NUM!</v>
      </c>
      <c r="AN113" s="60">
        <f ca="1">AVERAGE(OFFSET($AM$3,0,0,'Données projet'!$E$10+1,1))-AVERAGE(OFFSET($H$3,0,0,'Données projet'!$E$10+1,1))</f>
        <v>289.24721145176682</v>
      </c>
      <c r="AO113" s="60">
        <f t="shared" si="90"/>
        <v>229.06617320689003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0.24671419374221212</v>
      </c>
      <c r="AW113" s="23">
        <f>EXP(-LN(2)/2)*AW112+(1-EXP(-LN(2)/2))/(LN(2)/2)*AQ113*AT113*VLOOKUP('Données projet'!$B$10,Paramètres!$A$1:$I$89,3,0)*0.475*44/12</f>
        <v>4.0322469082096554E-12</v>
      </c>
      <c r="AX113" s="23">
        <f t="shared" si="60"/>
        <v>0.24671419374624437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5.6843418860808015E-14</v>
      </c>
      <c r="BE113" s="14">
        <f>BD113*VLOOKUP('Données projet'!$B$11,Paramètres!$A$1:$I$89,3,0)*VLOOKUP('Données projet'!$B$11,Paramètres!$A$1:$I$89,5,0)</f>
        <v>3.3992364478763198E-14</v>
      </c>
      <c r="BF113" s="14">
        <f t="shared" si="91"/>
        <v>5.790027782444094E-13</v>
      </c>
      <c r="BG113" s="22">
        <f t="shared" si="61"/>
        <v>1.0676332069095257E-12</v>
      </c>
      <c r="BH113" s="60">
        <f t="shared" si="62"/>
        <v>293.33333333333439</v>
      </c>
      <c r="BI113" s="60">
        <f ca="1">AVERAGE(OFFSET($BH$3,0,0,'Données projet'!$E$11+1,1))-AVERAGE(OFFSET($H$3,0,0,'Données projet'!$E$11+1,1))</f>
        <v>287.91374663515506</v>
      </c>
      <c r="BJ113" s="60">
        <f t="shared" si="92"/>
        <v>217.76240797006147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305</v>
      </c>
      <c r="BW113" s="13">
        <f>VLOOKUP(A113,'Données projet'!$A$113:$I$133,9,0)</f>
        <v>4.4000000000000004</v>
      </c>
      <c r="BX113" s="13">
        <f t="array" ref="BX113">INDEX(BW:BW,MIN(IF(ISNUMBER(BW113:BW309),ROW(BW113:BW309),"")))</f>
        <v>4.4000000000000004</v>
      </c>
      <c r="BY113" s="13">
        <f>IF('Données projet'!$A$114&gt;35,BY112+BX113-CG112,IF(A113&lt;'Données projet'!$A$114,$BV$205^A113,IF(A113='Données projet'!$A$114,'Données projet'!$B$114,BY112+BX113-CG112)))</f>
        <v>304.9999999999996</v>
      </c>
      <c r="BZ113" s="14">
        <f>BY113*VLOOKUP('Données projet'!$B$12,Paramètres!$A$1:$I$89,3,0)*VLOOKUP('Données projet'!$B$12,Paramètres!$A$1:$I$89,5,0)</f>
        <v>275.9639999999996</v>
      </c>
      <c r="CA113" s="14">
        <f t="shared" si="93"/>
        <v>66.113366665488797</v>
      </c>
      <c r="CB113" s="22">
        <f t="shared" si="64"/>
        <v>595.7847469423923</v>
      </c>
      <c r="CC113" s="60">
        <f t="shared" si="65"/>
        <v>889.11808027572556</v>
      </c>
      <c r="CD113" s="60">
        <f ca="1">AVERAGE(OFFSET($CC$3,0,0,'Données projet'!$E$12+1,1))-AVERAGE(OFFSET($H$3,0,0,'Données projet'!$E$12+1,1))</f>
        <v>428.8489304403459</v>
      </c>
      <c r="CE113" s="60">
        <f t="shared" si="94"/>
        <v>247.01165577562966</v>
      </c>
      <c r="CF113" s="16">
        <f>IF(ISNA(VLOOKUP(A113,'Données projet'!$A$113:$I$133,3,0)),0,VLOOKUP(A113,'Données projet'!$A$113:$I$133,3,0))</f>
        <v>9</v>
      </c>
      <c r="CG113" s="16">
        <f>IF(ISNA(VLOOKUP(A113,'Données projet'!$A$113:$I$133,4,0)),0,VLOOKUP(A113,'Données projet'!$A$113:$I$133,4,0))</f>
        <v>39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7.0935897435897362</v>
      </c>
      <c r="CT113" s="13">
        <f>IF('Données projet'!$A$140&gt;35,CT112+CS113-DB112,IF(A113&lt;'Données projet'!$A$140,$CQ$205^A113,IF(A113='Données projet'!$A$140,'Données projet'!$B$140,CT112+CS113-DB112)))</f>
        <v>339.6397435897436</v>
      </c>
      <c r="CU113" s="18">
        <f>CT113*VLOOKUP('Données projet'!$B$13,Paramètres!$A$1:$I$89,3,0)*VLOOKUP('Données projet'!$B$13,Paramètres!$A$1:$I$89,5,0)</f>
        <v>158.95140000000001</v>
      </c>
      <c r="CV113" s="14">
        <f t="shared" si="95"/>
        <v>40.605910315547177</v>
      </c>
      <c r="CW113" s="22">
        <f t="shared" si="67"/>
        <v>347.56231546624463</v>
      </c>
      <c r="CX113" s="60">
        <f t="shared" si="68"/>
        <v>640.89564879957788</v>
      </c>
      <c r="CY113" s="60">
        <f ca="1">AVERAGE(OFFSET($CX$3,0,0,'Données projet'!$E$13+1,1))-AVERAGE(OFFSET($H$3,0,0,'Données projet'!$E$13+1,1))</f>
        <v>284.88646502866419</v>
      </c>
      <c r="CZ113" s="60">
        <f t="shared" si="96"/>
        <v>190.4880882944471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305</v>
      </c>
      <c r="DM113" s="13">
        <f>VLOOKUP(A113,'Données projet'!$A$165:$I$185,9,0)</f>
        <v>4.4000000000000004</v>
      </c>
      <c r="DN113" s="13">
        <f t="array" ref="DN113">INDEX(DM:DM,MIN(IF(ISNUMBER(DM113:DM309),ROW(DM113:DM309),"")))</f>
        <v>4.4000000000000004</v>
      </c>
      <c r="DO113" s="13">
        <f>IF('Données projet'!$A$166&gt;35,DO112+DN113-DW112,IF(A113&lt;'Données projet'!$A$166,$DL$205^A113,IF(A113='Données projet'!$A$166,'Données projet'!$B$166,DO112+DN113-DW112)))</f>
        <v>304.9999999999996</v>
      </c>
      <c r="DP113" s="18">
        <f>DO113*VLOOKUP('Données projet'!$B$14,Paramètres!$A$1:$I$89,3,0)*VLOOKUP('Données projet'!$B$14,Paramètres!$A$1:$I$89,5,0)</f>
        <v>328.30199999999957</v>
      </c>
      <c r="DQ113" s="14">
        <f t="shared" si="97"/>
        <v>77.078162824242781</v>
      </c>
      <c r="DR113" s="22">
        <f t="shared" si="70"/>
        <v>706.03711691888873</v>
      </c>
      <c r="DS113" s="60">
        <f t="shared" si="71"/>
        <v>999.3704502522221</v>
      </c>
      <c r="DT113" s="60">
        <f ca="1">AVERAGE(OFFSET($DS$3,0,0,'Données projet'!$E$14+1,1))-AVERAGE(OFFSET($H$3,0,0,'Données projet'!$E$14+1,1))</f>
        <v>502.07782026233912</v>
      </c>
      <c r="DU113" s="60">
        <f t="shared" si="98"/>
        <v>285.83623046025156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39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-1.7053025658242404E-13</v>
      </c>
      <c r="EK113" s="18">
        <f>EJ113*VLOOKUP('Données projet'!$B$15,Paramètres!$A$1:$I$89,3,0)*VLOOKUP('Données projet'!$B$15,Paramètres!$A$1:$I$89,5,0)</f>
        <v>-1.4897523215040567E-13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339.58437495284466</v>
      </c>
      <c r="EP113" s="60">
        <f t="shared" si="100"/>
        <v>371.26234252426531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305</v>
      </c>
      <c r="FC113" s="13">
        <f>VLOOKUP(A113,'Données projet'!$A$217:$I$237,9,0)</f>
        <v>4.4000000000000004</v>
      </c>
      <c r="FD113" s="13">
        <f t="array" ref="FD113">INDEX(FC:FC,MIN(IF(ISNUMBER(FC113:FC309),ROW(FC113:FC309),"")))</f>
        <v>4.4000000000000004</v>
      </c>
      <c r="FE113" s="13">
        <f>IF('Données projet'!$A$218&gt;35,FE112+FD113-FM112,IF(A113&lt;'Données projet'!$A$218,$FB$205^A113,IF(A113='Données projet'!$A$218,'Données projet'!$B$218,FE112+FD113-FM112)))</f>
        <v>304.9999999999996</v>
      </c>
      <c r="FF113" s="18">
        <f>FE113*VLOOKUP('Données projet'!$B$16,Paramètres!$A$1:$I$89,3,0)*VLOOKUP('Données projet'!$B$16,Paramètres!$A$1:$I$89,5,0)</f>
        <v>294.99599999999958</v>
      </c>
      <c r="FG113" s="14">
        <f t="shared" si="101"/>
        <v>70.126408118585317</v>
      </c>
      <c r="FH113" s="22">
        <f t="shared" si="76"/>
        <v>635.92152747320199</v>
      </c>
      <c r="FI113" s="60">
        <f t="shared" si="77"/>
        <v>929.25486080653536</v>
      </c>
      <c r="FJ113" s="60">
        <f ca="1">AVERAGE(OFFSET($FI$3,0,0,'Données projet'!$E$16+1,1))-AVERAGE(OFFSET($H$3,0,0,'Données projet'!$E$16+1,1))</f>
        <v>455.50822833641354</v>
      </c>
      <c r="FK113" s="60">
        <f t="shared" si="102"/>
        <v>261.14722581688039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39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273.47579999999959</v>
      </c>
      <c r="P114" s="14">
        <f t="shared" si="87"/>
        <v>65.586371730977532</v>
      </c>
      <c r="Q114" s="22">
        <f t="shared" si="107"/>
        <v>590.53328243145177</v>
      </c>
      <c r="R114" s="60">
        <f t="shared" si="55"/>
        <v>883.86661576478514</v>
      </c>
      <c r="S114" s="60">
        <f ca="1">AVERAGE(OFFSET($R$3,0,0,'Données projet'!$E$9+1,1))-AVERAGE(OFFSET($H$3,0,0,'Données projet'!$E$9+1,1))</f>
        <v>475.47920969424894</v>
      </c>
      <c r="T114" s="60">
        <f t="shared" si="88"/>
        <v>271.73544012419364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-2.8421709430404007E-13</v>
      </c>
      <c r="AJ114" s="14">
        <f>AI114*VLOOKUP('Données projet'!$B$10,Paramètres!$A$1:$I$89,3,0)*VLOOKUP('Données projet'!$B$10,Paramètres!$A$1:$I$89,5,0)</f>
        <v>-1.69961822393816E-13</v>
      </c>
      <c r="AK114" s="14" t="e">
        <f t="shared" si="89"/>
        <v>#NUM!</v>
      </c>
      <c r="AL114" s="22" t="e">
        <f t="shared" si="58"/>
        <v>#NUM!</v>
      </c>
      <c r="AM114" s="60" t="e">
        <f t="shared" si="59"/>
        <v>#NUM!</v>
      </c>
      <c r="AN114" s="60">
        <f ca="1">AVERAGE(OFFSET($AM$3,0,0,'Données projet'!$E$10+1,1))-AVERAGE(OFFSET($H$3,0,0,'Données projet'!$E$10+1,1))</f>
        <v>289.24721145176682</v>
      </c>
      <c r="AO114" s="60">
        <f t="shared" si="90"/>
        <v>229.06617320689003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0.23996778114019576</v>
      </c>
      <c r="AW114" s="23">
        <f>EXP(-LN(2)/2)*AW113+(1-EXP(-LN(2)/2))/(LN(2)/2)*AQ114*AT114*VLOOKUP('Données projet'!$B$10,Paramètres!$A$1:$I$89,3,0)*0.475*44/12</f>
        <v>2.8512291322135376E-12</v>
      </c>
      <c r="AX114" s="23">
        <f t="shared" si="60"/>
        <v>0.23996778114304698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5.6843418860808015E-14</v>
      </c>
      <c r="BE114" s="14">
        <f>BD114*VLOOKUP('Données projet'!$B$11,Paramètres!$A$1:$I$89,3,0)*VLOOKUP('Données projet'!$B$11,Paramètres!$A$1:$I$89,5,0)</f>
        <v>3.3992364478763198E-14</v>
      </c>
      <c r="BF114" s="14">
        <f t="shared" si="91"/>
        <v>5.790027782444094E-13</v>
      </c>
      <c r="BG114" s="22">
        <f t="shared" si="61"/>
        <v>1.0676332069095257E-12</v>
      </c>
      <c r="BH114" s="60">
        <f t="shared" si="62"/>
        <v>293.33333333333439</v>
      </c>
      <c r="BI114" s="60">
        <f ca="1">AVERAGE(OFFSET($BH$3,0,0,'Données projet'!$E$11+1,1))-AVERAGE(OFFSET($H$3,0,0,'Données projet'!$E$11+1,1))</f>
        <v>287.91374663515506</v>
      </c>
      <c r="BJ114" s="60">
        <f t="shared" si="92"/>
        <v>217.76240797006147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3.7</v>
      </c>
      <c r="BY114" s="13">
        <f>IF('Données projet'!$A$114&gt;35,BY113+BX114-CG113,IF(A114&lt;'Données projet'!$A$114,$BV$205^A114,IF(A114='Données projet'!$A$114,'Données projet'!$B$114,BY113+BX114-CG113)))</f>
        <v>269.69999999999959</v>
      </c>
      <c r="BZ114" s="14">
        <f>BY114*VLOOKUP('Données projet'!$B$12,Paramètres!$A$1:$I$89,3,0)*VLOOKUP('Données projet'!$B$12,Paramètres!$A$1:$I$89,5,0)</f>
        <v>244.02455999999964</v>
      </c>
      <c r="CA114" s="14">
        <f t="shared" si="93"/>
        <v>59.304594314969229</v>
      </c>
      <c r="CB114" s="22">
        <f t="shared" si="64"/>
        <v>528.29827709857079</v>
      </c>
      <c r="CC114" s="60">
        <f t="shared" si="65"/>
        <v>821.63161043190416</v>
      </c>
      <c r="CD114" s="60">
        <f ca="1">AVERAGE(OFFSET($CC$3,0,0,'Données projet'!$E$12+1,1))-AVERAGE(OFFSET($H$3,0,0,'Données projet'!$E$12+1,1))</f>
        <v>428.8489304403459</v>
      </c>
      <c r="CE114" s="60">
        <f t="shared" si="94"/>
        <v>247.01165577562966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7.0935897435897362</v>
      </c>
      <c r="CT114" s="13">
        <f>IF('Données projet'!$A$140&gt;35,CT113+CS114-DB113,IF(A114&lt;'Données projet'!$A$140,$CQ$205^A114,IF(A114='Données projet'!$A$140,'Données projet'!$B$140,CT113+CS114-DB113)))</f>
        <v>346.73333333333335</v>
      </c>
      <c r="CU114" s="18">
        <f>CT114*VLOOKUP('Données projet'!$B$13,Paramètres!$A$1:$I$89,3,0)*VLOOKUP('Données projet'!$B$13,Paramètres!$A$1:$I$89,5,0)</f>
        <v>162.27119999999999</v>
      </c>
      <c r="CV114" s="14">
        <f t="shared" si="95"/>
        <v>41.354369909446504</v>
      </c>
      <c r="CW114" s="22">
        <f t="shared" si="67"/>
        <v>354.64786759228599</v>
      </c>
      <c r="CX114" s="60">
        <f t="shared" si="68"/>
        <v>647.98120092561931</v>
      </c>
      <c r="CY114" s="60">
        <f ca="1">AVERAGE(OFFSET($CX$3,0,0,'Données projet'!$E$13+1,1))-AVERAGE(OFFSET($H$3,0,0,'Données projet'!$E$13+1,1))</f>
        <v>284.88646502866419</v>
      </c>
      <c r="CZ114" s="60">
        <f t="shared" si="96"/>
        <v>190.4880882944471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3.7</v>
      </c>
      <c r="DO114" s="13">
        <f>IF('Données projet'!$A$166&gt;35,DO113+DN114-DW113,IF(A114&lt;'Données projet'!$A$166,$DL$205^A114,IF(A114='Données projet'!$A$166,'Données projet'!$B$166,DO113+DN114-DW113)))</f>
        <v>269.69999999999959</v>
      </c>
      <c r="DP114" s="18">
        <f>DO114*VLOOKUP('Données projet'!$B$14,Paramètres!$A$1:$I$89,3,0)*VLOOKUP('Données projet'!$B$14,Paramètres!$A$1:$I$89,5,0)</f>
        <v>290.30507999999958</v>
      </c>
      <c r="DQ114" s="14">
        <f t="shared" si="97"/>
        <v>69.140166465323375</v>
      </c>
      <c r="DR114" s="22">
        <f t="shared" si="70"/>
        <v>626.03380426043748</v>
      </c>
      <c r="DS114" s="60">
        <f t="shared" si="71"/>
        <v>919.36713759377085</v>
      </c>
      <c r="DT114" s="60">
        <f ca="1">AVERAGE(OFFSET($DS$3,0,0,'Données projet'!$E$14+1,1))-AVERAGE(OFFSET($H$3,0,0,'Données projet'!$E$14+1,1))</f>
        <v>502.07782026233912</v>
      </c>
      <c r="DU114" s="60">
        <f t="shared" si="98"/>
        <v>285.83623046025156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-1.7053025658242404E-13</v>
      </c>
      <c r="EK114" s="18">
        <f>EJ114*VLOOKUP('Données projet'!$B$15,Paramètres!$A$1:$I$89,3,0)*VLOOKUP('Données projet'!$B$15,Paramètres!$A$1:$I$89,5,0)</f>
        <v>-1.4897523215040567E-13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339.58437495284466</v>
      </c>
      <c r="EP114" s="60">
        <f t="shared" si="100"/>
        <v>371.26234252426531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3.7</v>
      </c>
      <c r="FE114" s="13">
        <f>IF('Données projet'!$A$218&gt;35,FE113+FD114-FM113,IF(A114&lt;'Données projet'!$A$218,$FB$205^A114,IF(A114='Données projet'!$A$218,'Données projet'!$B$218,FE113+FD114-FM113)))</f>
        <v>269.69999999999959</v>
      </c>
      <c r="FF114" s="18">
        <f>FE114*VLOOKUP('Données projet'!$B$16,Paramètres!$A$1:$I$89,3,0)*VLOOKUP('Données projet'!$B$16,Paramètres!$A$1:$I$89,5,0)</f>
        <v>260.85383999999959</v>
      </c>
      <c r="FG114" s="14">
        <f t="shared" si="101"/>
        <v>62.904347395903649</v>
      </c>
      <c r="FH114" s="22">
        <f t="shared" si="76"/>
        <v>563.87884304786473</v>
      </c>
      <c r="FI114" s="60">
        <f t="shared" si="77"/>
        <v>857.21217638119811</v>
      </c>
      <c r="FJ114" s="60">
        <f ca="1">AVERAGE(OFFSET($FI$3,0,0,'Données projet'!$E$16+1,1))-AVERAGE(OFFSET($H$3,0,0,'Données projet'!$E$16+1,1))</f>
        <v>455.50822833641354</v>
      </c>
      <c r="FK114" s="60">
        <f t="shared" si="102"/>
        <v>261.14722581688039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277.2275999999996</v>
      </c>
      <c r="P115" s="14">
        <f t="shared" si="87"/>
        <v>66.380782187895392</v>
      </c>
      <c r="Q115" s="22">
        <f t="shared" si="107"/>
        <v>598.45126564391705</v>
      </c>
      <c r="R115" s="60">
        <f t="shared" si="55"/>
        <v>891.78459897725043</v>
      </c>
      <c r="S115" s="60">
        <f ca="1">AVERAGE(OFFSET($R$3,0,0,'Données projet'!$E$9+1,1))-AVERAGE(OFFSET($H$3,0,0,'Données projet'!$E$9+1,1))</f>
        <v>475.47920969424894</v>
      </c>
      <c r="T115" s="60">
        <f t="shared" si="88"/>
        <v>271.73544012419364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-2.8421709430404007E-13</v>
      </c>
      <c r="AJ115" s="14">
        <f>AI115*VLOOKUP('Données projet'!$B$10,Paramètres!$A$1:$I$89,3,0)*VLOOKUP('Données projet'!$B$10,Paramètres!$A$1:$I$89,5,0)</f>
        <v>-1.69961822393816E-13</v>
      </c>
      <c r="AK115" s="14" t="e">
        <f t="shared" si="89"/>
        <v>#NUM!</v>
      </c>
      <c r="AL115" s="22" t="e">
        <f t="shared" si="58"/>
        <v>#NUM!</v>
      </c>
      <c r="AM115" s="60" t="e">
        <f t="shared" si="59"/>
        <v>#NUM!</v>
      </c>
      <c r="AN115" s="60">
        <f ca="1">AVERAGE(OFFSET($AM$3,0,0,'Données projet'!$E$10+1,1))-AVERAGE(OFFSET($H$3,0,0,'Données projet'!$E$10+1,1))</f>
        <v>289.24721145176682</v>
      </c>
      <c r="AO115" s="60">
        <f t="shared" si="90"/>
        <v>229.06617320689003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0.23340584954555996</v>
      </c>
      <c r="AW115" s="23">
        <f>EXP(-LN(2)/2)*AW114+(1-EXP(-LN(2)/2))/(LN(2)/2)*AQ115*AT115*VLOOKUP('Données projet'!$B$10,Paramètres!$A$1:$I$89,3,0)*0.475*44/12</f>
        <v>2.0161234541048277E-12</v>
      </c>
      <c r="AX115" s="23">
        <f t="shared" si="60"/>
        <v>0.23340584954757609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5.6843418860808015E-14</v>
      </c>
      <c r="BE115" s="14">
        <f>BD115*VLOOKUP('Données projet'!$B$11,Paramètres!$A$1:$I$89,3,0)*VLOOKUP('Données projet'!$B$11,Paramètres!$A$1:$I$89,5,0)</f>
        <v>3.3992364478763198E-14</v>
      </c>
      <c r="BF115" s="14">
        <f t="shared" si="91"/>
        <v>5.790027782444094E-13</v>
      </c>
      <c r="BG115" s="22">
        <f t="shared" si="61"/>
        <v>1.0676332069095257E-12</v>
      </c>
      <c r="BH115" s="60">
        <f t="shared" si="62"/>
        <v>293.33333333333439</v>
      </c>
      <c r="BI115" s="60">
        <f ca="1">AVERAGE(OFFSET($BH$3,0,0,'Données projet'!$E$11+1,1))-AVERAGE(OFFSET($H$3,0,0,'Données projet'!$E$11+1,1))</f>
        <v>287.91374663515506</v>
      </c>
      <c r="BJ115" s="60">
        <f t="shared" si="92"/>
        <v>217.76240797006147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3.7</v>
      </c>
      <c r="BY115" s="13">
        <f>IF('Données projet'!$A$114&gt;35,BY114+BX115-CG114,IF(A115&lt;'Données projet'!$A$114,$BV$205^A115,IF(A115='Données projet'!$A$114,'Données projet'!$B$114,BY114+BX115-CG114)))</f>
        <v>273.39999999999958</v>
      </c>
      <c r="BZ115" s="14">
        <f>BY115*VLOOKUP('Données projet'!$B$12,Paramètres!$A$1:$I$89,3,0)*VLOOKUP('Données projet'!$B$12,Paramètres!$A$1:$I$89,5,0)</f>
        <v>247.3723199999996</v>
      </c>
      <c r="CA115" s="14">
        <f t="shared" si="93"/>
        <v>60.022917171130942</v>
      </c>
      <c r="CB115" s="22">
        <f t="shared" si="64"/>
        <v>535.38003807305233</v>
      </c>
      <c r="CC115" s="60">
        <f t="shared" si="65"/>
        <v>828.7133714063857</v>
      </c>
      <c r="CD115" s="60">
        <f ca="1">AVERAGE(OFFSET($CC$3,0,0,'Données projet'!$E$12+1,1))-AVERAGE(OFFSET($H$3,0,0,'Données projet'!$E$12+1,1))</f>
        <v>428.8489304403459</v>
      </c>
      <c r="CE115" s="60">
        <f t="shared" si="94"/>
        <v>247.01165577562966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7.0935897435897362</v>
      </c>
      <c r="CT115" s="13">
        <f>IF('Données projet'!$A$140&gt;35,CT114+CS115-DB114,IF(A115&lt;'Données projet'!$A$140,$CQ$205^A115,IF(A115='Données projet'!$A$140,'Données projet'!$B$140,CT114+CS115-DB114)))</f>
        <v>353.82692307692309</v>
      </c>
      <c r="CU115" s="18">
        <f>CT115*VLOOKUP('Données projet'!$B$13,Paramètres!$A$1:$I$89,3,0)*VLOOKUP('Données projet'!$B$13,Paramètres!$A$1:$I$89,5,0)</f>
        <v>165.59100000000001</v>
      </c>
      <c r="CV115" s="14">
        <f t="shared" si="95"/>
        <v>42.101049147412809</v>
      </c>
      <c r="CW115" s="22">
        <f t="shared" si="67"/>
        <v>361.73031893174402</v>
      </c>
      <c r="CX115" s="60">
        <f t="shared" si="68"/>
        <v>655.06365226507728</v>
      </c>
      <c r="CY115" s="60">
        <f ca="1">AVERAGE(OFFSET($CX$3,0,0,'Données projet'!$E$13+1,1))-AVERAGE(OFFSET($H$3,0,0,'Données projet'!$E$13+1,1))</f>
        <v>284.88646502866419</v>
      </c>
      <c r="CZ115" s="60">
        <f t="shared" si="96"/>
        <v>190.4880882944471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3.7</v>
      </c>
      <c r="DO115" s="13">
        <f>IF('Données projet'!$A$166&gt;35,DO114+DN115-DW114,IF(A115&lt;'Données projet'!$A$166,$DL$205^A115,IF(A115='Données projet'!$A$166,'Données projet'!$B$166,DO114+DN115-DW114)))</f>
        <v>273.39999999999958</v>
      </c>
      <c r="DP115" s="18">
        <f>DO115*VLOOKUP('Données projet'!$B$14,Paramètres!$A$1:$I$89,3,0)*VLOOKUP('Données projet'!$B$14,Paramètres!$A$1:$I$89,5,0)</f>
        <v>294.28775999999954</v>
      </c>
      <c r="DQ115" s="14">
        <f t="shared" si="97"/>
        <v>69.977622018717668</v>
      </c>
      <c r="DR115" s="22">
        <f t="shared" si="70"/>
        <v>634.42887368259915</v>
      </c>
      <c r="DS115" s="60">
        <f t="shared" si="71"/>
        <v>927.76220701593252</v>
      </c>
      <c r="DT115" s="60">
        <f ca="1">AVERAGE(OFFSET($DS$3,0,0,'Données projet'!$E$14+1,1))-AVERAGE(OFFSET($H$3,0,0,'Données projet'!$E$14+1,1))</f>
        <v>502.07782026233912</v>
      </c>
      <c r="DU115" s="60">
        <f t="shared" si="98"/>
        <v>285.83623046025156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-1.7053025658242404E-13</v>
      </c>
      <c r="EK115" s="18">
        <f>EJ115*VLOOKUP('Données projet'!$B$15,Paramètres!$A$1:$I$89,3,0)*VLOOKUP('Données projet'!$B$15,Paramètres!$A$1:$I$89,5,0)</f>
        <v>-1.4897523215040567E-13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339.58437495284466</v>
      </c>
      <c r="EP115" s="60">
        <f t="shared" si="100"/>
        <v>371.26234252426531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3.7</v>
      </c>
      <c r="FE115" s="13">
        <f>IF('Données projet'!$A$218&gt;35,FE114+FD115-FM114,IF(A115&lt;'Données projet'!$A$218,$FB$205^A115,IF(A115='Données projet'!$A$218,'Données projet'!$B$218,FE114+FD115-FM114)))</f>
        <v>273.39999999999958</v>
      </c>
      <c r="FF115" s="18">
        <f>FE115*VLOOKUP('Données projet'!$B$16,Paramètres!$A$1:$I$89,3,0)*VLOOKUP('Données projet'!$B$16,Paramètres!$A$1:$I$89,5,0)</f>
        <v>264.4324799999996</v>
      </c>
      <c r="FG115" s="14">
        <f t="shared" si="101"/>
        <v>63.666272015882292</v>
      </c>
      <c r="FH115" s="22">
        <f t="shared" si="76"/>
        <v>571.43865976099426</v>
      </c>
      <c r="FI115" s="60">
        <f t="shared" si="77"/>
        <v>864.77199309432763</v>
      </c>
      <c r="FJ115" s="60">
        <f ca="1">AVERAGE(OFFSET($FI$3,0,0,'Données projet'!$E$16+1,1))-AVERAGE(OFFSET($H$3,0,0,'Données projet'!$E$16+1,1))</f>
        <v>455.50822833641354</v>
      </c>
      <c r="FK115" s="60">
        <f t="shared" si="102"/>
        <v>261.14722581688039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280.9793999999996</v>
      </c>
      <c r="P116" s="14">
        <f t="shared" si="87"/>
        <v>67.173942175199358</v>
      </c>
      <c r="Q116" s="22">
        <f t="shared" si="107"/>
        <v>606.36707095513827</v>
      </c>
      <c r="R116" s="60">
        <f t="shared" si="55"/>
        <v>899.70040428847165</v>
      </c>
      <c r="S116" s="60">
        <f ca="1">AVERAGE(OFFSET($R$3,0,0,'Données projet'!$E$9+1,1))-AVERAGE(OFFSET($H$3,0,0,'Données projet'!$E$9+1,1))</f>
        <v>475.47920969424894</v>
      </c>
      <c r="T116" s="60">
        <f t="shared" si="88"/>
        <v>271.73544012419364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-2.8421709430404007E-13</v>
      </c>
      <c r="AJ116" s="14">
        <f>AI116*VLOOKUP('Données projet'!$B$10,Paramètres!$A$1:$I$89,3,0)*VLOOKUP('Données projet'!$B$10,Paramètres!$A$1:$I$89,5,0)</f>
        <v>-1.69961822393816E-13</v>
      </c>
      <c r="AK116" s="14" t="e">
        <f t="shared" si="89"/>
        <v>#NUM!</v>
      </c>
      <c r="AL116" s="22" t="e">
        <f t="shared" si="58"/>
        <v>#NUM!</v>
      </c>
      <c r="AM116" s="60" t="e">
        <f t="shared" si="59"/>
        <v>#NUM!</v>
      </c>
      <c r="AN116" s="60">
        <f ca="1">AVERAGE(OFFSET($AM$3,0,0,'Données projet'!$E$10+1,1))-AVERAGE(OFFSET($H$3,0,0,'Données projet'!$E$10+1,1))</f>
        <v>289.24721145176682</v>
      </c>
      <c r="AO116" s="60">
        <f t="shared" si="90"/>
        <v>229.06617320689003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0.22702335431545645</v>
      </c>
      <c r="AW116" s="23">
        <f>EXP(-LN(2)/2)*AW115+(1-EXP(-LN(2)/2))/(LN(2)/2)*AQ116*AT116*VLOOKUP('Données projet'!$B$10,Paramètres!$A$1:$I$89,3,0)*0.475*44/12</f>
        <v>1.4256145661067688E-12</v>
      </c>
      <c r="AX116" s="23">
        <f t="shared" si="60"/>
        <v>0.22702335431688206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5.6843418860808015E-14</v>
      </c>
      <c r="BE116" s="14">
        <f>BD116*VLOOKUP('Données projet'!$B$11,Paramètres!$A$1:$I$89,3,0)*VLOOKUP('Données projet'!$B$11,Paramètres!$A$1:$I$89,5,0)</f>
        <v>3.3992364478763198E-14</v>
      </c>
      <c r="BF116" s="14">
        <f t="shared" si="91"/>
        <v>5.790027782444094E-13</v>
      </c>
      <c r="BG116" s="22">
        <f t="shared" si="61"/>
        <v>1.0676332069095257E-12</v>
      </c>
      <c r="BH116" s="60">
        <f t="shared" si="62"/>
        <v>293.33333333333439</v>
      </c>
      <c r="BI116" s="60">
        <f ca="1">AVERAGE(OFFSET($BH$3,0,0,'Données projet'!$E$11+1,1))-AVERAGE(OFFSET($H$3,0,0,'Données projet'!$E$11+1,1))</f>
        <v>287.91374663515506</v>
      </c>
      <c r="BJ116" s="60">
        <f t="shared" si="92"/>
        <v>217.76240797006147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3.7</v>
      </c>
      <c r="BY116" s="13">
        <f>IF('Données projet'!$A$114&gt;35,BY115+BX116-CG115,IF(A116&lt;'Données projet'!$A$114,$BV$205^A116,IF(A116='Données projet'!$A$114,'Données projet'!$B$114,BY115+BX116-CG115)))</f>
        <v>277.09999999999957</v>
      </c>
      <c r="BZ116" s="14">
        <f>BY116*VLOOKUP('Données projet'!$B$12,Paramètres!$A$1:$I$89,3,0)*VLOOKUP('Données projet'!$B$12,Paramètres!$A$1:$I$89,5,0)</f>
        <v>250.7200799999996</v>
      </c>
      <c r="CA116" s="14">
        <f t="shared" si="93"/>
        <v>60.740109326032709</v>
      </c>
      <c r="CB116" s="22">
        <f t="shared" si="64"/>
        <v>542.45982974283959</v>
      </c>
      <c r="CC116" s="60">
        <f t="shared" si="65"/>
        <v>835.79316307617296</v>
      </c>
      <c r="CD116" s="60">
        <f ca="1">AVERAGE(OFFSET($CC$3,0,0,'Données projet'!$E$12+1,1))-AVERAGE(OFFSET($H$3,0,0,'Données projet'!$E$12+1,1))</f>
        <v>428.8489304403459</v>
      </c>
      <c r="CE116" s="60">
        <f t="shared" si="94"/>
        <v>247.01165577562966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7.0935897435897362</v>
      </c>
      <c r="CT116" s="13">
        <f>IF('Données projet'!$A$140&gt;35,CT115+CS116-DB115,IF(A116&lt;'Données projet'!$A$140,$CQ$205^A116,IF(A116='Données projet'!$A$140,'Données projet'!$B$140,CT115+CS116-DB115)))</f>
        <v>360.92051282051284</v>
      </c>
      <c r="CU116" s="18">
        <f>CT116*VLOOKUP('Données projet'!$B$13,Paramètres!$A$1:$I$89,3,0)*VLOOKUP('Données projet'!$B$13,Paramètres!$A$1:$I$89,5,0)</f>
        <v>168.91079999999999</v>
      </c>
      <c r="CV116" s="14">
        <f t="shared" si="95"/>
        <v>42.845987835941031</v>
      </c>
      <c r="CW116" s="22">
        <f t="shared" si="67"/>
        <v>368.80973881426394</v>
      </c>
      <c r="CX116" s="60">
        <f t="shared" si="68"/>
        <v>662.14307214759719</v>
      </c>
      <c r="CY116" s="60">
        <f ca="1">AVERAGE(OFFSET($CX$3,0,0,'Données projet'!$E$13+1,1))-AVERAGE(OFFSET($H$3,0,0,'Données projet'!$E$13+1,1))</f>
        <v>284.88646502866419</v>
      </c>
      <c r="CZ116" s="60">
        <f t="shared" si="96"/>
        <v>190.4880882944471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3.7</v>
      </c>
      <c r="DO116" s="13">
        <f>IF('Données projet'!$A$166&gt;35,DO115+DN116-DW115,IF(A116&lt;'Données projet'!$A$166,$DL$205^A116,IF(A116='Données projet'!$A$166,'Données projet'!$B$166,DO115+DN116-DW115)))</f>
        <v>277.09999999999957</v>
      </c>
      <c r="DP116" s="18">
        <f>DO116*VLOOKUP('Données projet'!$B$14,Paramètres!$A$1:$I$89,3,0)*VLOOKUP('Données projet'!$B$14,Paramètres!$A$1:$I$89,5,0)</f>
        <v>298.27043999999955</v>
      </c>
      <c r="DQ116" s="14">
        <f t="shared" si="97"/>
        <v>70.813759345855914</v>
      </c>
      <c r="DR116" s="22">
        <f t="shared" si="70"/>
        <v>642.82164719403158</v>
      </c>
      <c r="DS116" s="60">
        <f t="shared" si="71"/>
        <v>936.15498052736484</v>
      </c>
      <c r="DT116" s="60">
        <f ca="1">AVERAGE(OFFSET($DS$3,0,0,'Données projet'!$E$14+1,1))-AVERAGE(OFFSET($H$3,0,0,'Données projet'!$E$14+1,1))</f>
        <v>502.07782026233912</v>
      </c>
      <c r="DU116" s="60">
        <f t="shared" si="98"/>
        <v>285.83623046025156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-1.7053025658242404E-13</v>
      </c>
      <c r="EK116" s="18">
        <f>EJ116*VLOOKUP('Données projet'!$B$15,Paramètres!$A$1:$I$89,3,0)*VLOOKUP('Données projet'!$B$15,Paramètres!$A$1:$I$89,5,0)</f>
        <v>-1.4897523215040567E-13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339.58437495284466</v>
      </c>
      <c r="EP116" s="60">
        <f t="shared" si="100"/>
        <v>371.26234252426531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3.7</v>
      </c>
      <c r="FE116" s="13">
        <f>IF('Données projet'!$A$218&gt;35,FE115+FD116-FM115,IF(A116&lt;'Données projet'!$A$218,$FB$205^A116,IF(A116='Données projet'!$A$218,'Données projet'!$B$218,FE115+FD116-FM115)))</f>
        <v>277.09999999999957</v>
      </c>
      <c r="FF116" s="18">
        <f>FE116*VLOOKUP('Données projet'!$B$16,Paramètres!$A$1:$I$89,3,0)*VLOOKUP('Données projet'!$B$16,Paramètres!$A$1:$I$89,5,0)</f>
        <v>268.01111999999961</v>
      </c>
      <c r="FG116" s="14">
        <f t="shared" si="101"/>
        <v>64.426997301716796</v>
      </c>
      <c r="FH116" s="22">
        <f t="shared" si="76"/>
        <v>578.99638763382268</v>
      </c>
      <c r="FI116" s="60">
        <f t="shared" si="77"/>
        <v>872.32972096715594</v>
      </c>
      <c r="FJ116" s="60">
        <f ca="1">AVERAGE(OFFSET($FI$3,0,0,'Données projet'!$E$16+1,1))-AVERAGE(OFFSET($H$3,0,0,'Données projet'!$E$16+1,1))</f>
        <v>455.50822833641354</v>
      </c>
      <c r="FK116" s="60">
        <f t="shared" si="102"/>
        <v>261.14722581688039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284.7311999999996</v>
      </c>
      <c r="P117" s="14">
        <f t="shared" si="87"/>
        <v>67.965870320050882</v>
      </c>
      <c r="Q117" s="22">
        <f t="shared" si="107"/>
        <v>614.28073080742126</v>
      </c>
      <c r="R117" s="60">
        <f t="shared" si="55"/>
        <v>907.61406414075464</v>
      </c>
      <c r="S117" s="60">
        <f ca="1">AVERAGE(OFFSET($R$3,0,0,'Données projet'!$E$9+1,1))-AVERAGE(OFFSET($H$3,0,0,'Données projet'!$E$9+1,1))</f>
        <v>475.47920969424894</v>
      </c>
      <c r="T117" s="60">
        <f t="shared" si="88"/>
        <v>271.73544012419364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-2.8421709430404007E-13</v>
      </c>
      <c r="AJ117" s="14">
        <f>AI117*VLOOKUP('Données projet'!$B$10,Paramètres!$A$1:$I$89,3,0)*VLOOKUP('Données projet'!$B$10,Paramètres!$A$1:$I$89,5,0)</f>
        <v>-1.69961822393816E-13</v>
      </c>
      <c r="AK117" s="14" t="e">
        <f t="shared" si="89"/>
        <v>#NUM!</v>
      </c>
      <c r="AL117" s="22" t="e">
        <f t="shared" si="58"/>
        <v>#NUM!</v>
      </c>
      <c r="AM117" s="60" t="e">
        <f t="shared" si="59"/>
        <v>#NUM!</v>
      </c>
      <c r="AN117" s="60">
        <f ca="1">AVERAGE(OFFSET($AM$3,0,0,'Données projet'!$E$10+1,1))-AVERAGE(OFFSET($H$3,0,0,'Données projet'!$E$10+1,1))</f>
        <v>289.24721145176682</v>
      </c>
      <c r="AO117" s="60">
        <f t="shared" si="90"/>
        <v>229.06617320689003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0.22081538875306095</v>
      </c>
      <c r="AW117" s="23">
        <f>EXP(-LN(2)/2)*AW116+(1-EXP(-LN(2)/2))/(LN(2)/2)*AQ117*AT117*VLOOKUP('Données projet'!$B$10,Paramètres!$A$1:$I$89,3,0)*0.475*44/12</f>
        <v>1.0080617270524139E-12</v>
      </c>
      <c r="AX117" s="23">
        <f t="shared" si="60"/>
        <v>0.220815388754069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5.6843418860808015E-14</v>
      </c>
      <c r="BE117" s="14">
        <f>BD117*VLOOKUP('Données projet'!$B$11,Paramètres!$A$1:$I$89,3,0)*VLOOKUP('Données projet'!$B$11,Paramètres!$A$1:$I$89,5,0)</f>
        <v>3.3992364478763198E-14</v>
      </c>
      <c r="BF117" s="14">
        <f t="shared" si="91"/>
        <v>5.790027782444094E-13</v>
      </c>
      <c r="BG117" s="22">
        <f t="shared" si="61"/>
        <v>1.0676332069095257E-12</v>
      </c>
      <c r="BH117" s="60">
        <f t="shared" si="62"/>
        <v>293.33333333333439</v>
      </c>
      <c r="BI117" s="60">
        <f ca="1">AVERAGE(OFFSET($BH$3,0,0,'Données projet'!$E$11+1,1))-AVERAGE(OFFSET($H$3,0,0,'Données projet'!$E$11+1,1))</f>
        <v>287.91374663515506</v>
      </c>
      <c r="BJ117" s="60">
        <f t="shared" si="92"/>
        <v>217.76240797006147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3.7</v>
      </c>
      <c r="BY117" s="13">
        <f>IF('Données projet'!$A$114&gt;35,BY116+BX117-CG116,IF(A117&lt;'Données projet'!$A$114,$BV$205^A117,IF(A117='Données projet'!$A$114,'Données projet'!$B$114,BY116+BX117-CG116)))</f>
        <v>280.79999999999956</v>
      </c>
      <c r="BZ117" s="14">
        <f>BY117*VLOOKUP('Données projet'!$B$12,Paramètres!$A$1:$I$89,3,0)*VLOOKUP('Données projet'!$B$12,Paramètres!$A$1:$I$89,5,0)</f>
        <v>254.06783999999956</v>
      </c>
      <c r="CA117" s="14">
        <f t="shared" si="93"/>
        <v>61.456187622750669</v>
      </c>
      <c r="CB117" s="22">
        <f t="shared" si="64"/>
        <v>549.53768144295657</v>
      </c>
      <c r="CC117" s="60">
        <f t="shared" si="65"/>
        <v>842.87101477628994</v>
      </c>
      <c r="CD117" s="60">
        <f ca="1">AVERAGE(OFFSET($CC$3,0,0,'Données projet'!$E$12+1,1))-AVERAGE(OFFSET($H$3,0,0,'Données projet'!$E$12+1,1))</f>
        <v>428.8489304403459</v>
      </c>
      <c r="CE117" s="60">
        <f t="shared" si="94"/>
        <v>247.01165577562966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7.0935897435897362</v>
      </c>
      <c r="CT117" s="13">
        <f>IF('Données projet'!$A$140&gt;35,CT116+CS117-DB116,IF(A117&lt;'Données projet'!$A$140,$CQ$205^A117,IF(A117='Données projet'!$A$140,'Données projet'!$B$140,CT116+CS117-DB116)))</f>
        <v>368.01410256410259</v>
      </c>
      <c r="CU117" s="18">
        <f>CT117*VLOOKUP('Données projet'!$B$13,Paramètres!$A$1:$I$89,3,0)*VLOOKUP('Données projet'!$B$13,Paramètres!$A$1:$I$89,5,0)</f>
        <v>172.23060000000001</v>
      </c>
      <c r="CV117" s="14">
        <f t="shared" si="95"/>
        <v>43.58922412730584</v>
      </c>
      <c r="CW117" s="22">
        <f t="shared" si="67"/>
        <v>375.88619368839096</v>
      </c>
      <c r="CX117" s="60">
        <f t="shared" si="68"/>
        <v>669.21952702172428</v>
      </c>
      <c r="CY117" s="60">
        <f ca="1">AVERAGE(OFFSET($CX$3,0,0,'Données projet'!$E$13+1,1))-AVERAGE(OFFSET($H$3,0,0,'Données projet'!$E$13+1,1))</f>
        <v>284.88646502866419</v>
      </c>
      <c r="CZ117" s="60">
        <f t="shared" si="96"/>
        <v>190.4880882944471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3.7</v>
      </c>
      <c r="DO117" s="13">
        <f>IF('Données projet'!$A$166&gt;35,DO116+DN117-DW116,IF(A117&lt;'Données projet'!$A$166,$DL$205^A117,IF(A117='Données projet'!$A$166,'Données projet'!$B$166,DO116+DN117-DW116)))</f>
        <v>280.79999999999956</v>
      </c>
      <c r="DP117" s="18">
        <f>DO117*VLOOKUP('Données projet'!$B$14,Paramètres!$A$1:$I$89,3,0)*VLOOKUP('Données projet'!$B$14,Paramètres!$A$1:$I$89,5,0)</f>
        <v>302.25311999999951</v>
      </c>
      <c r="DQ117" s="14">
        <f t="shared" si="97"/>
        <v>71.648598083211283</v>
      </c>
      <c r="DR117" s="22">
        <f t="shared" si="70"/>
        <v>651.21215899492529</v>
      </c>
      <c r="DS117" s="60">
        <f t="shared" si="71"/>
        <v>944.54549232825866</v>
      </c>
      <c r="DT117" s="60">
        <f ca="1">AVERAGE(OFFSET($DS$3,0,0,'Données projet'!$E$14+1,1))-AVERAGE(OFFSET($H$3,0,0,'Données projet'!$E$14+1,1))</f>
        <v>502.07782026233912</v>
      </c>
      <c r="DU117" s="60">
        <f t="shared" si="98"/>
        <v>285.83623046025156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-1.7053025658242404E-13</v>
      </c>
      <c r="EK117" s="18">
        <f>EJ117*VLOOKUP('Données projet'!$B$15,Paramètres!$A$1:$I$89,3,0)*VLOOKUP('Données projet'!$B$15,Paramètres!$A$1:$I$89,5,0)</f>
        <v>-1.4897523215040567E-13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339.58437495284466</v>
      </c>
      <c r="EP117" s="60">
        <f t="shared" si="100"/>
        <v>371.26234252426531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3.7</v>
      </c>
      <c r="FE117" s="13">
        <f>IF('Données projet'!$A$218&gt;35,FE116+FD117-FM116,IF(A117&lt;'Données projet'!$A$218,$FB$205^A117,IF(A117='Données projet'!$A$218,'Données projet'!$B$218,FE116+FD117-FM116)))</f>
        <v>280.79999999999956</v>
      </c>
      <c r="FF117" s="18">
        <f>FE117*VLOOKUP('Données projet'!$B$16,Paramètres!$A$1:$I$89,3,0)*VLOOKUP('Données projet'!$B$16,Paramètres!$A$1:$I$89,5,0)</f>
        <v>271.58975999999956</v>
      </c>
      <c r="FG117" s="14">
        <f t="shared" si="101"/>
        <v>65.186541118848012</v>
      </c>
      <c r="FH117" s="22">
        <f t="shared" si="76"/>
        <v>586.55205778199286</v>
      </c>
      <c r="FI117" s="60">
        <f t="shared" si="77"/>
        <v>879.88539111532623</v>
      </c>
      <c r="FJ117" s="60">
        <f ca="1">AVERAGE(OFFSET($FI$3,0,0,'Données projet'!$E$16+1,1))-AVERAGE(OFFSET($H$3,0,0,'Données projet'!$E$16+1,1))</f>
        <v>455.50822833641354</v>
      </c>
      <c r="FK117" s="60">
        <f t="shared" si="102"/>
        <v>261.14722581688039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288.48299999999955</v>
      </c>
      <c r="P118" s="14">
        <f t="shared" si="87"/>
        <v>68.756584730508635</v>
      </c>
      <c r="Q118" s="22">
        <f t="shared" si="107"/>
        <v>622.19227673896842</v>
      </c>
      <c r="R118" s="60">
        <f t="shared" si="55"/>
        <v>915.52561007230179</v>
      </c>
      <c r="S118" s="60">
        <f ca="1">AVERAGE(OFFSET($R$3,0,0,'Données projet'!$E$9+1,1))-AVERAGE(OFFSET($H$3,0,0,'Données projet'!$E$9+1,1))</f>
        <v>475.47920969424894</v>
      </c>
      <c r="T118" s="60">
        <f t="shared" si="88"/>
        <v>271.73544012419364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-2.8421709430404007E-13</v>
      </c>
      <c r="AJ118" s="14">
        <f>AI118*VLOOKUP('Données projet'!$B$10,Paramètres!$A$1:$I$89,3,0)*VLOOKUP('Données projet'!$B$10,Paramètres!$A$1:$I$89,5,0)</f>
        <v>-1.69961822393816E-13</v>
      </c>
      <c r="AK118" s="14" t="e">
        <f t="shared" si="89"/>
        <v>#NUM!</v>
      </c>
      <c r="AL118" s="22" t="e">
        <f t="shared" si="58"/>
        <v>#NUM!</v>
      </c>
      <c r="AM118" s="60" t="e">
        <f t="shared" si="59"/>
        <v>#NUM!</v>
      </c>
      <c r="AN118" s="60">
        <f ca="1">AVERAGE(OFFSET($AM$3,0,0,'Données projet'!$E$10+1,1))-AVERAGE(OFFSET($H$3,0,0,'Données projet'!$E$10+1,1))</f>
        <v>289.24721145176682</v>
      </c>
      <c r="AO118" s="60">
        <f t="shared" si="90"/>
        <v>229.06617320689003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0.21477718033543189</v>
      </c>
      <c r="AW118" s="23">
        <f>EXP(-LN(2)/2)*AW117+(1-EXP(-LN(2)/2))/(LN(2)/2)*AQ118*AT118*VLOOKUP('Données projet'!$B$10,Paramètres!$A$1:$I$89,3,0)*0.475*44/12</f>
        <v>7.1280728305338441E-13</v>
      </c>
      <c r="AX118" s="23">
        <f t="shared" si="60"/>
        <v>0.21477718033614471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5.6843418860808015E-14</v>
      </c>
      <c r="BE118" s="14">
        <f>BD118*VLOOKUP('Données projet'!$B$11,Paramètres!$A$1:$I$89,3,0)*VLOOKUP('Données projet'!$B$11,Paramètres!$A$1:$I$89,5,0)</f>
        <v>3.3992364478763198E-14</v>
      </c>
      <c r="BF118" s="14">
        <f t="shared" si="91"/>
        <v>5.790027782444094E-13</v>
      </c>
      <c r="BG118" s="22">
        <f t="shared" si="61"/>
        <v>1.0676332069095257E-12</v>
      </c>
      <c r="BH118" s="60">
        <f t="shared" si="62"/>
        <v>293.33333333333439</v>
      </c>
      <c r="BI118" s="60">
        <f ca="1">AVERAGE(OFFSET($BH$3,0,0,'Données projet'!$E$11+1,1))-AVERAGE(OFFSET($H$3,0,0,'Données projet'!$E$11+1,1))</f>
        <v>287.91374663515506</v>
      </c>
      <c r="BJ118" s="60">
        <f t="shared" si="92"/>
        <v>217.76240797006147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3.7</v>
      </c>
      <c r="BY118" s="13">
        <f>IF('Données projet'!$A$114&gt;35,BY117+BX118-CG117,IF(A118&lt;'Données projet'!$A$114,$BV$205^A118,IF(A118='Données projet'!$A$114,'Données projet'!$B$114,BY117+BX118-CG117)))</f>
        <v>284.49999999999955</v>
      </c>
      <c r="BZ118" s="14">
        <f>BY118*VLOOKUP('Données projet'!$B$12,Paramètres!$A$1:$I$89,3,0)*VLOOKUP('Données projet'!$B$12,Paramètres!$A$1:$I$89,5,0)</f>
        <v>257.41559999999959</v>
      </c>
      <c r="CA118" s="14">
        <f t="shared" si="93"/>
        <v>62.171168434977062</v>
      </c>
      <c r="CB118" s="22">
        <f t="shared" si="64"/>
        <v>556.61362169091774</v>
      </c>
      <c r="CC118" s="60">
        <f t="shared" si="65"/>
        <v>849.94695502425111</v>
      </c>
      <c r="CD118" s="60">
        <f ca="1">AVERAGE(OFFSET($CC$3,0,0,'Données projet'!$E$12+1,1))-AVERAGE(OFFSET($H$3,0,0,'Données projet'!$E$12+1,1))</f>
        <v>428.8489304403459</v>
      </c>
      <c r="CE118" s="60">
        <f t="shared" si="94"/>
        <v>247.01165577562966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375.10769230769228</v>
      </c>
      <c r="CR118" s="13">
        <f>VLOOKUP(A118,'Données projet'!$A$139:$I$159,9,0)</f>
        <v>7.0935897435897362</v>
      </c>
      <c r="CS118" s="13">
        <f t="array" ref="CS118">INDEX(CR:CR,MIN(IF(ISNUMBER(CR118:CR314),ROW(CR118:CR314),"")))</f>
        <v>7.0935897435897362</v>
      </c>
      <c r="CT118" s="13">
        <f>IF('Données projet'!$A$140&gt;35,CT117+CS118-DB117,IF(A118&lt;'Données projet'!$A$140,$CQ$205^A118,IF(A118='Données projet'!$A$140,'Données projet'!$B$140,CT117+CS118-DB117)))</f>
        <v>375.10769230769233</v>
      </c>
      <c r="CU118" s="18">
        <f>CT118*VLOOKUP('Données projet'!$B$13,Paramètres!$A$1:$I$89,3,0)*VLOOKUP('Données projet'!$B$13,Paramètres!$A$1:$I$89,5,0)</f>
        <v>175.55040000000002</v>
      </c>
      <c r="CV118" s="14">
        <f t="shared" si="95"/>
        <v>44.330794618843079</v>
      </c>
      <c r="CW118" s="22">
        <f t="shared" si="67"/>
        <v>382.95974729448511</v>
      </c>
      <c r="CX118" s="60">
        <f t="shared" si="68"/>
        <v>676.29308062781843</v>
      </c>
      <c r="CY118" s="60">
        <f ca="1">AVERAGE(OFFSET($CX$3,0,0,'Données projet'!$E$13+1,1))-AVERAGE(OFFSET($H$3,0,0,'Données projet'!$E$13+1,1))</f>
        <v>284.88646502866419</v>
      </c>
      <c r="CZ118" s="60">
        <f t="shared" si="96"/>
        <v>190.4880882944471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3.7</v>
      </c>
      <c r="DO118" s="13">
        <f>IF('Données projet'!$A$166&gt;35,DO117+DN118-DW117,IF(A118&lt;'Données projet'!$A$166,$DL$205^A118,IF(A118='Données projet'!$A$166,'Données projet'!$B$166,DO117+DN118-DW117)))</f>
        <v>284.49999999999955</v>
      </c>
      <c r="DP118" s="18">
        <f>DO118*VLOOKUP('Données projet'!$B$14,Paramètres!$A$1:$I$89,3,0)*VLOOKUP('Données projet'!$B$14,Paramètres!$A$1:$I$89,5,0)</f>
        <v>306.23579999999947</v>
      </c>
      <c r="DQ118" s="14">
        <f t="shared" si="97"/>
        <v>72.482157320026886</v>
      </c>
      <c r="DR118" s="22">
        <f t="shared" si="70"/>
        <v>659.6004423323792</v>
      </c>
      <c r="DS118" s="60">
        <f t="shared" si="71"/>
        <v>952.93377566571257</v>
      </c>
      <c r="DT118" s="60">
        <f ca="1">AVERAGE(OFFSET($DS$3,0,0,'Données projet'!$E$14+1,1))-AVERAGE(OFFSET($H$3,0,0,'Données projet'!$E$14+1,1))</f>
        <v>502.07782026233912</v>
      </c>
      <c r="DU118" s="60">
        <f t="shared" si="98"/>
        <v>285.83623046025156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-1.7053025658242404E-13</v>
      </c>
      <c r="EK118" s="18">
        <f>EJ118*VLOOKUP('Données projet'!$B$15,Paramètres!$A$1:$I$89,3,0)*VLOOKUP('Données projet'!$B$15,Paramètres!$A$1:$I$89,5,0)</f>
        <v>-1.4897523215040567E-13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339.58437495284466</v>
      </c>
      <c r="EP118" s="60">
        <f t="shared" si="100"/>
        <v>371.26234252426531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3.7</v>
      </c>
      <c r="FE118" s="13">
        <f>IF('Données projet'!$A$218&gt;35,FE117+FD118-FM117,IF(A118&lt;'Données projet'!$A$218,$FB$205^A118,IF(A118='Données projet'!$A$218,'Données projet'!$B$218,FE117+FD118-FM117)))</f>
        <v>284.49999999999955</v>
      </c>
      <c r="FF118" s="18">
        <f>FE118*VLOOKUP('Données projet'!$B$16,Paramètres!$A$1:$I$89,3,0)*VLOOKUP('Données projet'!$B$16,Paramètres!$A$1:$I$89,5,0)</f>
        <v>275.16839999999956</v>
      </c>
      <c r="FG118" s="14">
        <f t="shared" si="101"/>
        <v>65.944920834841554</v>
      </c>
      <c r="FH118" s="22">
        <f t="shared" si="76"/>
        <v>594.10570045401494</v>
      </c>
      <c r="FI118" s="60">
        <f t="shared" si="77"/>
        <v>887.43903378734831</v>
      </c>
      <c r="FJ118" s="60">
        <f ca="1">AVERAGE(OFFSET($FI$3,0,0,'Données projet'!$E$16+1,1))-AVERAGE(OFFSET($H$3,0,0,'Données projet'!$E$16+1,1))</f>
        <v>455.50822833641354</v>
      </c>
      <c r="FK118" s="60">
        <f t="shared" si="102"/>
        <v>261.14722581688039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292.23479999999955</v>
      </c>
      <c r="P119" s="14">
        <f t="shared" si="87"/>
        <v>69.546103016553644</v>
      </c>
      <c r="Q119" s="22">
        <f t="shared" si="107"/>
        <v>630.10173942049676</v>
      </c>
      <c r="R119" s="60">
        <f t="shared" si="55"/>
        <v>923.43507275383013</v>
      </c>
      <c r="S119" s="60">
        <f ca="1">AVERAGE(OFFSET($R$3,0,0,'Données projet'!$E$9+1,1))-AVERAGE(OFFSET($H$3,0,0,'Données projet'!$E$9+1,1))</f>
        <v>475.47920969424894</v>
      </c>
      <c r="T119" s="60">
        <f t="shared" si="88"/>
        <v>271.73544012419364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-2.8421709430404007E-13</v>
      </c>
      <c r="AJ119" s="14">
        <f>AI119*VLOOKUP('Données projet'!$B$10,Paramètres!$A$1:$I$89,3,0)*VLOOKUP('Données projet'!$B$10,Paramètres!$A$1:$I$89,5,0)</f>
        <v>-1.69961822393816E-13</v>
      </c>
      <c r="AK119" s="14" t="e">
        <f t="shared" si="89"/>
        <v>#NUM!</v>
      </c>
      <c r="AL119" s="22" t="e">
        <f t="shared" si="58"/>
        <v>#NUM!</v>
      </c>
      <c r="AM119" s="60" t="e">
        <f t="shared" si="59"/>
        <v>#NUM!</v>
      </c>
      <c r="AN119" s="60">
        <f ca="1">AVERAGE(OFFSET($AM$3,0,0,'Données projet'!$E$10+1,1))-AVERAGE(OFFSET($H$3,0,0,'Données projet'!$E$10+1,1))</f>
        <v>289.24721145176682</v>
      </c>
      <c r="AO119" s="60">
        <f t="shared" si="90"/>
        <v>229.06617320689003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0.20890408704451846</v>
      </c>
      <c r="AW119" s="23">
        <f>EXP(-LN(2)/2)*AW118+(1-EXP(-LN(2)/2))/(LN(2)/2)*AQ119*AT119*VLOOKUP('Données projet'!$B$10,Paramètres!$A$1:$I$89,3,0)*0.475*44/12</f>
        <v>5.0403086352620693E-13</v>
      </c>
      <c r="AX119" s="23">
        <f t="shared" si="60"/>
        <v>0.2089040870450225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5.6843418860808015E-14</v>
      </c>
      <c r="BE119" s="14">
        <f>BD119*VLOOKUP('Données projet'!$B$11,Paramètres!$A$1:$I$89,3,0)*VLOOKUP('Données projet'!$B$11,Paramètres!$A$1:$I$89,5,0)</f>
        <v>3.3992364478763198E-14</v>
      </c>
      <c r="BF119" s="14">
        <f t="shared" si="91"/>
        <v>5.790027782444094E-13</v>
      </c>
      <c r="BG119" s="22">
        <f t="shared" si="61"/>
        <v>1.0676332069095257E-12</v>
      </c>
      <c r="BH119" s="60">
        <f t="shared" si="62"/>
        <v>293.33333333333439</v>
      </c>
      <c r="BI119" s="60">
        <f ca="1">AVERAGE(OFFSET($BH$3,0,0,'Données projet'!$E$11+1,1))-AVERAGE(OFFSET($H$3,0,0,'Données projet'!$E$11+1,1))</f>
        <v>287.91374663515506</v>
      </c>
      <c r="BJ119" s="60">
        <f t="shared" si="92"/>
        <v>217.76240797006147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3.7</v>
      </c>
      <c r="BY119" s="13">
        <f>IF('Données projet'!$A$114&gt;35,BY118+BX119-CG118,IF(A119&lt;'Données projet'!$A$114,$BV$205^A119,IF(A119='Données projet'!$A$114,'Données projet'!$B$114,BY118+BX119-CG118)))</f>
        <v>288.19999999999953</v>
      </c>
      <c r="BZ119" s="14">
        <f>BY119*VLOOKUP('Données projet'!$B$12,Paramètres!$A$1:$I$89,3,0)*VLOOKUP('Données projet'!$B$12,Paramètres!$A$1:$I$89,5,0)</f>
        <v>260.76335999999958</v>
      </c>
      <c r="CA119" s="14">
        <f t="shared" si="93"/>
        <v>62.885067686031896</v>
      </c>
      <c r="CB119" s="22">
        <f t="shared" si="64"/>
        <v>563.68767821983818</v>
      </c>
      <c r="CC119" s="60">
        <f t="shared" si="65"/>
        <v>857.02101155317155</v>
      </c>
      <c r="CD119" s="60">
        <f ca="1">AVERAGE(OFFSET($CC$3,0,0,'Données projet'!$E$12+1,1))-AVERAGE(OFFSET($H$3,0,0,'Données projet'!$E$12+1,1))</f>
        <v>428.8489304403459</v>
      </c>
      <c r="CE119" s="60">
        <f t="shared" si="94"/>
        <v>247.01165577562966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7.083333333333333</v>
      </c>
      <c r="CT119" s="13">
        <f>IF('Données projet'!$A$140&gt;35,CT118+CS119-DB118,IF(A119&lt;'Données projet'!$A$140,$CQ$205^A119,IF(A119='Données projet'!$A$140,'Données projet'!$B$140,CT118+CS119-DB118)))</f>
        <v>382.19102564102565</v>
      </c>
      <c r="CU119" s="18">
        <f>CT119*VLOOKUP('Données projet'!$B$13,Paramètres!$A$1:$I$89,3,0)*VLOOKUP('Données projet'!$B$13,Paramètres!$A$1:$I$89,5,0)</f>
        <v>178.86539999999999</v>
      </c>
      <c r="CV119" s="14">
        <f t="shared" si="95"/>
        <v>45.069665748308438</v>
      </c>
      <c r="CW119" s="22">
        <f t="shared" si="67"/>
        <v>390.02023951163716</v>
      </c>
      <c r="CX119" s="60">
        <f t="shared" si="68"/>
        <v>683.35357284497047</v>
      </c>
      <c r="CY119" s="60">
        <f ca="1">AVERAGE(OFFSET($CX$3,0,0,'Données projet'!$E$13+1,1))-AVERAGE(OFFSET($H$3,0,0,'Données projet'!$E$13+1,1))</f>
        <v>284.88646502866419</v>
      </c>
      <c r="CZ119" s="60">
        <f t="shared" si="96"/>
        <v>190.4880882944471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3.7</v>
      </c>
      <c r="DO119" s="13">
        <f>IF('Données projet'!$A$166&gt;35,DO118+DN119-DW118,IF(A119&lt;'Données projet'!$A$166,$DL$205^A119,IF(A119='Données projet'!$A$166,'Données projet'!$B$166,DO118+DN119-DW118)))</f>
        <v>288.19999999999953</v>
      </c>
      <c r="DP119" s="18">
        <f>DO119*VLOOKUP('Données projet'!$B$14,Paramètres!$A$1:$I$89,3,0)*VLOOKUP('Données projet'!$B$14,Paramètres!$A$1:$I$89,5,0)</f>
        <v>310.21847999999949</v>
      </c>
      <c r="DQ119" s="14">
        <f t="shared" si="97"/>
        <v>73.314455620479848</v>
      </c>
      <c r="DR119" s="22">
        <f t="shared" si="70"/>
        <v>667.98652953900148</v>
      </c>
      <c r="DS119" s="60">
        <f t="shared" si="71"/>
        <v>961.31986287233485</v>
      </c>
      <c r="DT119" s="60">
        <f ca="1">AVERAGE(OFFSET($DS$3,0,0,'Données projet'!$E$14+1,1))-AVERAGE(OFFSET($H$3,0,0,'Données projet'!$E$14+1,1))</f>
        <v>502.07782026233912</v>
      </c>
      <c r="DU119" s="60">
        <f t="shared" si="98"/>
        <v>285.83623046025156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-1.7053025658242404E-13</v>
      </c>
      <c r="EK119" s="18">
        <f>EJ119*VLOOKUP('Données projet'!$B$15,Paramètres!$A$1:$I$89,3,0)*VLOOKUP('Données projet'!$B$15,Paramètres!$A$1:$I$89,5,0)</f>
        <v>-1.4897523215040567E-13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339.58437495284466</v>
      </c>
      <c r="EP119" s="60">
        <f t="shared" si="100"/>
        <v>371.26234252426531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3.7</v>
      </c>
      <c r="FE119" s="13">
        <f>IF('Données projet'!$A$218&gt;35,FE118+FD119-FM118,IF(A119&lt;'Données projet'!$A$218,$FB$205^A119,IF(A119='Données projet'!$A$218,'Données projet'!$B$218,FE118+FD119-FM118)))</f>
        <v>288.19999999999953</v>
      </c>
      <c r="FF119" s="18">
        <f>FE119*VLOOKUP('Données projet'!$B$16,Paramètres!$A$1:$I$89,3,0)*VLOOKUP('Données projet'!$B$16,Paramètres!$A$1:$I$89,5,0)</f>
        <v>278.74703999999957</v>
      </c>
      <c r="FG119" s="14">
        <f t="shared" si="101"/>
        <v>66.702153339553135</v>
      </c>
      <c r="FH119" s="22">
        <f t="shared" si="76"/>
        <v>601.65734506638762</v>
      </c>
      <c r="FI119" s="60">
        <f t="shared" si="77"/>
        <v>894.99067839972099</v>
      </c>
      <c r="FJ119" s="60">
        <f ca="1">AVERAGE(OFFSET($FI$3,0,0,'Données projet'!$E$16+1,1))-AVERAGE(OFFSET($H$3,0,0,'Données projet'!$E$16+1,1))</f>
        <v>455.50822833641354</v>
      </c>
      <c r="FK119" s="60">
        <f t="shared" si="102"/>
        <v>261.14722581688039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295.98659999999956</v>
      </c>
      <c r="P120" s="14">
        <f t="shared" si="87"/>
        <v>70.334442310004661</v>
      </c>
      <c r="Q120" s="22">
        <f t="shared" si="107"/>
        <v>638.00914868992402</v>
      </c>
      <c r="R120" s="60">
        <f t="shared" si="55"/>
        <v>931.34248202325739</v>
      </c>
      <c r="S120" s="60">
        <f ca="1">AVERAGE(OFFSET($R$3,0,0,'Données projet'!$E$9+1,1))-AVERAGE(OFFSET($H$3,0,0,'Données projet'!$E$9+1,1))</f>
        <v>475.47920969424894</v>
      </c>
      <c r="T120" s="60">
        <f t="shared" si="88"/>
        <v>271.73544012419364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-2.8421709430404007E-13</v>
      </c>
      <c r="AJ120" s="14">
        <f>AI120*VLOOKUP('Données projet'!$B$10,Paramètres!$A$1:$I$89,3,0)*VLOOKUP('Données projet'!$B$10,Paramètres!$A$1:$I$89,5,0)</f>
        <v>-1.69961822393816E-13</v>
      </c>
      <c r="AK120" s="14" t="e">
        <f t="shared" si="89"/>
        <v>#NUM!</v>
      </c>
      <c r="AL120" s="22" t="e">
        <f t="shared" si="58"/>
        <v>#NUM!</v>
      </c>
      <c r="AM120" s="60" t="e">
        <f t="shared" si="59"/>
        <v>#NUM!</v>
      </c>
      <c r="AN120" s="60">
        <f ca="1">AVERAGE(OFFSET($AM$3,0,0,'Données projet'!$E$10+1,1))-AVERAGE(OFFSET($H$3,0,0,'Données projet'!$E$10+1,1))</f>
        <v>289.24721145176682</v>
      </c>
      <c r="AO120" s="60">
        <f t="shared" si="90"/>
        <v>229.06617320689003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0.20319159379849763</v>
      </c>
      <c r="AW120" s="23">
        <f>EXP(-LN(2)/2)*AW119+(1-EXP(-LN(2)/2))/(LN(2)/2)*AQ120*AT120*VLOOKUP('Données projet'!$B$10,Paramètres!$A$1:$I$89,3,0)*0.475*44/12</f>
        <v>3.5640364152669221E-13</v>
      </c>
      <c r="AX120" s="23">
        <f t="shared" si="60"/>
        <v>0.20319159379885404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5.6843418860808015E-14</v>
      </c>
      <c r="BE120" s="14">
        <f>BD120*VLOOKUP('Données projet'!$B$11,Paramètres!$A$1:$I$89,3,0)*VLOOKUP('Données projet'!$B$11,Paramètres!$A$1:$I$89,5,0)</f>
        <v>3.3992364478763198E-14</v>
      </c>
      <c r="BF120" s="14">
        <f t="shared" si="91"/>
        <v>5.790027782444094E-13</v>
      </c>
      <c r="BG120" s="22">
        <f t="shared" si="61"/>
        <v>1.0676332069095257E-12</v>
      </c>
      <c r="BH120" s="60">
        <f t="shared" si="62"/>
        <v>293.33333333333439</v>
      </c>
      <c r="BI120" s="60">
        <f ca="1">AVERAGE(OFFSET($BH$3,0,0,'Données projet'!$E$11+1,1))-AVERAGE(OFFSET($H$3,0,0,'Données projet'!$E$11+1,1))</f>
        <v>287.91374663515506</v>
      </c>
      <c r="BJ120" s="60">
        <f t="shared" si="92"/>
        <v>217.76240797006147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3.7</v>
      </c>
      <c r="BY120" s="13">
        <f>IF('Données projet'!$A$114&gt;35,BY119+BX120-CG119,IF(A120&lt;'Données projet'!$A$114,$BV$205^A120,IF(A120='Données projet'!$A$114,'Données projet'!$B$114,BY119+BX120-CG119)))</f>
        <v>291.89999999999952</v>
      </c>
      <c r="BZ120" s="14">
        <f>BY120*VLOOKUP('Données projet'!$B$12,Paramètres!$A$1:$I$89,3,0)*VLOOKUP('Données projet'!$B$12,Paramètres!$A$1:$I$89,5,0)</f>
        <v>264.11111999999957</v>
      </c>
      <c r="CA120" s="14">
        <f t="shared" si="93"/>
        <v>63.597900866870546</v>
      </c>
      <c r="CB120" s="22">
        <f t="shared" si="64"/>
        <v>570.75987800979885</v>
      </c>
      <c r="CC120" s="60">
        <f t="shared" si="65"/>
        <v>864.09321134313223</v>
      </c>
      <c r="CD120" s="60">
        <f ca="1">AVERAGE(OFFSET($CC$3,0,0,'Données projet'!$E$12+1,1))-AVERAGE(OFFSET($H$3,0,0,'Données projet'!$E$12+1,1))</f>
        <v>428.8489304403459</v>
      </c>
      <c r="CE120" s="60">
        <f t="shared" si="94"/>
        <v>247.01165577562966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7.083333333333333</v>
      </c>
      <c r="CT120" s="13">
        <f>IF('Données projet'!$A$140&gt;35,CT119+CS120-DB119,IF(A120&lt;'Données projet'!$A$140,$CQ$205^A120,IF(A120='Données projet'!$A$140,'Données projet'!$B$140,CT119+CS120-DB119)))</f>
        <v>389.27435897435896</v>
      </c>
      <c r="CU120" s="18">
        <f>CT120*VLOOKUP('Données projet'!$B$13,Paramètres!$A$1:$I$89,3,0)*VLOOKUP('Données projet'!$B$13,Paramètres!$A$1:$I$89,5,0)</f>
        <v>182.18039999999999</v>
      </c>
      <c r="CV120" s="14">
        <f t="shared" si="95"/>
        <v>45.806944534163691</v>
      </c>
      <c r="CW120" s="22">
        <f t="shared" si="67"/>
        <v>397.07795839700174</v>
      </c>
      <c r="CX120" s="60">
        <f t="shared" si="68"/>
        <v>690.41129173033505</v>
      </c>
      <c r="CY120" s="60">
        <f ca="1">AVERAGE(OFFSET($CX$3,0,0,'Données projet'!$E$13+1,1))-AVERAGE(OFFSET($H$3,0,0,'Données projet'!$E$13+1,1))</f>
        <v>284.88646502866419</v>
      </c>
      <c r="CZ120" s="60">
        <f t="shared" si="96"/>
        <v>190.4880882944471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3.7</v>
      </c>
      <c r="DO120" s="13">
        <f>IF('Données projet'!$A$166&gt;35,DO119+DN120-DW119,IF(A120&lt;'Données projet'!$A$166,$DL$205^A120,IF(A120='Données projet'!$A$166,'Données projet'!$B$166,DO119+DN120-DW119)))</f>
        <v>291.89999999999952</v>
      </c>
      <c r="DP120" s="18">
        <f>DO120*VLOOKUP('Données projet'!$B$14,Paramètres!$A$1:$I$89,3,0)*VLOOKUP('Données projet'!$B$14,Paramètres!$A$1:$I$89,5,0)</f>
        <v>314.2011599999995</v>
      </c>
      <c r="DQ120" s="14">
        <f t="shared" si="97"/>
        <v>74.145511044675771</v>
      </c>
      <c r="DR120" s="22">
        <f t="shared" si="70"/>
        <v>676.37045206947607</v>
      </c>
      <c r="DS120" s="60">
        <f t="shared" si="71"/>
        <v>969.70378540280944</v>
      </c>
      <c r="DT120" s="60">
        <f ca="1">AVERAGE(OFFSET($DS$3,0,0,'Données projet'!$E$14+1,1))-AVERAGE(OFFSET($H$3,0,0,'Données projet'!$E$14+1,1))</f>
        <v>502.07782026233912</v>
      </c>
      <c r="DU120" s="60">
        <f t="shared" si="98"/>
        <v>285.83623046025156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-1.7053025658242404E-13</v>
      </c>
      <c r="EK120" s="18">
        <f>EJ120*VLOOKUP('Données projet'!$B$15,Paramètres!$A$1:$I$89,3,0)*VLOOKUP('Données projet'!$B$15,Paramètres!$A$1:$I$89,5,0)</f>
        <v>-1.4897523215040567E-13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339.58437495284466</v>
      </c>
      <c r="EP120" s="60">
        <f t="shared" si="100"/>
        <v>371.26234252426531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3.7</v>
      </c>
      <c r="FE120" s="13">
        <f>IF('Données projet'!$A$218&gt;35,FE119+FD120-FM119,IF(A120&lt;'Données projet'!$A$218,$FB$205^A120,IF(A120='Données projet'!$A$218,'Données projet'!$B$218,FE119+FD120-FM119)))</f>
        <v>291.89999999999952</v>
      </c>
      <c r="FF120" s="18">
        <f>FE120*VLOOKUP('Données projet'!$B$16,Paramètres!$A$1:$I$89,3,0)*VLOOKUP('Données projet'!$B$16,Paramètres!$A$1:$I$89,5,0)</f>
        <v>282.32567999999952</v>
      </c>
      <c r="FG120" s="14">
        <f t="shared" si="101"/>
        <v>67.458255064229917</v>
      </c>
      <c r="FH120" s="22">
        <f t="shared" si="76"/>
        <v>609.20702023686624</v>
      </c>
      <c r="FI120" s="60">
        <f t="shared" si="77"/>
        <v>902.54035357019961</v>
      </c>
      <c r="FJ120" s="60">
        <f ca="1">AVERAGE(OFFSET($FI$3,0,0,'Données projet'!$E$16+1,1))-AVERAGE(OFFSET($H$3,0,0,'Données projet'!$E$16+1,1))</f>
        <v>455.50822833641354</v>
      </c>
      <c r="FK120" s="60">
        <f t="shared" si="102"/>
        <v>261.14722581688039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299.73839999999956</v>
      </c>
      <c r="P121" s="14">
        <f t="shared" si="87"/>
        <v>71.121619283394352</v>
      </c>
      <c r="Q121" s="22">
        <f t="shared" si="107"/>
        <v>645.91453358524438</v>
      </c>
      <c r="R121" s="60">
        <f t="shared" si="55"/>
        <v>939.24786691857776</v>
      </c>
      <c r="S121" s="60">
        <f ca="1">AVERAGE(OFFSET($R$3,0,0,'Données projet'!$E$9+1,1))-AVERAGE(OFFSET($H$3,0,0,'Données projet'!$E$9+1,1))</f>
        <v>475.47920969424894</v>
      </c>
      <c r="T121" s="60">
        <f t="shared" si="88"/>
        <v>271.73544012419364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-2.8421709430404007E-13</v>
      </c>
      <c r="AJ121" s="14">
        <f>AI121*VLOOKUP('Données projet'!$B$10,Paramètres!$A$1:$I$89,3,0)*VLOOKUP('Données projet'!$B$10,Paramètres!$A$1:$I$89,5,0)</f>
        <v>-1.69961822393816E-13</v>
      </c>
      <c r="AK121" s="14" t="e">
        <f t="shared" si="89"/>
        <v>#NUM!</v>
      </c>
      <c r="AL121" s="22" t="e">
        <f t="shared" si="58"/>
        <v>#NUM!</v>
      </c>
      <c r="AM121" s="60" t="e">
        <f t="shared" si="59"/>
        <v>#NUM!</v>
      </c>
      <c r="AN121" s="60">
        <f ca="1">AVERAGE(OFFSET($AM$3,0,0,'Données projet'!$E$10+1,1))-AVERAGE(OFFSET($H$3,0,0,'Données projet'!$E$10+1,1))</f>
        <v>289.24721145176682</v>
      </c>
      <c r="AO121" s="60">
        <f t="shared" si="90"/>
        <v>229.06617320689003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0.1976353089806962</v>
      </c>
      <c r="AW121" s="23">
        <f>EXP(-LN(2)/2)*AW120+(1-EXP(-LN(2)/2))/(LN(2)/2)*AQ121*AT121*VLOOKUP('Données projet'!$B$10,Paramètres!$A$1:$I$89,3,0)*0.475*44/12</f>
        <v>2.5201543176310346E-13</v>
      </c>
      <c r="AX121" s="23">
        <f t="shared" si="60"/>
        <v>0.19763530898094822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5.6843418860808015E-14</v>
      </c>
      <c r="BE121" s="14">
        <f>BD121*VLOOKUP('Données projet'!$B$11,Paramètres!$A$1:$I$89,3,0)*VLOOKUP('Données projet'!$B$11,Paramètres!$A$1:$I$89,5,0)</f>
        <v>3.3992364478763198E-14</v>
      </c>
      <c r="BF121" s="14">
        <f t="shared" si="91"/>
        <v>5.790027782444094E-13</v>
      </c>
      <c r="BG121" s="22">
        <f t="shared" si="61"/>
        <v>1.0676332069095257E-12</v>
      </c>
      <c r="BH121" s="60">
        <f t="shared" si="62"/>
        <v>293.33333333333439</v>
      </c>
      <c r="BI121" s="60">
        <f ca="1">AVERAGE(OFFSET($BH$3,0,0,'Données projet'!$E$11+1,1))-AVERAGE(OFFSET($H$3,0,0,'Données projet'!$E$11+1,1))</f>
        <v>287.91374663515506</v>
      </c>
      <c r="BJ121" s="60">
        <f t="shared" si="92"/>
        <v>217.76240797006147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3.7</v>
      </c>
      <c r="BY121" s="13">
        <f>IF('Données projet'!$A$114&gt;35,BY120+BX121-CG120,IF(A121&lt;'Données projet'!$A$114,$BV$205^A121,IF(A121='Données projet'!$A$114,'Données projet'!$B$114,BY120+BX121-CG120)))</f>
        <v>295.59999999999951</v>
      </c>
      <c r="BZ121" s="14">
        <f>BY121*VLOOKUP('Données projet'!$B$12,Paramètres!$A$1:$I$89,3,0)*VLOOKUP('Données projet'!$B$12,Paramètres!$A$1:$I$89,5,0)</f>
        <v>267.45887999999951</v>
      </c>
      <c r="CA121" s="14">
        <f t="shared" si="93"/>
        <v>64.309683053152327</v>
      </c>
      <c r="CB121" s="22">
        <f t="shared" si="64"/>
        <v>577.8302473175728</v>
      </c>
      <c r="CC121" s="60">
        <f t="shared" si="65"/>
        <v>871.16358065090617</v>
      </c>
      <c r="CD121" s="60">
        <f ca="1">AVERAGE(OFFSET($CC$3,0,0,'Données projet'!$E$12+1,1))-AVERAGE(OFFSET($H$3,0,0,'Données projet'!$E$12+1,1))</f>
        <v>428.8489304403459</v>
      </c>
      <c r="CE121" s="60">
        <f t="shared" si="94"/>
        <v>247.01165577562966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7.083333333333333</v>
      </c>
      <c r="CT121" s="13">
        <f>IF('Données projet'!$A$140&gt;35,CT120+CS121-DB120,IF(A121&lt;'Données projet'!$A$140,$CQ$205^A121,IF(A121='Données projet'!$A$140,'Données projet'!$B$140,CT120+CS121-DB120)))</f>
        <v>396.35769230769228</v>
      </c>
      <c r="CU121" s="18">
        <f>CT121*VLOOKUP('Données projet'!$B$13,Paramètres!$A$1:$I$89,3,0)*VLOOKUP('Données projet'!$B$13,Paramètres!$A$1:$I$89,5,0)</f>
        <v>185.49539999999999</v>
      </c>
      <c r="CV121" s="14">
        <f t="shared" si="95"/>
        <v>46.542663293107267</v>
      </c>
      <c r="CW121" s="22">
        <f t="shared" si="67"/>
        <v>404.13296023549515</v>
      </c>
      <c r="CX121" s="60">
        <f t="shared" si="68"/>
        <v>697.46629356882841</v>
      </c>
      <c r="CY121" s="60">
        <f ca="1">AVERAGE(OFFSET($CX$3,0,0,'Données projet'!$E$13+1,1))-AVERAGE(OFFSET($H$3,0,0,'Données projet'!$E$13+1,1))</f>
        <v>284.88646502866419</v>
      </c>
      <c r="CZ121" s="60">
        <f t="shared" si="96"/>
        <v>190.4880882944471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3.7</v>
      </c>
      <c r="DO121" s="13">
        <f>IF('Données projet'!$A$166&gt;35,DO120+DN121-DW120,IF(A121&lt;'Données projet'!$A$166,$DL$205^A121,IF(A121='Données projet'!$A$166,'Données projet'!$B$166,DO120+DN121-DW120)))</f>
        <v>295.59999999999951</v>
      </c>
      <c r="DP121" s="18">
        <f>DO121*VLOOKUP('Données projet'!$B$14,Paramètres!$A$1:$I$89,3,0)*VLOOKUP('Données projet'!$B$14,Paramètres!$A$1:$I$89,5,0)</f>
        <v>318.18383999999946</v>
      </c>
      <c r="DQ121" s="14">
        <f t="shared" si="97"/>
        <v>74.975341168547786</v>
      </c>
      <c r="DR121" s="22">
        <f t="shared" si="70"/>
        <v>684.75224053521981</v>
      </c>
      <c r="DS121" s="60">
        <f t="shared" si="71"/>
        <v>978.08557386855318</v>
      </c>
      <c r="DT121" s="60">
        <f ca="1">AVERAGE(OFFSET($DS$3,0,0,'Données projet'!$E$14+1,1))-AVERAGE(OFFSET($H$3,0,0,'Données projet'!$E$14+1,1))</f>
        <v>502.07782026233912</v>
      </c>
      <c r="DU121" s="60">
        <f t="shared" si="98"/>
        <v>285.83623046025156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-1.7053025658242404E-13</v>
      </c>
      <c r="EK121" s="18">
        <f>EJ121*VLOOKUP('Données projet'!$B$15,Paramètres!$A$1:$I$89,3,0)*VLOOKUP('Données projet'!$B$15,Paramètres!$A$1:$I$89,5,0)</f>
        <v>-1.4897523215040567E-13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339.58437495284466</v>
      </c>
      <c r="EP121" s="60">
        <f t="shared" si="100"/>
        <v>371.26234252426531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3.7</v>
      </c>
      <c r="FE121" s="13">
        <f>IF('Données projet'!$A$218&gt;35,FE120+FD121-FM120,IF(A121&lt;'Données projet'!$A$218,$FB$205^A121,IF(A121='Données projet'!$A$218,'Données projet'!$B$218,FE120+FD121-FM120)))</f>
        <v>295.59999999999951</v>
      </c>
      <c r="FF121" s="18">
        <f>FE121*VLOOKUP('Données projet'!$B$16,Paramètres!$A$1:$I$89,3,0)*VLOOKUP('Données projet'!$B$16,Paramètres!$A$1:$I$89,5,0)</f>
        <v>285.90431999999953</v>
      </c>
      <c r="FG121" s="14">
        <f t="shared" si="101"/>
        <v>68.213241999614453</v>
      </c>
      <c r="FH121" s="22">
        <f t="shared" si="76"/>
        <v>616.75475381599438</v>
      </c>
      <c r="FI121" s="60">
        <f t="shared" si="77"/>
        <v>910.08808714932775</v>
      </c>
      <c r="FJ121" s="60">
        <f ca="1">AVERAGE(OFFSET($FI$3,0,0,'Données projet'!$E$16+1,1))-AVERAGE(OFFSET($H$3,0,0,'Données projet'!$E$16+1,1))</f>
        <v>455.50822833641354</v>
      </c>
      <c r="FK121" s="60">
        <f t="shared" si="102"/>
        <v>261.14722581688039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303.4901999999995</v>
      </c>
      <c r="P122" s="14">
        <f t="shared" si="87"/>
        <v>71.907650167874138</v>
      </c>
      <c r="Q122" s="22">
        <f t="shared" si="107"/>
        <v>653.81792237571324</v>
      </c>
      <c r="R122" s="60">
        <f t="shared" si="55"/>
        <v>947.15125570904661</v>
      </c>
      <c r="S122" s="60">
        <f ca="1">AVERAGE(OFFSET($R$3,0,0,'Données projet'!$E$9+1,1))-AVERAGE(OFFSET($H$3,0,0,'Données projet'!$E$9+1,1))</f>
        <v>475.47920969424894</v>
      </c>
      <c r="T122" s="60">
        <f t="shared" si="88"/>
        <v>271.73544012419364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-2.8421709430404007E-13</v>
      </c>
      <c r="AJ122" s="14">
        <f>AI122*VLOOKUP('Données projet'!$B$10,Paramètres!$A$1:$I$89,3,0)*VLOOKUP('Données projet'!$B$10,Paramètres!$A$1:$I$89,5,0)</f>
        <v>-1.69961822393816E-13</v>
      </c>
      <c r="AK122" s="14" t="e">
        <f t="shared" si="89"/>
        <v>#NUM!</v>
      </c>
      <c r="AL122" s="22" t="e">
        <f t="shared" si="58"/>
        <v>#NUM!</v>
      </c>
      <c r="AM122" s="60" t="e">
        <f t="shared" si="59"/>
        <v>#NUM!</v>
      </c>
      <c r="AN122" s="60">
        <f ca="1">AVERAGE(OFFSET($AM$3,0,0,'Données projet'!$E$10+1,1))-AVERAGE(OFFSET($H$3,0,0,'Données projet'!$E$10+1,1))</f>
        <v>289.24721145176682</v>
      </c>
      <c r="AO122" s="60">
        <f t="shared" si="90"/>
        <v>229.06617320689003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0.19223096106342988</v>
      </c>
      <c r="AW122" s="23">
        <f>EXP(-LN(2)/2)*AW121+(1-EXP(-LN(2)/2))/(LN(2)/2)*AQ122*AT122*VLOOKUP('Données projet'!$B$10,Paramètres!$A$1:$I$89,3,0)*0.475*44/12</f>
        <v>1.782018207633461E-13</v>
      </c>
      <c r="AX122" s="23">
        <f t="shared" si="60"/>
        <v>0.19223096106360807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5.6843418860808015E-14</v>
      </c>
      <c r="BE122" s="14">
        <f>BD122*VLOOKUP('Données projet'!$B$11,Paramètres!$A$1:$I$89,3,0)*VLOOKUP('Données projet'!$B$11,Paramètres!$A$1:$I$89,5,0)</f>
        <v>3.3992364478763198E-14</v>
      </c>
      <c r="BF122" s="14">
        <f t="shared" si="91"/>
        <v>5.790027782444094E-13</v>
      </c>
      <c r="BG122" s="22">
        <f t="shared" si="61"/>
        <v>1.0676332069095257E-12</v>
      </c>
      <c r="BH122" s="60">
        <f t="shared" si="62"/>
        <v>293.33333333333439</v>
      </c>
      <c r="BI122" s="60">
        <f ca="1">AVERAGE(OFFSET($BH$3,0,0,'Données projet'!$E$11+1,1))-AVERAGE(OFFSET($H$3,0,0,'Données projet'!$E$11+1,1))</f>
        <v>287.91374663515506</v>
      </c>
      <c r="BJ122" s="60">
        <f t="shared" si="92"/>
        <v>217.76240797006147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3.7</v>
      </c>
      <c r="BY122" s="13">
        <f>IF('Données projet'!$A$114&gt;35,BY121+BX122-CG121,IF(A122&lt;'Données projet'!$A$114,$BV$205^A122,IF(A122='Données projet'!$A$114,'Données projet'!$B$114,BY121+BX122-CG121)))</f>
        <v>299.2999999999995</v>
      </c>
      <c r="BZ122" s="14">
        <f>BY122*VLOOKUP('Données projet'!$B$12,Paramètres!$A$1:$I$89,3,0)*VLOOKUP('Données projet'!$B$12,Paramètres!$A$1:$I$89,5,0)</f>
        <v>270.80663999999956</v>
      </c>
      <c r="CA122" s="14">
        <f t="shared" si="93"/>
        <v>65.020428921429911</v>
      </c>
      <c r="CB122" s="22">
        <f t="shared" si="64"/>
        <v>584.89881170482306</v>
      </c>
      <c r="CC122" s="60">
        <f t="shared" si="65"/>
        <v>878.23214503815643</v>
      </c>
      <c r="CD122" s="60">
        <f ca="1">AVERAGE(OFFSET($CC$3,0,0,'Données projet'!$E$12+1,1))-AVERAGE(OFFSET($H$3,0,0,'Données projet'!$E$12+1,1))</f>
        <v>428.8489304403459</v>
      </c>
      <c r="CE122" s="60">
        <f t="shared" si="94"/>
        <v>247.01165577562966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7.083333333333333</v>
      </c>
      <c r="CT122" s="13">
        <f>IF('Données projet'!$A$140&gt;35,CT121+CS122-DB121,IF(A122&lt;'Données projet'!$A$140,$CQ$205^A122,IF(A122='Données projet'!$A$140,'Données projet'!$B$140,CT121+CS122-DB121)))</f>
        <v>403.44102564102559</v>
      </c>
      <c r="CU122" s="18">
        <f>CT122*VLOOKUP('Données projet'!$B$13,Paramètres!$A$1:$I$89,3,0)*VLOOKUP('Données projet'!$B$13,Paramètres!$A$1:$I$89,5,0)</f>
        <v>188.81039999999999</v>
      </c>
      <c r="CV122" s="14">
        <f t="shared" si="95"/>
        <v>47.276853120620757</v>
      </c>
      <c r="CW122" s="22">
        <f t="shared" si="67"/>
        <v>411.18529918508108</v>
      </c>
      <c r="CX122" s="60">
        <f t="shared" si="68"/>
        <v>704.51863251841439</v>
      </c>
      <c r="CY122" s="60">
        <f ca="1">AVERAGE(OFFSET($CX$3,0,0,'Données projet'!$E$13+1,1))-AVERAGE(OFFSET($H$3,0,0,'Données projet'!$E$13+1,1))</f>
        <v>284.88646502866419</v>
      </c>
      <c r="CZ122" s="60">
        <f t="shared" si="96"/>
        <v>190.4880882944471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3.7</v>
      </c>
      <c r="DO122" s="13">
        <f>IF('Données projet'!$A$166&gt;35,DO121+DN122-DW121,IF(A122&lt;'Données projet'!$A$166,$DL$205^A122,IF(A122='Données projet'!$A$166,'Données projet'!$B$166,DO121+DN122-DW121)))</f>
        <v>299.2999999999995</v>
      </c>
      <c r="DP122" s="18">
        <f>DO122*VLOOKUP('Données projet'!$B$14,Paramètres!$A$1:$I$89,3,0)*VLOOKUP('Données projet'!$B$14,Paramètres!$A$1:$I$89,5,0)</f>
        <v>322.16651999999942</v>
      </c>
      <c r="DQ122" s="14">
        <f t="shared" si="97"/>
        <v>75.803963102731529</v>
      </c>
      <c r="DR122" s="22">
        <f t="shared" si="70"/>
        <v>693.13192473725633</v>
      </c>
      <c r="DS122" s="60">
        <f t="shared" si="71"/>
        <v>986.4652580705897</v>
      </c>
      <c r="DT122" s="60">
        <f ca="1">AVERAGE(OFFSET($DS$3,0,0,'Données projet'!$E$14+1,1))-AVERAGE(OFFSET($H$3,0,0,'Données projet'!$E$14+1,1))</f>
        <v>502.07782026233912</v>
      </c>
      <c r="DU122" s="60">
        <f t="shared" si="98"/>
        <v>285.83623046025156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-1.7053025658242404E-13</v>
      </c>
      <c r="EK122" s="18">
        <f>EJ122*VLOOKUP('Données projet'!$B$15,Paramètres!$A$1:$I$89,3,0)*VLOOKUP('Données projet'!$B$15,Paramètres!$A$1:$I$89,5,0)</f>
        <v>-1.4897523215040567E-13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339.58437495284466</v>
      </c>
      <c r="EP122" s="60">
        <f t="shared" si="100"/>
        <v>371.26234252426531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3.7</v>
      </c>
      <c r="FE122" s="13">
        <f>IF('Données projet'!$A$218&gt;35,FE121+FD122-FM121,IF(A122&lt;'Données projet'!$A$218,$FB$205^A122,IF(A122='Données projet'!$A$218,'Données projet'!$B$218,FE121+FD122-FM121)))</f>
        <v>299.2999999999995</v>
      </c>
      <c r="FF122" s="18">
        <f>FE122*VLOOKUP('Données projet'!$B$16,Paramètres!$A$1:$I$89,3,0)*VLOOKUP('Données projet'!$B$16,Paramètres!$A$1:$I$89,5,0)</f>
        <v>289.48295999999954</v>
      </c>
      <c r="FG122" s="14">
        <f t="shared" si="101"/>
        <v>68.967129713117401</v>
      </c>
      <c r="FH122" s="22">
        <f t="shared" si="76"/>
        <v>624.300572917012</v>
      </c>
      <c r="FI122" s="60">
        <f t="shared" si="77"/>
        <v>917.63390625034526</v>
      </c>
      <c r="FJ122" s="60">
        <f ca="1">AVERAGE(OFFSET($FI$3,0,0,'Données projet'!$E$16+1,1))-AVERAGE(OFFSET($H$3,0,0,'Données projet'!$E$16+1,1))</f>
        <v>455.50822833641354</v>
      </c>
      <c r="FK122" s="60">
        <f t="shared" si="102"/>
        <v>261.14722581688039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307.24199999999951</v>
      </c>
      <c r="P123" s="14">
        <f t="shared" si="87"/>
        <v>72.692550770207717</v>
      </c>
      <c r="Q123" s="22">
        <f t="shared" si="107"/>
        <v>661.71934259144427</v>
      </c>
      <c r="R123" s="60">
        <f t="shared" si="55"/>
        <v>955.05267592477753</v>
      </c>
      <c r="S123" s="60">
        <f ca="1">AVERAGE(OFFSET($R$3,0,0,'Données projet'!$E$9+1,1))-AVERAGE(OFFSET($H$3,0,0,'Données projet'!$E$9+1,1))</f>
        <v>475.47920969424894</v>
      </c>
      <c r="T123" s="60">
        <f t="shared" si="88"/>
        <v>271.73544012419364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-2.8421709430404007E-13</v>
      </c>
      <c r="AJ123" s="14">
        <f>AI123*VLOOKUP('Données projet'!$B$10,Paramètres!$A$1:$I$89,3,0)*VLOOKUP('Données projet'!$B$10,Paramètres!$A$1:$I$89,5,0)</f>
        <v>-1.69961822393816E-13</v>
      </c>
      <c r="AK123" s="14" t="e">
        <f t="shared" si="89"/>
        <v>#NUM!</v>
      </c>
      <c r="AL123" s="22" t="e">
        <f t="shared" si="58"/>
        <v>#NUM!</v>
      </c>
      <c r="AM123" s="60" t="e">
        <f t="shared" si="59"/>
        <v>#NUM!</v>
      </c>
      <c r="AN123" s="60">
        <f ca="1">AVERAGE(OFFSET($AM$3,0,0,'Données projet'!$E$10+1,1))-AVERAGE(OFFSET($H$3,0,0,'Données projet'!$E$10+1,1))</f>
        <v>289.24721145176682</v>
      </c>
      <c r="AO123" s="60">
        <f t="shared" si="90"/>
        <v>229.06617320689003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0.18697439532416349</v>
      </c>
      <c r="AW123" s="23">
        <f>EXP(-LN(2)/2)*AW122+(1-EXP(-LN(2)/2))/(LN(2)/2)*AQ123*AT123*VLOOKUP('Données projet'!$B$10,Paramètres!$A$1:$I$89,3,0)*0.475*44/12</f>
        <v>1.2600771588155173E-13</v>
      </c>
      <c r="AX123" s="23">
        <f t="shared" si="60"/>
        <v>0.1869743953242895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5.6843418860808015E-14</v>
      </c>
      <c r="BE123" s="14">
        <f>BD123*VLOOKUP('Données projet'!$B$11,Paramètres!$A$1:$I$89,3,0)*VLOOKUP('Données projet'!$B$11,Paramètres!$A$1:$I$89,5,0)</f>
        <v>3.3992364478763198E-14</v>
      </c>
      <c r="BF123" s="14">
        <f t="shared" si="91"/>
        <v>5.790027782444094E-13</v>
      </c>
      <c r="BG123" s="22">
        <f t="shared" si="61"/>
        <v>1.0676332069095257E-12</v>
      </c>
      <c r="BH123" s="60">
        <f t="shared" si="62"/>
        <v>293.33333333333439</v>
      </c>
      <c r="BI123" s="60">
        <f ca="1">AVERAGE(OFFSET($BH$3,0,0,'Données projet'!$E$11+1,1))-AVERAGE(OFFSET($H$3,0,0,'Données projet'!$E$11+1,1))</f>
        <v>287.91374663515506</v>
      </c>
      <c r="BJ123" s="60">
        <f t="shared" si="92"/>
        <v>217.76240797006147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>
        <f>VLOOKUP(A123,'Données projet'!$A$113:$I$133,2,0)</f>
        <v>303</v>
      </c>
      <c r="BW123" s="13">
        <f>VLOOKUP(A123,'Données projet'!$A$113:$I$133,9,0)</f>
        <v>3.7</v>
      </c>
      <c r="BX123" s="13">
        <f t="array" ref="BX123">INDEX(BW:BW,MIN(IF(ISNUMBER(BW123:BW319),ROW(BW123:BW319),"")))</f>
        <v>3.7</v>
      </c>
      <c r="BY123" s="13">
        <f>IF('Données projet'!$A$114&gt;35,BY122+BX123-CG122,IF(A123&lt;'Données projet'!$A$114,$BV$205^A123,IF(A123='Données projet'!$A$114,'Données projet'!$B$114,BY122+BX123-CG122)))</f>
        <v>302.99999999999949</v>
      </c>
      <c r="BZ123" s="14">
        <f>BY123*VLOOKUP('Données projet'!$B$12,Paramètres!$A$1:$I$89,3,0)*VLOOKUP('Données projet'!$B$12,Paramètres!$A$1:$I$89,5,0)</f>
        <v>274.15439999999955</v>
      </c>
      <c r="CA123" s="14">
        <f t="shared" si="93"/>
        <v>65.730152764515779</v>
      </c>
      <c r="CB123" s="22">
        <f t="shared" si="64"/>
        <v>591.96559606486414</v>
      </c>
      <c r="CC123" s="60">
        <f t="shared" si="65"/>
        <v>885.29892939819752</v>
      </c>
      <c r="CD123" s="60">
        <f ca="1">AVERAGE(OFFSET($CC$3,0,0,'Données projet'!$E$12+1,1))-AVERAGE(OFFSET($H$3,0,0,'Données projet'!$E$12+1,1))</f>
        <v>428.8489304403459</v>
      </c>
      <c r="CE123" s="60">
        <f t="shared" si="94"/>
        <v>247.01165577562966</v>
      </c>
      <c r="CF123" s="16">
        <f>IF(ISNA(VLOOKUP(A123,'Données projet'!$A$113:$I$133,3,0)),0,VLOOKUP(A123,'Données projet'!$A$113:$I$133,3,0))</f>
        <v>10</v>
      </c>
      <c r="CG123" s="16">
        <f>IF(ISNA(VLOOKUP(A123,'Données projet'!$A$113:$I$133,4,0)),0,VLOOKUP(A123,'Données projet'!$A$113:$I$133,4,0))</f>
        <v>35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7.083333333333333</v>
      </c>
      <c r="CT123" s="13">
        <f>IF('Données projet'!$A$140&gt;35,CT122+CS123-DB122,IF(A123&lt;'Données projet'!$A$140,$CQ$205^A123,IF(A123='Données projet'!$A$140,'Données projet'!$B$140,CT122+CS123-DB122)))</f>
        <v>410.5243589743589</v>
      </c>
      <c r="CU123" s="18">
        <f>CT123*VLOOKUP('Données projet'!$B$13,Paramètres!$A$1:$I$89,3,0)*VLOOKUP('Données projet'!$B$13,Paramètres!$A$1:$I$89,5,0)</f>
        <v>192.12539999999996</v>
      </c>
      <c r="CV123" s="14">
        <f t="shared" si="95"/>
        <v>48.009543957734422</v>
      </c>
      <c r="CW123" s="22">
        <f t="shared" si="67"/>
        <v>418.235027393054</v>
      </c>
      <c r="CX123" s="60">
        <f t="shared" si="68"/>
        <v>711.56836072638725</v>
      </c>
      <c r="CY123" s="60">
        <f ca="1">AVERAGE(OFFSET($CX$3,0,0,'Données projet'!$E$13+1,1))-AVERAGE(OFFSET($H$3,0,0,'Données projet'!$E$13+1,1))</f>
        <v>284.88646502866419</v>
      </c>
      <c r="CZ123" s="60">
        <f t="shared" si="96"/>
        <v>190.4880882944471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303</v>
      </c>
      <c r="DM123" s="13">
        <f>VLOOKUP(A123,'Données projet'!$A$165:$I$185,9,0)</f>
        <v>3.7</v>
      </c>
      <c r="DN123" s="13">
        <f t="array" ref="DN123">INDEX(DM:DM,MIN(IF(ISNUMBER(DM123:DM319),ROW(DM123:DM319),"")))</f>
        <v>3.7</v>
      </c>
      <c r="DO123" s="13">
        <f>IF('Données projet'!$A$166&gt;35,DO122+DN123-DW122,IF(A123&lt;'Données projet'!$A$166,$DL$205^A123,IF(A123='Données projet'!$A$166,'Données projet'!$B$166,DO122+DN123-DW122)))</f>
        <v>302.99999999999949</v>
      </c>
      <c r="DP123" s="18">
        <f>DO123*VLOOKUP('Données projet'!$B$14,Paramètres!$A$1:$I$89,3,0)*VLOOKUP('Données projet'!$B$14,Paramètres!$A$1:$I$89,5,0)</f>
        <v>326.14919999999944</v>
      </c>
      <c r="DQ123" s="14">
        <f t="shared" si="97"/>
        <v>76.631393510479555</v>
      </c>
      <c r="DR123" s="22">
        <f t="shared" si="70"/>
        <v>701.50953369741762</v>
      </c>
      <c r="DS123" s="60">
        <f t="shared" si="71"/>
        <v>994.84286703075099</v>
      </c>
      <c r="DT123" s="60">
        <f ca="1">AVERAGE(OFFSET($DS$3,0,0,'Données projet'!$E$14+1,1))-AVERAGE(OFFSET($H$3,0,0,'Données projet'!$E$14+1,1))</f>
        <v>502.07782026233912</v>
      </c>
      <c r="DU123" s="60">
        <f t="shared" si="98"/>
        <v>285.83623046025156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35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-1.7053025658242404E-13</v>
      </c>
      <c r="EK123" s="18">
        <f>EJ123*VLOOKUP('Données projet'!$B$15,Paramètres!$A$1:$I$89,3,0)*VLOOKUP('Données projet'!$B$15,Paramètres!$A$1:$I$89,5,0)</f>
        <v>-1.4897523215040567E-13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339.58437495284466</v>
      </c>
      <c r="EP123" s="60">
        <f t="shared" si="100"/>
        <v>371.26234252426531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303</v>
      </c>
      <c r="FC123" s="13">
        <f>VLOOKUP(A123,'Données projet'!$A$217:$I$237,9,0)</f>
        <v>3.7</v>
      </c>
      <c r="FD123" s="13">
        <f t="array" ref="FD123">INDEX(FC:FC,MIN(IF(ISNUMBER(FC123:FC319),ROW(FC123:FC319),"")))</f>
        <v>3.7</v>
      </c>
      <c r="FE123" s="13">
        <f>IF('Données projet'!$A$218&gt;35,FE122+FD123-FM122,IF(A123&lt;'Données projet'!$A$218,$FB$205^A123,IF(A123='Données projet'!$A$218,'Données projet'!$B$218,FE122+FD123-FM122)))</f>
        <v>302.99999999999949</v>
      </c>
      <c r="FF123" s="18">
        <f>FE123*VLOOKUP('Données projet'!$B$16,Paramètres!$A$1:$I$89,3,0)*VLOOKUP('Données projet'!$B$16,Paramètres!$A$1:$I$89,5,0)</f>
        <v>293.06159999999949</v>
      </c>
      <c r="FG123" s="14">
        <f t="shared" si="101"/>
        <v>69.719933365116432</v>
      </c>
      <c r="FH123" s="22">
        <f t="shared" si="76"/>
        <v>631.84450394424357</v>
      </c>
      <c r="FI123" s="60">
        <f t="shared" si="77"/>
        <v>925.17783727757683</v>
      </c>
      <c r="FJ123" s="60">
        <f ca="1">AVERAGE(OFFSET($FI$3,0,0,'Données projet'!$E$16+1,1))-AVERAGE(OFFSET($H$3,0,0,'Données projet'!$E$16+1,1))</f>
        <v>455.50822833641354</v>
      </c>
      <c r="FK123" s="60">
        <f t="shared" si="102"/>
        <v>261.14722581688039</v>
      </c>
      <c r="FL123" s="16">
        <f>IF(ISNA(VLOOKUP(A123,'Données projet'!$A$217:$I$237,3,0)),0,VLOOKUP(A123,'Données projet'!$A$217:$I$237,3,0))</f>
        <v>10</v>
      </c>
      <c r="FM123" s="16">
        <f>IF(ISNA(VLOOKUP(A123,'Données projet'!$A$217:$I$237,4,0)),0,VLOOKUP(A123,'Données projet'!$A$217:$I$237,4,0))</f>
        <v>35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274.9967999999995</v>
      </c>
      <c r="P124" s="14">
        <f t="shared" si="87"/>
        <v>65.908581953881495</v>
      </c>
      <c r="Q124" s="22">
        <f t="shared" si="107"/>
        <v>593.74354023634271</v>
      </c>
      <c r="R124" s="60">
        <f t="shared" si="55"/>
        <v>887.07687356967608</v>
      </c>
      <c r="S124" s="60">
        <f ca="1">AVERAGE(OFFSET($R$3,0,0,'Données projet'!$E$9+1,1))-AVERAGE(OFFSET($H$3,0,0,'Données projet'!$E$9+1,1))</f>
        <v>475.47920969424894</v>
      </c>
      <c r="T124" s="60">
        <f t="shared" si="88"/>
        <v>271.73544012419364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-2.8421709430404007E-13</v>
      </c>
      <c r="AJ124" s="14">
        <f>AI124*VLOOKUP('Données projet'!$B$10,Paramètres!$A$1:$I$89,3,0)*VLOOKUP('Données projet'!$B$10,Paramètres!$A$1:$I$89,5,0)</f>
        <v>-1.69961822393816E-13</v>
      </c>
      <c r="AK124" s="14" t="e">
        <f t="shared" si="89"/>
        <v>#NUM!</v>
      </c>
      <c r="AL124" s="22" t="e">
        <f t="shared" si="58"/>
        <v>#NUM!</v>
      </c>
      <c r="AM124" s="60" t="e">
        <f t="shared" si="59"/>
        <v>#NUM!</v>
      </c>
      <c r="AN124" s="60">
        <f ca="1">AVERAGE(OFFSET($AM$3,0,0,'Données projet'!$E$10+1,1))-AVERAGE(OFFSET($H$3,0,0,'Données projet'!$E$10+1,1))</f>
        <v>289.24721145176682</v>
      </c>
      <c r="AO124" s="60">
        <f t="shared" si="90"/>
        <v>229.06617320689003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0.18186157065146813</v>
      </c>
      <c r="AW124" s="23">
        <f>EXP(-LN(2)/2)*AW123+(1-EXP(-LN(2)/2))/(LN(2)/2)*AQ124*AT124*VLOOKUP('Données projet'!$B$10,Paramètres!$A$1:$I$89,3,0)*0.475*44/12</f>
        <v>8.9100910381673051E-14</v>
      </c>
      <c r="AX124" s="23">
        <f t="shared" si="60"/>
        <v>0.18186157065155723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5.6843418860808015E-14</v>
      </c>
      <c r="BE124" s="14">
        <f>BD124*VLOOKUP('Données projet'!$B$11,Paramètres!$A$1:$I$89,3,0)*VLOOKUP('Données projet'!$B$11,Paramètres!$A$1:$I$89,5,0)</f>
        <v>3.3992364478763198E-14</v>
      </c>
      <c r="BF124" s="14">
        <f t="shared" si="91"/>
        <v>5.790027782444094E-13</v>
      </c>
      <c r="BG124" s="22">
        <f t="shared" si="61"/>
        <v>1.0676332069095257E-12</v>
      </c>
      <c r="BH124" s="60">
        <f t="shared" si="62"/>
        <v>293.33333333333439</v>
      </c>
      <c r="BI124" s="60">
        <f ca="1">AVERAGE(OFFSET($BH$3,0,0,'Données projet'!$E$11+1,1))-AVERAGE(OFFSET($H$3,0,0,'Données projet'!$E$11+1,1))</f>
        <v>287.91374663515506</v>
      </c>
      <c r="BJ124" s="60">
        <f t="shared" si="92"/>
        <v>217.76240797006147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3.2</v>
      </c>
      <c r="BY124" s="13">
        <f>IF('Données projet'!$A$114&gt;35,BY123+BX124-CG123,IF(A124&lt;'Données projet'!$A$114,$BV$205^A124,IF(A124='Données projet'!$A$114,'Données projet'!$B$114,BY123+BX124-CG123)))</f>
        <v>271.19999999999948</v>
      </c>
      <c r="BZ124" s="14">
        <f>BY124*VLOOKUP('Données projet'!$B$12,Paramètres!$A$1:$I$89,3,0)*VLOOKUP('Données projet'!$B$12,Paramètres!$A$1:$I$89,5,0)</f>
        <v>245.3817599999995</v>
      </c>
      <c r="CA124" s="14">
        <f t="shared" si="93"/>
        <v>59.595943661626663</v>
      </c>
      <c r="CB124" s="22">
        <f t="shared" si="64"/>
        <v>531.16950054399888</v>
      </c>
      <c r="CC124" s="60">
        <f t="shared" si="65"/>
        <v>824.50283387733225</v>
      </c>
      <c r="CD124" s="60">
        <f ca="1">AVERAGE(OFFSET($CC$3,0,0,'Données projet'!$E$12+1,1))-AVERAGE(OFFSET($H$3,0,0,'Données projet'!$E$12+1,1))</f>
        <v>428.8489304403459</v>
      </c>
      <c r="CE124" s="60">
        <f t="shared" si="94"/>
        <v>247.01165577562966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>
        <f>VLOOKUP(A124,'Données projet'!$A$139:$I$159,2,0)</f>
        <v>417.60769230769228</v>
      </c>
      <c r="CR124" s="13">
        <f>VLOOKUP(A124,'Données projet'!$A$139:$I$159,9,0)</f>
        <v>7.083333333333333</v>
      </c>
      <c r="CS124" s="13">
        <f t="array" ref="CS124">INDEX(CR:CR,MIN(IF(ISNUMBER(CR124:CR320),ROW(CR124:CR320),"")))</f>
        <v>7.083333333333333</v>
      </c>
      <c r="CT124" s="13">
        <f>IF('Données projet'!$A$140&gt;35,CT123+CS124-DB123,IF(A124&lt;'Données projet'!$A$140,$CQ$205^A124,IF(A124='Données projet'!$A$140,'Données projet'!$B$140,CT123+CS124-DB123)))</f>
        <v>417.60769230769222</v>
      </c>
      <c r="CU124" s="18">
        <f>CT124*VLOOKUP('Données projet'!$B$13,Paramètres!$A$1:$I$89,3,0)*VLOOKUP('Données projet'!$B$13,Paramètres!$A$1:$I$89,5,0)</f>
        <v>195.44039999999998</v>
      </c>
      <c r="CV124" s="14">
        <f t="shared" si="95"/>
        <v>48.740764653053269</v>
      </c>
      <c r="CW124" s="22">
        <f t="shared" si="67"/>
        <v>425.28219510406774</v>
      </c>
      <c r="CX124" s="60">
        <f t="shared" si="68"/>
        <v>718.61552843740105</v>
      </c>
      <c r="CY124" s="60">
        <f ca="1">AVERAGE(OFFSET($CX$3,0,0,'Données projet'!$E$13+1,1))-AVERAGE(OFFSET($H$3,0,0,'Données projet'!$E$13+1,1))</f>
        <v>284.88646502866419</v>
      </c>
      <c r="CZ124" s="60">
        <f t="shared" si="96"/>
        <v>190.4880882944471</v>
      </c>
      <c r="DA124" s="16">
        <f>IF(ISNA(VLOOKUP(A124,'Données projet'!$A$139:$I$159,3,0)),0,VLOOKUP(A124,'Données projet'!$A$139:$I$159,3,0))</f>
        <v>7</v>
      </c>
      <c r="DB124" s="16">
        <f>IF(ISNA(VLOOKUP(A124,'Données projet'!$A$139:$I$159,4,0)),0,VLOOKUP(A124,'Données projet'!$A$139:$I$159,4,0))</f>
        <v>207.07692307692307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3.2</v>
      </c>
      <c r="DO124" s="13">
        <f>IF('Données projet'!$A$166&gt;35,DO123+DN124-DW123,IF(A124&lt;'Données projet'!$A$166,$DL$205^A124,IF(A124='Données projet'!$A$166,'Données projet'!$B$166,DO123+DN124-DW123)))</f>
        <v>271.19999999999948</v>
      </c>
      <c r="DP124" s="18">
        <f>DO124*VLOOKUP('Données projet'!$B$14,Paramètres!$A$1:$I$89,3,0)*VLOOKUP('Données projet'!$B$14,Paramètres!$A$1:$I$89,5,0)</f>
        <v>291.9196799999994</v>
      </c>
      <c r="DQ124" s="14">
        <f t="shared" si="97"/>
        <v>69.47983563531173</v>
      </c>
      <c r="DR124" s="22">
        <f t="shared" si="70"/>
        <v>629.43748973150025</v>
      </c>
      <c r="DS124" s="60">
        <f t="shared" si="71"/>
        <v>922.77082306483362</v>
      </c>
      <c r="DT124" s="60">
        <f ca="1">AVERAGE(OFFSET($DS$3,0,0,'Données projet'!$E$14+1,1))-AVERAGE(OFFSET($H$3,0,0,'Données projet'!$E$14+1,1))</f>
        <v>502.07782026233912</v>
      </c>
      <c r="DU124" s="60">
        <f t="shared" si="98"/>
        <v>285.83623046025156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-1.7053025658242404E-13</v>
      </c>
      <c r="EK124" s="18">
        <f>EJ124*VLOOKUP('Données projet'!$B$15,Paramètres!$A$1:$I$89,3,0)*VLOOKUP('Données projet'!$B$15,Paramètres!$A$1:$I$89,5,0)</f>
        <v>-1.4897523215040567E-13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339.58437495284466</v>
      </c>
      <c r="EP124" s="60">
        <f t="shared" si="100"/>
        <v>371.26234252426531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3.2</v>
      </c>
      <c r="FE124" s="13">
        <f>IF('Données projet'!$A$218&gt;35,FE123+FD124-FM123,IF(A124&lt;'Données projet'!$A$218,$FB$205^A124,IF(A124='Données projet'!$A$218,'Données projet'!$B$218,FE123+FD124-FM123)))</f>
        <v>271.19999999999948</v>
      </c>
      <c r="FF124" s="18">
        <f>FE124*VLOOKUP('Données projet'!$B$16,Paramètres!$A$1:$I$89,3,0)*VLOOKUP('Données projet'!$B$16,Paramètres!$A$1:$I$89,5,0)</f>
        <v>262.30463999999949</v>
      </c>
      <c r="FG124" s="14">
        <f t="shared" si="101"/>
        <v>63.213381472055985</v>
      </c>
      <c r="FH124" s="22">
        <f t="shared" si="76"/>
        <v>566.94388739716328</v>
      </c>
      <c r="FI124" s="60">
        <f t="shared" si="77"/>
        <v>860.27722073049654</v>
      </c>
      <c r="FJ124" s="60">
        <f ca="1">AVERAGE(OFFSET($FI$3,0,0,'Données projet'!$E$16+1,1))-AVERAGE(OFFSET($H$3,0,0,'Données projet'!$E$16+1,1))</f>
        <v>455.50822833641354</v>
      </c>
      <c r="FK124" s="60">
        <f t="shared" si="102"/>
        <v>261.14722581688039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278.24159999999949</v>
      </c>
      <c r="P125" s="14">
        <f t="shared" si="87"/>
        <v>66.595272276139681</v>
      </c>
      <c r="Q125" s="22">
        <f t="shared" si="107"/>
        <v>600.59088588094244</v>
      </c>
      <c r="R125" s="60">
        <f t="shared" si="55"/>
        <v>893.92421921427581</v>
      </c>
      <c r="S125" s="60">
        <f ca="1">AVERAGE(OFFSET($R$3,0,0,'Données projet'!$E$9+1,1))-AVERAGE(OFFSET($H$3,0,0,'Données projet'!$E$9+1,1))</f>
        <v>475.47920969424894</v>
      </c>
      <c r="T125" s="60">
        <f t="shared" si="88"/>
        <v>271.73544012419364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-2.8421709430404007E-13</v>
      </c>
      <c r="AJ125" s="14">
        <f>AI125*VLOOKUP('Données projet'!$B$10,Paramètres!$A$1:$I$89,3,0)*VLOOKUP('Données projet'!$B$10,Paramètres!$A$1:$I$89,5,0)</f>
        <v>-1.69961822393816E-13</v>
      </c>
      <c r="AK125" s="14" t="e">
        <f t="shared" si="89"/>
        <v>#NUM!</v>
      </c>
      <c r="AL125" s="22" t="e">
        <f t="shared" si="58"/>
        <v>#NUM!</v>
      </c>
      <c r="AM125" s="60" t="e">
        <f t="shared" si="59"/>
        <v>#NUM!</v>
      </c>
      <c r="AN125" s="60">
        <f ca="1">AVERAGE(OFFSET($AM$3,0,0,'Données projet'!$E$10+1,1))-AVERAGE(OFFSET($H$3,0,0,'Données projet'!$E$10+1,1))</f>
        <v>289.24721145176682</v>
      </c>
      <c r="AO125" s="60">
        <f t="shared" si="90"/>
        <v>229.06617320689003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0.17688855643831938</v>
      </c>
      <c r="AW125" s="23">
        <f>EXP(-LN(2)/2)*AW124+(1-EXP(-LN(2)/2))/(LN(2)/2)*AQ125*AT125*VLOOKUP('Données projet'!$B$10,Paramètres!$A$1:$I$89,3,0)*0.475*44/12</f>
        <v>6.3003857940775866E-14</v>
      </c>
      <c r="AX125" s="23">
        <f t="shared" si="60"/>
        <v>0.17688855643838239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5.6843418860808015E-14</v>
      </c>
      <c r="BE125" s="14">
        <f>BD125*VLOOKUP('Données projet'!$B$11,Paramètres!$A$1:$I$89,3,0)*VLOOKUP('Données projet'!$B$11,Paramètres!$A$1:$I$89,5,0)</f>
        <v>3.3992364478763198E-14</v>
      </c>
      <c r="BF125" s="14">
        <f t="shared" si="91"/>
        <v>5.790027782444094E-13</v>
      </c>
      <c r="BG125" s="22">
        <f t="shared" si="61"/>
        <v>1.0676332069095257E-12</v>
      </c>
      <c r="BH125" s="60">
        <f t="shared" si="62"/>
        <v>293.33333333333439</v>
      </c>
      <c r="BI125" s="60">
        <f ca="1">AVERAGE(OFFSET($BH$3,0,0,'Données projet'!$E$11+1,1))-AVERAGE(OFFSET($H$3,0,0,'Données projet'!$E$11+1,1))</f>
        <v>287.91374663515506</v>
      </c>
      <c r="BJ125" s="60">
        <f t="shared" si="92"/>
        <v>217.76240797006147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3.2</v>
      </c>
      <c r="BY125" s="13">
        <f>IF('Données projet'!$A$114&gt;35,BY124+BX125-CG124,IF(A125&lt;'Données projet'!$A$114,$BV$205^A125,IF(A125='Données projet'!$A$114,'Données projet'!$B$114,BY124+BX125-CG124)))</f>
        <v>274.39999999999947</v>
      </c>
      <c r="BZ125" s="14">
        <f>BY125*VLOOKUP('Données projet'!$B$12,Paramètres!$A$1:$I$89,3,0)*VLOOKUP('Données projet'!$B$12,Paramètres!$A$1:$I$89,5,0)</f>
        <v>248.27711999999951</v>
      </c>
      <c r="CA125" s="14">
        <f t="shared" si="93"/>
        <v>60.216863677580257</v>
      </c>
      <c r="CB125" s="22">
        <f t="shared" si="64"/>
        <v>537.29368823845141</v>
      </c>
      <c r="CC125" s="60">
        <f t="shared" si="65"/>
        <v>830.62702157178478</v>
      </c>
      <c r="CD125" s="60">
        <f ca="1">AVERAGE(OFFSET($CC$3,0,0,'Données projet'!$E$12+1,1))-AVERAGE(OFFSET($H$3,0,0,'Données projet'!$E$12+1,1))</f>
        <v>428.8489304403459</v>
      </c>
      <c r="CE125" s="60">
        <f t="shared" si="94"/>
        <v>247.01165577562966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5.1538461538461551</v>
      </c>
      <c r="CT125" s="13">
        <f>IF('Données projet'!$A$140&gt;35,CT124+CS125-DB124,IF(A125&lt;'Données projet'!$A$140,$CQ$205^A125,IF(A125='Données projet'!$A$140,'Données projet'!$B$140,CT124+CS125-DB124)))</f>
        <v>215.68461538461528</v>
      </c>
      <c r="CU125" s="18">
        <f>CT125*VLOOKUP('Données projet'!$B$13,Paramètres!$A$1:$I$89,3,0)*VLOOKUP('Données projet'!$B$13,Paramètres!$A$1:$I$89,5,0)</f>
        <v>100.94039999999994</v>
      </c>
      <c r="CV125" s="14">
        <f t="shared" si="95"/>
        <v>27.185912689038414</v>
      </c>
      <c r="CW125" s="22">
        <f t="shared" si="67"/>
        <v>223.15332793340841</v>
      </c>
      <c r="CX125" s="60">
        <f t="shared" si="68"/>
        <v>516.48666126674175</v>
      </c>
      <c r="CY125" s="60">
        <f ca="1">AVERAGE(OFFSET($CX$3,0,0,'Données projet'!$E$13+1,1))-AVERAGE(OFFSET($H$3,0,0,'Données projet'!$E$13+1,1))</f>
        <v>284.88646502866419</v>
      </c>
      <c r="CZ125" s="60">
        <f t="shared" si="96"/>
        <v>190.4880882944471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3.2</v>
      </c>
      <c r="DO125" s="13">
        <f>IF('Données projet'!$A$166&gt;35,DO124+DN125-DW124,IF(A125&lt;'Données projet'!$A$166,$DL$205^A125,IF(A125='Données projet'!$A$166,'Données projet'!$B$166,DO124+DN125-DW124)))</f>
        <v>274.39999999999947</v>
      </c>
      <c r="DP125" s="18">
        <f>DO125*VLOOKUP('Données projet'!$B$14,Paramètres!$A$1:$I$89,3,0)*VLOOKUP('Données projet'!$B$14,Paramètres!$A$1:$I$89,5,0)</f>
        <v>295.3641599999994</v>
      </c>
      <c r="DQ125" s="14">
        <f t="shared" si="97"/>
        <v>70.203734243178047</v>
      </c>
      <c r="DR125" s="22">
        <f t="shared" si="70"/>
        <v>636.6974158068673</v>
      </c>
      <c r="DS125" s="60">
        <f t="shared" si="71"/>
        <v>930.03074914020067</v>
      </c>
      <c r="DT125" s="60">
        <f ca="1">AVERAGE(OFFSET($DS$3,0,0,'Données projet'!$E$14+1,1))-AVERAGE(OFFSET($H$3,0,0,'Données projet'!$E$14+1,1))</f>
        <v>502.07782026233912</v>
      </c>
      <c r="DU125" s="60">
        <f t="shared" si="98"/>
        <v>285.83623046025156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-1.7053025658242404E-13</v>
      </c>
      <c r="EK125" s="18">
        <f>EJ125*VLOOKUP('Données projet'!$B$15,Paramètres!$A$1:$I$89,3,0)*VLOOKUP('Données projet'!$B$15,Paramètres!$A$1:$I$89,5,0)</f>
        <v>-1.4897523215040567E-13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339.58437495284466</v>
      </c>
      <c r="EP125" s="60">
        <f t="shared" si="100"/>
        <v>371.26234252426531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3.2</v>
      </c>
      <c r="FE125" s="13">
        <f>IF('Données projet'!$A$218&gt;35,FE124+FD125-FM124,IF(A125&lt;'Données projet'!$A$218,$FB$205^A125,IF(A125='Données projet'!$A$218,'Données projet'!$B$218,FE124+FD125-FM124)))</f>
        <v>274.39999999999947</v>
      </c>
      <c r="FF125" s="18">
        <f>FE125*VLOOKUP('Données projet'!$B$16,Paramètres!$A$1:$I$89,3,0)*VLOOKUP('Données projet'!$B$16,Paramètres!$A$1:$I$89,5,0)</f>
        <v>265.39967999999948</v>
      </c>
      <c r="FG125" s="14">
        <f t="shared" si="101"/>
        <v>63.87199095821434</v>
      </c>
      <c r="FH125" s="22">
        <f t="shared" si="76"/>
        <v>573.48149358555565</v>
      </c>
      <c r="FI125" s="60">
        <f t="shared" si="77"/>
        <v>866.81482691888891</v>
      </c>
      <c r="FJ125" s="60">
        <f ca="1">AVERAGE(OFFSET($FI$3,0,0,'Données projet'!$E$16+1,1))-AVERAGE(OFFSET($H$3,0,0,'Données projet'!$E$16+1,1))</f>
        <v>455.50822833641354</v>
      </c>
      <c r="FK125" s="60">
        <f t="shared" si="102"/>
        <v>261.14722581688039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281.48639999999949</v>
      </c>
      <c r="P126" s="14">
        <f t="shared" si="87"/>
        <v>67.281031071373235</v>
      </c>
      <c r="Q126" s="22">
        <f t="shared" si="107"/>
        <v>607.43660911597419</v>
      </c>
      <c r="R126" s="60">
        <f t="shared" si="55"/>
        <v>900.76994244930756</v>
      </c>
      <c r="S126" s="60">
        <f ca="1">AVERAGE(OFFSET($R$3,0,0,'Données projet'!$E$9+1,1))-AVERAGE(OFFSET($H$3,0,0,'Données projet'!$E$9+1,1))</f>
        <v>475.47920969424894</v>
      </c>
      <c r="T126" s="60">
        <f t="shared" si="88"/>
        <v>271.73544012419364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-2.8421709430404007E-13</v>
      </c>
      <c r="AJ126" s="14">
        <f>AI126*VLOOKUP('Données projet'!$B$10,Paramètres!$A$1:$I$89,3,0)*VLOOKUP('Données projet'!$B$10,Paramètres!$A$1:$I$89,5,0)</f>
        <v>-1.69961822393816E-13</v>
      </c>
      <c r="AK126" s="14" t="e">
        <f t="shared" si="89"/>
        <v>#NUM!</v>
      </c>
      <c r="AL126" s="22" t="e">
        <f t="shared" si="58"/>
        <v>#NUM!</v>
      </c>
      <c r="AM126" s="60" t="e">
        <f t="shared" si="59"/>
        <v>#NUM!</v>
      </c>
      <c r="AN126" s="60">
        <f ca="1">AVERAGE(OFFSET($AM$3,0,0,'Données projet'!$E$10+1,1))-AVERAGE(OFFSET($H$3,0,0,'Données projet'!$E$10+1,1))</f>
        <v>289.24721145176682</v>
      </c>
      <c r="AO126" s="60">
        <f t="shared" si="90"/>
        <v>229.06617320689003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0.17205152956034864</v>
      </c>
      <c r="AW126" s="23">
        <f>EXP(-LN(2)/2)*AW125+(1-EXP(-LN(2)/2))/(LN(2)/2)*AQ126*AT126*VLOOKUP('Données projet'!$B$10,Paramètres!$A$1:$I$89,3,0)*0.475*44/12</f>
        <v>4.4550455190836526E-14</v>
      </c>
      <c r="AX126" s="23">
        <f t="shared" si="60"/>
        <v>0.17205152956039318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5.6843418860808015E-14</v>
      </c>
      <c r="BE126" s="14">
        <f>BD126*VLOOKUP('Données projet'!$B$11,Paramètres!$A$1:$I$89,3,0)*VLOOKUP('Données projet'!$B$11,Paramètres!$A$1:$I$89,5,0)</f>
        <v>3.3992364478763198E-14</v>
      </c>
      <c r="BF126" s="14">
        <f t="shared" si="91"/>
        <v>5.790027782444094E-13</v>
      </c>
      <c r="BG126" s="22">
        <f t="shared" si="61"/>
        <v>1.0676332069095257E-12</v>
      </c>
      <c r="BH126" s="60">
        <f t="shared" si="62"/>
        <v>293.33333333333439</v>
      </c>
      <c r="BI126" s="60">
        <f ca="1">AVERAGE(OFFSET($BH$3,0,0,'Données projet'!$E$11+1,1))-AVERAGE(OFFSET($H$3,0,0,'Données projet'!$E$11+1,1))</f>
        <v>287.91374663515506</v>
      </c>
      <c r="BJ126" s="60">
        <f t="shared" si="92"/>
        <v>217.76240797006147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3.2</v>
      </c>
      <c r="BY126" s="13">
        <f>IF('Données projet'!$A$114&gt;35,BY125+BX126-CG125,IF(A126&lt;'Données projet'!$A$114,$BV$205^A126,IF(A126='Données projet'!$A$114,'Données projet'!$B$114,BY125+BX126-CG125)))</f>
        <v>277.59999999999945</v>
      </c>
      <c r="BZ126" s="14">
        <f>BY126*VLOOKUP('Données projet'!$B$12,Paramètres!$A$1:$I$89,3,0)*VLOOKUP('Données projet'!$B$12,Paramètres!$A$1:$I$89,5,0)</f>
        <v>251.1724799999995</v>
      </c>
      <c r="CA126" s="14">
        <f t="shared" si="93"/>
        <v>60.836941386956575</v>
      </c>
      <c r="CB126" s="22">
        <f t="shared" si="64"/>
        <v>543.41640891561519</v>
      </c>
      <c r="CC126" s="60">
        <f t="shared" si="65"/>
        <v>836.74974224894845</v>
      </c>
      <c r="CD126" s="60">
        <f ca="1">AVERAGE(OFFSET($CC$3,0,0,'Données projet'!$E$12+1,1))-AVERAGE(OFFSET($H$3,0,0,'Données projet'!$E$12+1,1))</f>
        <v>428.8489304403459</v>
      </c>
      <c r="CE126" s="60">
        <f t="shared" si="94"/>
        <v>247.01165577562966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5.1538461538461551</v>
      </c>
      <c r="CT126" s="13">
        <f>IF('Données projet'!$A$140&gt;35,CT125+CS126-DB125,IF(A126&lt;'Données projet'!$A$140,$CQ$205^A126,IF(A126='Données projet'!$A$140,'Données projet'!$B$140,CT125+CS126-DB125)))</f>
        <v>220.83846153846144</v>
      </c>
      <c r="CU126" s="18">
        <f>CT126*VLOOKUP('Données projet'!$B$13,Paramètres!$A$1:$I$89,3,0)*VLOOKUP('Données projet'!$B$13,Paramètres!$A$1:$I$89,5,0)</f>
        <v>103.35239999999996</v>
      </c>
      <c r="CV126" s="14">
        <f t="shared" si="95"/>
        <v>27.759121453172455</v>
      </c>
      <c r="CW126" s="22">
        <f t="shared" si="67"/>
        <v>228.35256653094197</v>
      </c>
      <c r="CX126" s="60">
        <f t="shared" si="68"/>
        <v>521.68589986427526</v>
      </c>
      <c r="CY126" s="60">
        <f ca="1">AVERAGE(OFFSET($CX$3,0,0,'Données projet'!$E$13+1,1))-AVERAGE(OFFSET($H$3,0,0,'Données projet'!$E$13+1,1))</f>
        <v>284.88646502866419</v>
      </c>
      <c r="CZ126" s="60">
        <f t="shared" si="96"/>
        <v>190.4880882944471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3.2</v>
      </c>
      <c r="DO126" s="13">
        <f>IF('Données projet'!$A$166&gt;35,DO125+DN126-DW125,IF(A126&lt;'Données projet'!$A$166,$DL$205^A126,IF(A126='Données projet'!$A$166,'Données projet'!$B$166,DO125+DN126-DW125)))</f>
        <v>277.59999999999945</v>
      </c>
      <c r="DP126" s="18">
        <f>DO126*VLOOKUP('Données projet'!$B$14,Paramètres!$A$1:$I$89,3,0)*VLOOKUP('Données projet'!$B$14,Paramètres!$A$1:$I$89,5,0)</f>
        <v>298.8086399999994</v>
      </c>
      <c r="DQ126" s="14">
        <f t="shared" si="97"/>
        <v>70.926650849267929</v>
      </c>
      <c r="DR126" s="22">
        <f t="shared" si="70"/>
        <v>643.95563156247397</v>
      </c>
      <c r="DS126" s="60">
        <f t="shared" si="71"/>
        <v>937.28896489580734</v>
      </c>
      <c r="DT126" s="60">
        <f ca="1">AVERAGE(OFFSET($DS$3,0,0,'Données projet'!$E$14+1,1))-AVERAGE(OFFSET($H$3,0,0,'Données projet'!$E$14+1,1))</f>
        <v>502.07782026233912</v>
      </c>
      <c r="DU126" s="60">
        <f t="shared" si="98"/>
        <v>285.83623046025156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-1.7053025658242404E-13</v>
      </c>
      <c r="EK126" s="18">
        <f>EJ126*VLOOKUP('Données projet'!$B$15,Paramètres!$A$1:$I$89,3,0)*VLOOKUP('Données projet'!$B$15,Paramètres!$A$1:$I$89,5,0)</f>
        <v>-1.4897523215040567E-13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339.58437495284466</v>
      </c>
      <c r="EP126" s="60">
        <f t="shared" si="100"/>
        <v>371.26234252426531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3.2</v>
      </c>
      <c r="FE126" s="13">
        <f>IF('Données projet'!$A$218&gt;35,FE125+FD126-FM125,IF(A126&lt;'Données projet'!$A$218,$FB$205^A126,IF(A126='Données projet'!$A$218,'Données projet'!$B$218,FE125+FD126-FM125)))</f>
        <v>277.59999999999945</v>
      </c>
      <c r="FF126" s="18">
        <f>FE126*VLOOKUP('Données projet'!$B$16,Paramètres!$A$1:$I$89,3,0)*VLOOKUP('Données projet'!$B$16,Paramètres!$A$1:$I$89,5,0)</f>
        <v>268.49471999999946</v>
      </c>
      <c r="FG126" s="14">
        <f t="shared" si="101"/>
        <v>64.529707010294615</v>
      </c>
      <c r="FH126" s="22">
        <f t="shared" si="76"/>
        <v>580.01754370959543</v>
      </c>
      <c r="FI126" s="60">
        <f t="shared" si="77"/>
        <v>873.35087704292869</v>
      </c>
      <c r="FJ126" s="60">
        <f ca="1">AVERAGE(OFFSET($FI$3,0,0,'Données projet'!$E$16+1,1))-AVERAGE(OFFSET($H$3,0,0,'Données projet'!$E$16+1,1))</f>
        <v>455.50822833641354</v>
      </c>
      <c r="FK126" s="60">
        <f t="shared" si="102"/>
        <v>261.14722581688039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284.73119999999943</v>
      </c>
      <c r="P127" s="14">
        <f t="shared" si="87"/>
        <v>67.965870320050826</v>
      </c>
      <c r="Q127" s="22">
        <f t="shared" si="107"/>
        <v>614.28073080742081</v>
      </c>
      <c r="R127" s="60">
        <f t="shared" si="55"/>
        <v>907.61406414075418</v>
      </c>
      <c r="S127" s="60">
        <f ca="1">AVERAGE(OFFSET($R$3,0,0,'Données projet'!$E$9+1,1))-AVERAGE(OFFSET($H$3,0,0,'Données projet'!$E$9+1,1))</f>
        <v>475.47920969424894</v>
      </c>
      <c r="T127" s="60">
        <f t="shared" si="88"/>
        <v>271.73544012419364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-2.8421709430404007E-13</v>
      </c>
      <c r="AJ127" s="14">
        <f>AI127*VLOOKUP('Données projet'!$B$10,Paramètres!$A$1:$I$89,3,0)*VLOOKUP('Données projet'!$B$10,Paramètres!$A$1:$I$89,5,0)</f>
        <v>-1.69961822393816E-13</v>
      </c>
      <c r="AK127" s="14" t="e">
        <f t="shared" si="89"/>
        <v>#NUM!</v>
      </c>
      <c r="AL127" s="22" t="e">
        <f t="shared" si="58"/>
        <v>#NUM!</v>
      </c>
      <c r="AM127" s="60" t="e">
        <f t="shared" si="59"/>
        <v>#NUM!</v>
      </c>
      <c r="AN127" s="60">
        <f ca="1">AVERAGE(OFFSET($AM$3,0,0,'Données projet'!$E$10+1,1))-AVERAGE(OFFSET($H$3,0,0,'Données projet'!$E$10+1,1))</f>
        <v>289.24721145176682</v>
      </c>
      <c r="AO127" s="60">
        <f t="shared" si="90"/>
        <v>229.06617320689003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0.16734677143672419</v>
      </c>
      <c r="AW127" s="23">
        <f>EXP(-LN(2)/2)*AW126+(1-EXP(-LN(2)/2))/(LN(2)/2)*AQ127*AT127*VLOOKUP('Données projet'!$B$10,Paramètres!$A$1:$I$89,3,0)*0.475*44/12</f>
        <v>3.1501928970387933E-14</v>
      </c>
      <c r="AX127" s="23">
        <f t="shared" si="60"/>
        <v>0.16734677143675569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5.6843418860808015E-14</v>
      </c>
      <c r="BE127" s="14">
        <f>BD127*VLOOKUP('Données projet'!$B$11,Paramètres!$A$1:$I$89,3,0)*VLOOKUP('Données projet'!$B$11,Paramètres!$A$1:$I$89,5,0)</f>
        <v>3.3992364478763198E-14</v>
      </c>
      <c r="BF127" s="14">
        <f t="shared" si="91"/>
        <v>5.790027782444094E-13</v>
      </c>
      <c r="BG127" s="22">
        <f t="shared" si="61"/>
        <v>1.0676332069095257E-12</v>
      </c>
      <c r="BH127" s="60">
        <f t="shared" si="62"/>
        <v>293.33333333333439</v>
      </c>
      <c r="BI127" s="60">
        <f ca="1">AVERAGE(OFFSET($BH$3,0,0,'Données projet'!$E$11+1,1))-AVERAGE(OFFSET($H$3,0,0,'Données projet'!$E$11+1,1))</f>
        <v>287.91374663515506</v>
      </c>
      <c r="BJ127" s="60">
        <f t="shared" si="92"/>
        <v>217.76240797006147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3.2</v>
      </c>
      <c r="BY127" s="13">
        <f>IF('Données projet'!$A$114&gt;35,BY126+BX127-CG126,IF(A127&lt;'Données projet'!$A$114,$BV$205^A127,IF(A127='Données projet'!$A$114,'Données projet'!$B$114,BY126+BX127-CG126)))</f>
        <v>280.79999999999944</v>
      </c>
      <c r="BZ127" s="14">
        <f>BY127*VLOOKUP('Données projet'!$B$12,Paramètres!$A$1:$I$89,3,0)*VLOOKUP('Données projet'!$B$12,Paramètres!$A$1:$I$89,5,0)</f>
        <v>254.06783999999948</v>
      </c>
      <c r="CA127" s="14">
        <f t="shared" si="93"/>
        <v>61.456187622750612</v>
      </c>
      <c r="CB127" s="22">
        <f t="shared" si="64"/>
        <v>549.53768144295634</v>
      </c>
      <c r="CC127" s="60">
        <f t="shared" si="65"/>
        <v>842.87101477628971</v>
      </c>
      <c r="CD127" s="60">
        <f ca="1">AVERAGE(OFFSET($CC$3,0,0,'Données projet'!$E$12+1,1))-AVERAGE(OFFSET($H$3,0,0,'Données projet'!$E$12+1,1))</f>
        <v>428.8489304403459</v>
      </c>
      <c r="CE127" s="60">
        <f t="shared" si="94"/>
        <v>247.01165577562966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5.1538461538461551</v>
      </c>
      <c r="CT127" s="13">
        <f>IF('Données projet'!$A$140&gt;35,CT126+CS127-DB126,IF(A127&lt;'Données projet'!$A$140,$CQ$205^A127,IF(A127='Données projet'!$A$140,'Données projet'!$B$140,CT126+CS127-DB126)))</f>
        <v>225.99230769230761</v>
      </c>
      <c r="CU127" s="18">
        <f>CT127*VLOOKUP('Données projet'!$B$13,Paramètres!$A$1:$I$89,3,0)*VLOOKUP('Données projet'!$B$13,Paramètres!$A$1:$I$89,5,0)</f>
        <v>105.76439999999997</v>
      </c>
      <c r="CV127" s="14">
        <f t="shared" si="95"/>
        <v>28.330775059514437</v>
      </c>
      <c r="CW127" s="22">
        <f t="shared" si="67"/>
        <v>233.54909656198762</v>
      </c>
      <c r="CX127" s="60">
        <f t="shared" si="68"/>
        <v>526.88242989532091</v>
      </c>
      <c r="CY127" s="60">
        <f ca="1">AVERAGE(OFFSET($CX$3,0,0,'Données projet'!$E$13+1,1))-AVERAGE(OFFSET($H$3,0,0,'Données projet'!$E$13+1,1))</f>
        <v>284.88646502866419</v>
      </c>
      <c r="CZ127" s="60">
        <f t="shared" si="96"/>
        <v>190.4880882944471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3.2</v>
      </c>
      <c r="DO127" s="13">
        <f>IF('Données projet'!$A$166&gt;35,DO126+DN127-DW126,IF(A127&lt;'Données projet'!$A$166,$DL$205^A127,IF(A127='Données projet'!$A$166,'Données projet'!$B$166,DO126+DN127-DW126)))</f>
        <v>280.79999999999944</v>
      </c>
      <c r="DP127" s="18">
        <f>DO127*VLOOKUP('Données projet'!$B$14,Paramètres!$A$1:$I$89,3,0)*VLOOKUP('Données projet'!$B$14,Paramètres!$A$1:$I$89,5,0)</f>
        <v>302.2531199999994</v>
      </c>
      <c r="DQ127" s="14">
        <f t="shared" si="97"/>
        <v>71.648598083211283</v>
      </c>
      <c r="DR127" s="22">
        <f t="shared" si="70"/>
        <v>651.21215899492529</v>
      </c>
      <c r="DS127" s="60">
        <f t="shared" si="71"/>
        <v>944.54549232825866</v>
      </c>
      <c r="DT127" s="60">
        <f ca="1">AVERAGE(OFFSET($DS$3,0,0,'Données projet'!$E$14+1,1))-AVERAGE(OFFSET($H$3,0,0,'Données projet'!$E$14+1,1))</f>
        <v>502.07782026233912</v>
      </c>
      <c r="DU127" s="60">
        <f t="shared" si="98"/>
        <v>285.83623046025156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-1.7053025658242404E-13</v>
      </c>
      <c r="EK127" s="18">
        <f>EJ127*VLOOKUP('Données projet'!$B$15,Paramètres!$A$1:$I$89,3,0)*VLOOKUP('Données projet'!$B$15,Paramètres!$A$1:$I$89,5,0)</f>
        <v>-1.4897523215040567E-13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339.58437495284466</v>
      </c>
      <c r="EP127" s="60">
        <f t="shared" si="100"/>
        <v>371.26234252426531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3.2</v>
      </c>
      <c r="FE127" s="13">
        <f>IF('Données projet'!$A$218&gt;35,FE126+FD127-FM126,IF(A127&lt;'Données projet'!$A$218,$FB$205^A127,IF(A127='Données projet'!$A$218,'Données projet'!$B$218,FE126+FD127-FM126)))</f>
        <v>280.79999999999944</v>
      </c>
      <c r="FF127" s="18">
        <f>FE127*VLOOKUP('Données projet'!$B$16,Paramètres!$A$1:$I$89,3,0)*VLOOKUP('Données projet'!$B$16,Paramètres!$A$1:$I$89,5,0)</f>
        <v>271.5897599999995</v>
      </c>
      <c r="FG127" s="14">
        <f t="shared" si="101"/>
        <v>65.186541118848012</v>
      </c>
      <c r="FH127" s="22">
        <f t="shared" si="76"/>
        <v>586.55205778199274</v>
      </c>
      <c r="FI127" s="60">
        <f t="shared" si="77"/>
        <v>879.885391115326</v>
      </c>
      <c r="FJ127" s="60">
        <f ca="1">AVERAGE(OFFSET($FI$3,0,0,'Données projet'!$E$16+1,1))-AVERAGE(OFFSET($H$3,0,0,'Données projet'!$E$16+1,1))</f>
        <v>455.50822833641354</v>
      </c>
      <c r="FK127" s="60">
        <f t="shared" si="102"/>
        <v>261.14722581688039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287.97599999999943</v>
      </c>
      <c r="P128" s="14">
        <f t="shared" si="87"/>
        <v>68.649801713863027</v>
      </c>
      <c r="Q128" s="22">
        <f t="shared" si="107"/>
        <v>621.12327131831046</v>
      </c>
      <c r="R128" s="60">
        <f t="shared" si="55"/>
        <v>914.45660465164383</v>
      </c>
      <c r="S128" s="60">
        <f ca="1">AVERAGE(OFFSET($R$3,0,0,'Données projet'!$E$9+1,1))-AVERAGE(OFFSET($H$3,0,0,'Données projet'!$E$9+1,1))</f>
        <v>475.47920969424894</v>
      </c>
      <c r="T128" s="60">
        <f t="shared" si="88"/>
        <v>271.73544012419364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-2.8421709430404007E-13</v>
      </c>
      <c r="AJ128" s="14">
        <f>AI128*VLOOKUP('Données projet'!$B$10,Paramètres!$A$1:$I$89,3,0)*VLOOKUP('Données projet'!$B$10,Paramètres!$A$1:$I$89,5,0)</f>
        <v>-1.69961822393816E-13</v>
      </c>
      <c r="AK128" s="14" t="e">
        <f t="shared" si="89"/>
        <v>#NUM!</v>
      </c>
      <c r="AL128" s="22" t="e">
        <f t="shared" si="58"/>
        <v>#NUM!</v>
      </c>
      <c r="AM128" s="60" t="e">
        <f t="shared" si="59"/>
        <v>#NUM!</v>
      </c>
      <c r="AN128" s="60">
        <f ca="1">AVERAGE(OFFSET($AM$3,0,0,'Données projet'!$E$10+1,1))-AVERAGE(OFFSET($H$3,0,0,'Données projet'!$E$10+1,1))</f>
        <v>289.24721145176682</v>
      </c>
      <c r="AO128" s="60">
        <f t="shared" si="90"/>
        <v>229.06617320689003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0.16277066517140273</v>
      </c>
      <c r="AW128" s="23">
        <f>EXP(-LN(2)/2)*AW127+(1-EXP(-LN(2)/2))/(LN(2)/2)*AQ128*AT128*VLOOKUP('Données projet'!$B$10,Paramètres!$A$1:$I$89,3,0)*0.475*44/12</f>
        <v>2.2275227595418263E-14</v>
      </c>
      <c r="AX128" s="23">
        <f t="shared" si="60"/>
        <v>0.16277066517142502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5.6843418860808015E-14</v>
      </c>
      <c r="BE128" s="14">
        <f>BD128*VLOOKUP('Données projet'!$B$11,Paramètres!$A$1:$I$89,3,0)*VLOOKUP('Données projet'!$B$11,Paramètres!$A$1:$I$89,5,0)</f>
        <v>3.3992364478763198E-14</v>
      </c>
      <c r="BF128" s="14">
        <f t="shared" si="91"/>
        <v>5.790027782444094E-13</v>
      </c>
      <c r="BG128" s="22">
        <f t="shared" si="61"/>
        <v>1.0676332069095257E-12</v>
      </c>
      <c r="BH128" s="60">
        <f t="shared" si="62"/>
        <v>293.33333333333439</v>
      </c>
      <c r="BI128" s="60">
        <f ca="1">AVERAGE(OFFSET($BH$3,0,0,'Données projet'!$E$11+1,1))-AVERAGE(OFFSET($H$3,0,0,'Données projet'!$E$11+1,1))</f>
        <v>287.91374663515506</v>
      </c>
      <c r="BJ128" s="60">
        <f t="shared" si="92"/>
        <v>217.76240797006147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3.2</v>
      </c>
      <c r="BY128" s="13">
        <f>IF('Données projet'!$A$114&gt;35,BY127+BX128-CG127,IF(A128&lt;'Données projet'!$A$114,$BV$205^A128,IF(A128='Données projet'!$A$114,'Données projet'!$B$114,BY127+BX128-CG127)))</f>
        <v>283.99999999999943</v>
      </c>
      <c r="BZ128" s="14">
        <f>BY128*VLOOKUP('Données projet'!$B$12,Paramètres!$A$1:$I$89,3,0)*VLOOKUP('Données projet'!$B$12,Paramètres!$A$1:$I$89,5,0)</f>
        <v>256.96319999999946</v>
      </c>
      <c r="CA128" s="14">
        <f t="shared" si="93"/>
        <v>62.07461295683791</v>
      </c>
      <c r="CB128" s="22">
        <f t="shared" si="64"/>
        <v>555.65752423315837</v>
      </c>
      <c r="CC128" s="60">
        <f t="shared" si="65"/>
        <v>848.99085756649174</v>
      </c>
      <c r="CD128" s="60">
        <f ca="1">AVERAGE(OFFSET($CC$3,0,0,'Données projet'!$E$12+1,1))-AVERAGE(OFFSET($H$3,0,0,'Données projet'!$E$12+1,1))</f>
        <v>428.8489304403459</v>
      </c>
      <c r="CE128" s="60">
        <f t="shared" si="94"/>
        <v>247.01165577562966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5.1538461538461551</v>
      </c>
      <c r="CT128" s="13">
        <f>IF('Données projet'!$A$140&gt;35,CT127+CS128-DB127,IF(A128&lt;'Données projet'!$A$140,$CQ$205^A128,IF(A128='Données projet'!$A$140,'Données projet'!$B$140,CT127+CS128-DB127)))</f>
        <v>231.14615384615377</v>
      </c>
      <c r="CU128" s="18">
        <f>CT128*VLOOKUP('Données projet'!$B$13,Paramètres!$A$1:$I$89,3,0)*VLOOKUP('Données projet'!$B$13,Paramètres!$A$1:$I$89,5,0)</f>
        <v>108.17639999999996</v>
      </c>
      <c r="CV128" s="14">
        <f t="shared" si="95"/>
        <v>28.900913056732801</v>
      </c>
      <c r="CW128" s="22">
        <f t="shared" si="67"/>
        <v>238.74298690714286</v>
      </c>
      <c r="CX128" s="60">
        <f t="shared" si="68"/>
        <v>532.07632024047621</v>
      </c>
      <c r="CY128" s="60">
        <f ca="1">AVERAGE(OFFSET($CX$3,0,0,'Données projet'!$E$13+1,1))-AVERAGE(OFFSET($H$3,0,0,'Données projet'!$E$13+1,1))</f>
        <v>284.88646502866419</v>
      </c>
      <c r="CZ128" s="60">
        <f t="shared" si="96"/>
        <v>190.4880882944471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3.2</v>
      </c>
      <c r="DO128" s="13">
        <f>IF('Données projet'!$A$166&gt;35,DO127+DN128-DW127,IF(A128&lt;'Données projet'!$A$166,$DL$205^A128,IF(A128='Données projet'!$A$166,'Données projet'!$B$166,DO127+DN128-DW127)))</f>
        <v>283.99999999999943</v>
      </c>
      <c r="DP128" s="18">
        <f>DO128*VLOOKUP('Données projet'!$B$14,Paramètres!$A$1:$I$89,3,0)*VLOOKUP('Données projet'!$B$14,Paramètres!$A$1:$I$89,5,0)</f>
        <v>305.69759999999934</v>
      </c>
      <c r="DQ128" s="14">
        <f t="shared" si="97"/>
        <v>72.369588270212233</v>
      </c>
      <c r="DR128" s="22">
        <f t="shared" si="70"/>
        <v>658.46701957061839</v>
      </c>
      <c r="DS128" s="60">
        <f t="shared" si="71"/>
        <v>951.80035290395176</v>
      </c>
      <c r="DT128" s="60">
        <f ca="1">AVERAGE(OFFSET($DS$3,0,0,'Données projet'!$E$14+1,1))-AVERAGE(OFFSET($H$3,0,0,'Données projet'!$E$14+1,1))</f>
        <v>502.07782026233912</v>
      </c>
      <c r="DU128" s="60">
        <f t="shared" si="98"/>
        <v>285.83623046025156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-1.7053025658242404E-13</v>
      </c>
      <c r="EK128" s="18">
        <f>EJ128*VLOOKUP('Données projet'!$B$15,Paramètres!$A$1:$I$89,3,0)*VLOOKUP('Données projet'!$B$15,Paramètres!$A$1:$I$89,5,0)</f>
        <v>-1.4897523215040567E-13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339.58437495284466</v>
      </c>
      <c r="EP128" s="60">
        <f t="shared" si="100"/>
        <v>371.26234252426531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3.2</v>
      </c>
      <c r="FE128" s="13">
        <f>IF('Données projet'!$A$218&gt;35,FE127+FD128-FM127,IF(A128&lt;'Données projet'!$A$218,$FB$205^A128,IF(A128='Données projet'!$A$218,'Données projet'!$B$218,FE127+FD128-FM127)))</f>
        <v>283.99999999999943</v>
      </c>
      <c r="FF128" s="18">
        <f>FE128*VLOOKUP('Données projet'!$B$16,Paramètres!$A$1:$I$89,3,0)*VLOOKUP('Données projet'!$B$16,Paramètres!$A$1:$I$89,5,0)</f>
        <v>274.68479999999943</v>
      </c>
      <c r="FG128" s="14">
        <f t="shared" si="101"/>
        <v>65.842504497456545</v>
      </c>
      <c r="FH128" s="22">
        <f t="shared" si="76"/>
        <v>593.08505533306914</v>
      </c>
      <c r="FI128" s="60">
        <f t="shared" si="77"/>
        <v>886.41838866640251</v>
      </c>
      <c r="FJ128" s="60">
        <f ca="1">AVERAGE(OFFSET($FI$3,0,0,'Données projet'!$E$16+1,1))-AVERAGE(OFFSET($H$3,0,0,'Données projet'!$E$16+1,1))</f>
        <v>455.50822833641354</v>
      </c>
      <c r="FK128" s="60">
        <f t="shared" si="102"/>
        <v>261.14722581688039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291.22079999999943</v>
      </c>
      <c r="P129" s="14">
        <f t="shared" si="87"/>
        <v>69.33283666585649</v>
      </c>
      <c r="Q129" s="22">
        <f t="shared" si="107"/>
        <v>627.96425052636573</v>
      </c>
      <c r="R129" s="60">
        <f t="shared" si="55"/>
        <v>921.29758385969899</v>
      </c>
      <c r="S129" s="60">
        <f ca="1">AVERAGE(OFFSET($R$3,0,0,'Données projet'!$E$9+1,1))-AVERAGE(OFFSET($H$3,0,0,'Données projet'!$E$9+1,1))</f>
        <v>475.47920969424894</v>
      </c>
      <c r="T129" s="60">
        <f t="shared" si="88"/>
        <v>271.73544012419364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-2.8421709430404007E-13</v>
      </c>
      <c r="AJ129" s="14">
        <f>AI129*VLOOKUP('Données projet'!$B$10,Paramètres!$A$1:$I$89,3,0)*VLOOKUP('Données projet'!$B$10,Paramètres!$A$1:$I$89,5,0)</f>
        <v>-1.69961822393816E-13</v>
      </c>
      <c r="AK129" s="14" t="e">
        <f t="shared" si="89"/>
        <v>#NUM!</v>
      </c>
      <c r="AL129" s="22" t="e">
        <f t="shared" si="58"/>
        <v>#NUM!</v>
      </c>
      <c r="AM129" s="60" t="e">
        <f t="shared" si="59"/>
        <v>#NUM!</v>
      </c>
      <c r="AN129" s="60">
        <f ca="1">AVERAGE(OFFSET($AM$3,0,0,'Données projet'!$E$10+1,1))-AVERAGE(OFFSET($H$3,0,0,'Données projet'!$E$10+1,1))</f>
        <v>289.24721145176682</v>
      </c>
      <c r="AO129" s="60">
        <f t="shared" si="90"/>
        <v>229.06617320689003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0.15831969277255345</v>
      </c>
      <c r="AW129" s="23">
        <f>EXP(-LN(2)/2)*AW128+(1-EXP(-LN(2)/2))/(LN(2)/2)*AQ129*AT129*VLOOKUP('Données projet'!$B$10,Paramètres!$A$1:$I$89,3,0)*0.475*44/12</f>
        <v>1.5750964485193967E-14</v>
      </c>
      <c r="AX129" s="23">
        <f t="shared" si="60"/>
        <v>0.15831969277256919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5.6843418860808015E-14</v>
      </c>
      <c r="BE129" s="14">
        <f>BD129*VLOOKUP('Données projet'!$B$11,Paramètres!$A$1:$I$89,3,0)*VLOOKUP('Données projet'!$B$11,Paramètres!$A$1:$I$89,5,0)</f>
        <v>3.3992364478763198E-14</v>
      </c>
      <c r="BF129" s="14">
        <f t="shared" si="91"/>
        <v>5.790027782444094E-13</v>
      </c>
      <c r="BG129" s="22">
        <f t="shared" si="61"/>
        <v>1.0676332069095257E-12</v>
      </c>
      <c r="BH129" s="60">
        <f t="shared" si="62"/>
        <v>293.33333333333439</v>
      </c>
      <c r="BI129" s="60">
        <f ca="1">AVERAGE(OFFSET($BH$3,0,0,'Données projet'!$E$11+1,1))-AVERAGE(OFFSET($H$3,0,0,'Données projet'!$E$11+1,1))</f>
        <v>287.91374663515506</v>
      </c>
      <c r="BJ129" s="60">
        <f t="shared" si="92"/>
        <v>217.76240797006147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3.2</v>
      </c>
      <c r="BY129" s="13">
        <f>IF('Données projet'!$A$114&gt;35,BY128+BX129-CG128,IF(A129&lt;'Données projet'!$A$114,$BV$205^A129,IF(A129='Données projet'!$A$114,'Données projet'!$B$114,BY128+BX129-CG128)))</f>
        <v>287.19999999999942</v>
      </c>
      <c r="BZ129" s="14">
        <f>BY129*VLOOKUP('Données projet'!$B$12,Paramètres!$A$1:$I$89,3,0)*VLOOKUP('Données projet'!$B$12,Paramètres!$A$1:$I$89,5,0)</f>
        <v>259.85855999999944</v>
      </c>
      <c r="CA129" s="14">
        <f t="shared" si="93"/>
        <v>62.692227709138365</v>
      </c>
      <c r="CB129" s="22">
        <f t="shared" si="64"/>
        <v>561.77595526008167</v>
      </c>
      <c r="CC129" s="60">
        <f t="shared" si="65"/>
        <v>855.10928859341493</v>
      </c>
      <c r="CD129" s="60">
        <f ca="1">AVERAGE(OFFSET($CC$3,0,0,'Données projet'!$E$12+1,1))-AVERAGE(OFFSET($H$3,0,0,'Données projet'!$E$12+1,1))</f>
        <v>428.8489304403459</v>
      </c>
      <c r="CE129" s="60">
        <f t="shared" si="94"/>
        <v>247.01165577562966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>
        <f>VLOOKUP(A129,'Données projet'!$A$139:$I$159,2,0)</f>
        <v>236.29999999999998</v>
      </c>
      <c r="CR129" s="13">
        <f>VLOOKUP(A129,'Données projet'!$A$139:$I$159,9,0)</f>
        <v>5.1538461538461551</v>
      </c>
      <c r="CS129" s="13">
        <f t="array" ref="CS129">INDEX(CR:CR,MIN(IF(ISNUMBER(CR129:CR325),ROW(CR129:CR325),"")))</f>
        <v>5.1538461538461551</v>
      </c>
      <c r="CT129" s="13">
        <f>IF('Données projet'!$A$140&gt;35,CT128+CS129-DB128,IF(A129&lt;'Données projet'!$A$140,$CQ$205^A129,IF(A129='Données projet'!$A$140,'Données projet'!$B$140,CT128+CS129-DB128)))</f>
        <v>236.29999999999993</v>
      </c>
      <c r="CU129" s="18">
        <f>CT129*VLOOKUP('Données projet'!$B$13,Paramètres!$A$1:$I$89,3,0)*VLOOKUP('Données projet'!$B$13,Paramètres!$A$1:$I$89,5,0)</f>
        <v>110.58839999999996</v>
      </c>
      <c r="CV129" s="14">
        <f t="shared" si="95"/>
        <v>29.469573129181644</v>
      </c>
      <c r="CW129" s="22">
        <f t="shared" si="67"/>
        <v>243.93430319999132</v>
      </c>
      <c r="CX129" s="60">
        <f t="shared" si="68"/>
        <v>537.26763653332466</v>
      </c>
      <c r="CY129" s="60">
        <f ca="1">AVERAGE(OFFSET($CX$3,0,0,'Données projet'!$E$13+1,1))-AVERAGE(OFFSET($H$3,0,0,'Données projet'!$E$13+1,1))</f>
        <v>284.88646502866419</v>
      </c>
      <c r="CZ129" s="60">
        <f t="shared" si="96"/>
        <v>190.4880882944471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3.2</v>
      </c>
      <c r="DO129" s="13">
        <f>IF('Données projet'!$A$166&gt;35,DO128+DN129-DW128,IF(A129&lt;'Données projet'!$A$166,$DL$205^A129,IF(A129='Données projet'!$A$166,'Données projet'!$B$166,DO128+DN129-DW128)))</f>
        <v>287.19999999999942</v>
      </c>
      <c r="DP129" s="18">
        <f>DO129*VLOOKUP('Données projet'!$B$14,Paramètres!$A$1:$I$89,3,0)*VLOOKUP('Données projet'!$B$14,Paramètres!$A$1:$I$89,5,0)</f>
        <v>309.14207999999934</v>
      </c>
      <c r="DQ129" s="14">
        <f t="shared" si="97"/>
        <v>73.089633441733085</v>
      </c>
      <c r="DR129" s="22">
        <f t="shared" si="70"/>
        <v>665.72023424435065</v>
      </c>
      <c r="DS129" s="60">
        <f t="shared" si="71"/>
        <v>959.05356757768391</v>
      </c>
      <c r="DT129" s="60">
        <f ca="1">AVERAGE(OFFSET($DS$3,0,0,'Données projet'!$E$14+1,1))-AVERAGE(OFFSET($H$3,0,0,'Données projet'!$E$14+1,1))</f>
        <v>502.07782026233912</v>
      </c>
      <c r="DU129" s="60">
        <f t="shared" si="98"/>
        <v>285.83623046025156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-1.7053025658242404E-13</v>
      </c>
      <c r="EK129" s="18">
        <f>EJ129*VLOOKUP('Données projet'!$B$15,Paramètres!$A$1:$I$89,3,0)*VLOOKUP('Données projet'!$B$15,Paramètres!$A$1:$I$89,5,0)</f>
        <v>-1.4897523215040567E-13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339.58437495284466</v>
      </c>
      <c r="EP129" s="60">
        <f t="shared" si="100"/>
        <v>371.26234252426531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3.2</v>
      </c>
      <c r="FE129" s="13">
        <f>IF('Données projet'!$A$218&gt;35,FE128+FD129-FM128,IF(A129&lt;'Données projet'!$A$218,$FB$205^A129,IF(A129='Données projet'!$A$218,'Données projet'!$B$218,FE128+FD129-FM128)))</f>
        <v>287.19999999999942</v>
      </c>
      <c r="FF129" s="18">
        <f>FE129*VLOOKUP('Données projet'!$B$16,Paramètres!$A$1:$I$89,3,0)*VLOOKUP('Données projet'!$B$16,Paramètres!$A$1:$I$89,5,0)</f>
        <v>277.77983999999947</v>
      </c>
      <c r="FG129" s="14">
        <f t="shared" si="101"/>
        <v>66.497608092453063</v>
      </c>
      <c r="FH129" s="22">
        <f t="shared" si="76"/>
        <v>599.61655542768813</v>
      </c>
      <c r="FI129" s="60">
        <f t="shared" si="77"/>
        <v>892.94988876102138</v>
      </c>
      <c r="FJ129" s="60">
        <f ca="1">AVERAGE(OFFSET($FI$3,0,0,'Données projet'!$E$16+1,1))-AVERAGE(OFFSET($H$3,0,0,'Données projet'!$E$16+1,1))</f>
        <v>455.50822833641354</v>
      </c>
      <c r="FK129" s="60">
        <f t="shared" si="102"/>
        <v>261.14722581688039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294.46559999999943</v>
      </c>
      <c r="P130" s="14">
        <f t="shared" si="87"/>
        <v>70.0149863201041</v>
      </c>
      <c r="Q130" s="22">
        <f t="shared" si="107"/>
        <v>634.80368784084692</v>
      </c>
      <c r="R130" s="60">
        <f t="shared" si="55"/>
        <v>928.13702117418029</v>
      </c>
      <c r="S130" s="60">
        <f ca="1">AVERAGE(OFFSET($R$3,0,0,'Données projet'!$E$9+1,1))-AVERAGE(OFFSET($H$3,0,0,'Données projet'!$E$9+1,1))</f>
        <v>475.47920969424894</v>
      </c>
      <c r="T130" s="60">
        <f t="shared" si="88"/>
        <v>271.73544012419364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-2.8421709430404007E-13</v>
      </c>
      <c r="AJ130" s="14">
        <f>AI130*VLOOKUP('Données projet'!$B$10,Paramètres!$A$1:$I$89,3,0)*VLOOKUP('Données projet'!$B$10,Paramètres!$A$1:$I$89,5,0)</f>
        <v>-1.69961822393816E-13</v>
      </c>
      <c r="AK130" s="14" t="e">
        <f t="shared" si="89"/>
        <v>#NUM!</v>
      </c>
      <c r="AL130" s="22" t="e">
        <f t="shared" si="58"/>
        <v>#NUM!</v>
      </c>
      <c r="AM130" s="60" t="e">
        <f t="shared" si="59"/>
        <v>#NUM!</v>
      </c>
      <c r="AN130" s="60">
        <f ca="1">AVERAGE(OFFSET($AM$3,0,0,'Données projet'!$E$10+1,1))-AVERAGE(OFFSET($H$3,0,0,'Données projet'!$E$10+1,1))</f>
        <v>289.24721145176682</v>
      </c>
      <c r="AO130" s="60">
        <f t="shared" si="90"/>
        <v>229.06617320689003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0.15399043244801719</v>
      </c>
      <c r="AW130" s="23">
        <f>EXP(-LN(2)/2)*AW129+(1-EXP(-LN(2)/2))/(LN(2)/2)*AQ130*AT130*VLOOKUP('Données projet'!$B$10,Paramètres!$A$1:$I$89,3,0)*0.475*44/12</f>
        <v>1.1137613797709131E-14</v>
      </c>
      <c r="AX130" s="23">
        <f t="shared" si="60"/>
        <v>0.15399043244802832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5.6843418860808015E-14</v>
      </c>
      <c r="BE130" s="14">
        <f>BD130*VLOOKUP('Données projet'!$B$11,Paramètres!$A$1:$I$89,3,0)*VLOOKUP('Données projet'!$B$11,Paramètres!$A$1:$I$89,5,0)</f>
        <v>3.3992364478763198E-14</v>
      </c>
      <c r="BF130" s="14">
        <f t="shared" si="91"/>
        <v>5.790027782444094E-13</v>
      </c>
      <c r="BG130" s="22">
        <f t="shared" si="61"/>
        <v>1.0676332069095257E-12</v>
      </c>
      <c r="BH130" s="60">
        <f t="shared" si="62"/>
        <v>293.33333333333439</v>
      </c>
      <c r="BI130" s="60">
        <f ca="1">AVERAGE(OFFSET($BH$3,0,0,'Données projet'!$E$11+1,1))-AVERAGE(OFFSET($H$3,0,0,'Données projet'!$E$11+1,1))</f>
        <v>287.91374663515506</v>
      </c>
      <c r="BJ130" s="60">
        <f t="shared" si="92"/>
        <v>217.76240797006147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3.2</v>
      </c>
      <c r="BY130" s="13">
        <f>IF('Données projet'!$A$114&gt;35,BY129+BX130-CG129,IF(A130&lt;'Données projet'!$A$114,$BV$205^A130,IF(A130='Données projet'!$A$114,'Données projet'!$B$114,BY129+BX130-CG129)))</f>
        <v>290.39999999999941</v>
      </c>
      <c r="BZ130" s="14">
        <f>BY130*VLOOKUP('Données projet'!$B$12,Paramètres!$A$1:$I$89,3,0)*VLOOKUP('Données projet'!$B$12,Paramètres!$A$1:$I$89,5,0)</f>
        <v>262.75391999999948</v>
      </c>
      <c r="CA130" s="14">
        <f t="shared" si="93"/>
        <v>63.309041956360211</v>
      </c>
      <c r="CB130" s="22">
        <f t="shared" si="64"/>
        <v>567.89299207399313</v>
      </c>
      <c r="CC130" s="60">
        <f t="shared" si="65"/>
        <v>861.22632540732639</v>
      </c>
      <c r="CD130" s="60">
        <f ca="1">AVERAGE(OFFSET($CC$3,0,0,'Données projet'!$E$12+1,1))-AVERAGE(OFFSET($H$3,0,0,'Données projet'!$E$12+1,1))</f>
        <v>428.8489304403459</v>
      </c>
      <c r="CE130" s="60">
        <f t="shared" si="94"/>
        <v>247.01165577562966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4.66307692307692</v>
      </c>
      <c r="CT130" s="13">
        <f>IF('Données projet'!$A$140&gt;35,CT129+CS130-DB129,IF(A130&lt;'Données projet'!$A$140,$CQ$205^A130,IF(A130='Données projet'!$A$140,'Données projet'!$B$140,CT129+CS130-DB129)))</f>
        <v>240.96307692307684</v>
      </c>
      <c r="CU130" s="18">
        <f>CT130*VLOOKUP('Données projet'!$B$13,Paramètres!$A$1:$I$89,3,0)*VLOOKUP('Données projet'!$B$13,Paramètres!$A$1:$I$89,5,0)</f>
        <v>112.77071999999997</v>
      </c>
      <c r="CV130" s="14">
        <f t="shared" si="95"/>
        <v>29.982839682662075</v>
      </c>
      <c r="CW130" s="22">
        <f t="shared" si="67"/>
        <v>248.62911644730306</v>
      </c>
      <c r="CX130" s="60">
        <f t="shared" si="68"/>
        <v>541.96244978063635</v>
      </c>
      <c r="CY130" s="60">
        <f ca="1">AVERAGE(OFFSET($CX$3,0,0,'Données projet'!$E$13+1,1))-AVERAGE(OFFSET($H$3,0,0,'Données projet'!$E$13+1,1))</f>
        <v>284.88646502866419</v>
      </c>
      <c r="CZ130" s="60">
        <f t="shared" si="96"/>
        <v>190.4880882944471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3.2</v>
      </c>
      <c r="DO130" s="13">
        <f>IF('Données projet'!$A$166&gt;35,DO129+DN130-DW129,IF(A130&lt;'Données projet'!$A$166,$DL$205^A130,IF(A130='Données projet'!$A$166,'Données projet'!$B$166,DO129+DN130-DW129)))</f>
        <v>290.39999999999941</v>
      </c>
      <c r="DP130" s="18">
        <f>DO130*VLOOKUP('Données projet'!$B$14,Paramètres!$A$1:$I$89,3,0)*VLOOKUP('Données projet'!$B$14,Paramètres!$A$1:$I$89,5,0)</f>
        <v>312.58655999999934</v>
      </c>
      <c r="DQ130" s="14">
        <f t="shared" si="97"/>
        <v>73.808745345687839</v>
      </c>
      <c r="DR130" s="22">
        <f t="shared" si="70"/>
        <v>672.97182347707178</v>
      </c>
      <c r="DS130" s="60">
        <f t="shared" si="71"/>
        <v>966.30515681040515</v>
      </c>
      <c r="DT130" s="60">
        <f ca="1">AVERAGE(OFFSET($DS$3,0,0,'Données projet'!$E$14+1,1))-AVERAGE(OFFSET($H$3,0,0,'Données projet'!$E$14+1,1))</f>
        <v>502.07782026233912</v>
      </c>
      <c r="DU130" s="60">
        <f t="shared" si="98"/>
        <v>285.83623046025156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-1.7053025658242404E-13</v>
      </c>
      <c r="EK130" s="18">
        <f>EJ130*VLOOKUP('Données projet'!$B$15,Paramètres!$A$1:$I$89,3,0)*VLOOKUP('Données projet'!$B$15,Paramètres!$A$1:$I$89,5,0)</f>
        <v>-1.4897523215040567E-13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339.58437495284466</v>
      </c>
      <c r="EP130" s="60">
        <f t="shared" si="100"/>
        <v>371.26234252426531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3.2</v>
      </c>
      <c r="FE130" s="13">
        <f>IF('Données projet'!$A$218&gt;35,FE129+FD130-FM129,IF(A130&lt;'Données projet'!$A$218,$FB$205^A130,IF(A130='Données projet'!$A$218,'Données projet'!$B$218,FE129+FD130-FM129)))</f>
        <v>290.39999999999941</v>
      </c>
      <c r="FF130" s="18">
        <f>FE130*VLOOKUP('Données projet'!$B$16,Paramètres!$A$1:$I$89,3,0)*VLOOKUP('Données projet'!$B$16,Paramètres!$A$1:$I$89,5,0)</f>
        <v>280.87487999999945</v>
      </c>
      <c r="FG130" s="14">
        <f t="shared" si="101"/>
        <v>67.151862592195727</v>
      </c>
      <c r="FH130" s="22">
        <f t="shared" si="76"/>
        <v>606.1465766814066</v>
      </c>
      <c r="FI130" s="60">
        <f t="shared" si="77"/>
        <v>899.47991001473997</v>
      </c>
      <c r="FJ130" s="60">
        <f ca="1">AVERAGE(OFFSET($FI$3,0,0,'Données projet'!$E$16+1,1))-AVERAGE(OFFSET($H$3,0,0,'Données projet'!$E$16+1,1))</f>
        <v>455.50822833641354</v>
      </c>
      <c r="FK130" s="60">
        <f t="shared" si="102"/>
        <v>261.14722581688039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297.71039999999937</v>
      </c>
      <c r="P131" s="14">
        <f t="shared" si="87"/>
        <v>70.696261560936534</v>
      </c>
      <c r="Q131" s="22">
        <f t="shared" ref="Q131:Q153" si="108">(O131+P131)*0.475*44/12</f>
        <v>641.64160221862994</v>
      </c>
      <c r="R131" s="60">
        <f t="shared" ref="R131:R194" si="109">Q131+(I131+J131)*44/12</f>
        <v>934.9749355519632</v>
      </c>
      <c r="S131" s="60">
        <f ca="1">AVERAGE(OFFSET($R$3,0,0,'Données projet'!$E$9+1,1))-AVERAGE(OFFSET($H$3,0,0,'Données projet'!$E$9+1,1))</f>
        <v>475.47920969424894</v>
      </c>
      <c r="T131" s="60">
        <f t="shared" si="88"/>
        <v>271.73544012419364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-2.8421709430404007E-13</v>
      </c>
      <c r="AJ131" s="14">
        <f>AI131*VLOOKUP('Données projet'!$B$10,Paramètres!$A$1:$I$89,3,0)*VLOOKUP('Données projet'!$B$10,Paramètres!$A$1:$I$89,5,0)</f>
        <v>-1.69961822393816E-13</v>
      </c>
      <c r="AK131" s="14" t="e">
        <f t="shared" si="89"/>
        <v>#NUM!</v>
      </c>
      <c r="AL131" s="22" t="e">
        <f t="shared" si="58"/>
        <v>#NUM!</v>
      </c>
      <c r="AM131" s="60" t="e">
        <f t="shared" si="59"/>
        <v>#NUM!</v>
      </c>
      <c r="AN131" s="60">
        <f ca="1">AVERAGE(OFFSET($AM$3,0,0,'Données projet'!$E$10+1,1))-AVERAGE(OFFSET($H$3,0,0,'Données projet'!$E$10+1,1))</f>
        <v>289.24721145176682</v>
      </c>
      <c r="AO131" s="60">
        <f t="shared" si="90"/>
        <v>229.06617320689003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0.14977955597472126</v>
      </c>
      <c r="AW131" s="23">
        <f>EXP(-LN(2)/2)*AW130+(1-EXP(-LN(2)/2))/(LN(2)/2)*AQ131*AT131*VLOOKUP('Données projet'!$B$10,Paramètres!$A$1:$I$89,3,0)*0.475*44/12</f>
        <v>7.8754822425969833E-15</v>
      </c>
      <c r="AX131" s="23">
        <f t="shared" si="60"/>
        <v>0.14977955597472914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5.6843418860808015E-14</v>
      </c>
      <c r="BE131" s="14">
        <f>BD131*VLOOKUP('Données projet'!$B$11,Paramètres!$A$1:$I$89,3,0)*VLOOKUP('Données projet'!$B$11,Paramètres!$A$1:$I$89,5,0)</f>
        <v>3.3992364478763198E-14</v>
      </c>
      <c r="BF131" s="14">
        <f t="shared" si="91"/>
        <v>5.790027782444094E-13</v>
      </c>
      <c r="BG131" s="22">
        <f t="shared" si="61"/>
        <v>1.0676332069095257E-12</v>
      </c>
      <c r="BH131" s="60">
        <f t="shared" si="62"/>
        <v>293.33333333333439</v>
      </c>
      <c r="BI131" s="60">
        <f ca="1">AVERAGE(OFFSET($BH$3,0,0,'Données projet'!$E$11+1,1))-AVERAGE(OFFSET($H$3,0,0,'Données projet'!$E$11+1,1))</f>
        <v>287.91374663515506</v>
      </c>
      <c r="BJ131" s="60">
        <f t="shared" si="92"/>
        <v>217.76240797006147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3.2</v>
      </c>
      <c r="BY131" s="13">
        <f>IF('Données projet'!$A$114&gt;35,BY130+BX131-CG130,IF(A131&lt;'Données projet'!$A$114,$BV$205^A131,IF(A131='Données projet'!$A$114,'Données projet'!$B$114,BY130+BX131-CG130)))</f>
        <v>293.5999999999994</v>
      </c>
      <c r="BZ131" s="14">
        <f>BY131*VLOOKUP('Données projet'!$B$12,Paramètres!$A$1:$I$89,3,0)*VLOOKUP('Données projet'!$B$12,Paramètres!$A$1:$I$89,5,0)</f>
        <v>265.64927999999946</v>
      </c>
      <c r="CA131" s="14">
        <f t="shared" si="93"/>
        <v>63.925065540346907</v>
      </c>
      <c r="CB131" s="22">
        <f t="shared" si="64"/>
        <v>574.00865181610322</v>
      </c>
      <c r="CC131" s="60">
        <f t="shared" si="65"/>
        <v>867.3419851494366</v>
      </c>
      <c r="CD131" s="60">
        <f ca="1">AVERAGE(OFFSET($CC$3,0,0,'Données projet'!$E$12+1,1))-AVERAGE(OFFSET($H$3,0,0,'Données projet'!$E$12+1,1))</f>
        <v>428.8489304403459</v>
      </c>
      <c r="CE131" s="60">
        <f t="shared" si="94"/>
        <v>247.01165577562966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4.66307692307692</v>
      </c>
      <c r="CT131" s="13">
        <f>IF('Données projet'!$A$140&gt;35,CT130+CS131-DB130,IF(A131&lt;'Données projet'!$A$140,$CQ$205^A131,IF(A131='Données projet'!$A$140,'Données projet'!$B$140,CT130+CS131-DB130)))</f>
        <v>245.62615384615376</v>
      </c>
      <c r="CU131" s="18">
        <f>CT131*VLOOKUP('Données projet'!$B$13,Paramètres!$A$1:$I$89,3,0)*VLOOKUP('Données projet'!$B$13,Paramètres!$A$1:$I$89,5,0)</f>
        <v>114.95303999999996</v>
      </c>
      <c r="CV131" s="14">
        <f t="shared" si="95"/>
        <v>30.494951300893501</v>
      </c>
      <c r="CW131" s="22">
        <f t="shared" si="67"/>
        <v>253.3219181823894</v>
      </c>
      <c r="CX131" s="60">
        <f t="shared" si="68"/>
        <v>546.65525151572274</v>
      </c>
      <c r="CY131" s="60">
        <f ca="1">AVERAGE(OFFSET($CX$3,0,0,'Données projet'!$E$13+1,1))-AVERAGE(OFFSET($H$3,0,0,'Données projet'!$E$13+1,1))</f>
        <v>284.88646502866419</v>
      </c>
      <c r="CZ131" s="60">
        <f t="shared" si="96"/>
        <v>190.4880882944471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3.2</v>
      </c>
      <c r="DO131" s="13">
        <f>IF('Données projet'!$A$166&gt;35,DO130+DN131-DW130,IF(A131&lt;'Données projet'!$A$166,$DL$205^A131,IF(A131='Données projet'!$A$166,'Données projet'!$B$166,DO130+DN131-DW130)))</f>
        <v>293.5999999999994</v>
      </c>
      <c r="DP131" s="18">
        <f>DO131*VLOOKUP('Données projet'!$B$14,Paramètres!$A$1:$I$89,3,0)*VLOOKUP('Données projet'!$B$14,Paramètres!$A$1:$I$89,5,0)</f>
        <v>316.03103999999934</v>
      </c>
      <c r="DQ131" s="14">
        <f t="shared" si="97"/>
        <v>74.526935456174002</v>
      </c>
      <c r="DR131" s="22">
        <f t="shared" si="70"/>
        <v>680.22180725283522</v>
      </c>
      <c r="DS131" s="60">
        <f t="shared" si="71"/>
        <v>973.55514058616859</v>
      </c>
      <c r="DT131" s="60">
        <f ca="1">AVERAGE(OFFSET($DS$3,0,0,'Données projet'!$E$14+1,1))-AVERAGE(OFFSET($H$3,0,0,'Données projet'!$E$14+1,1))</f>
        <v>502.07782026233912</v>
      </c>
      <c r="DU131" s="60">
        <f t="shared" si="98"/>
        <v>285.83623046025156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-1.7053025658242404E-13</v>
      </c>
      <c r="EK131" s="18">
        <f>EJ131*VLOOKUP('Données projet'!$B$15,Paramètres!$A$1:$I$89,3,0)*VLOOKUP('Données projet'!$B$15,Paramètres!$A$1:$I$89,5,0)</f>
        <v>-1.4897523215040567E-13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339.58437495284466</v>
      </c>
      <c r="EP131" s="60">
        <f t="shared" si="100"/>
        <v>371.26234252426531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3.2</v>
      </c>
      <c r="FE131" s="13">
        <f>IF('Données projet'!$A$218&gt;35,FE130+FD131-FM130,IF(A131&lt;'Données projet'!$A$218,$FB$205^A131,IF(A131='Données projet'!$A$218,'Données projet'!$B$218,FE130+FD131-FM130)))</f>
        <v>293.5999999999994</v>
      </c>
      <c r="FF131" s="18">
        <f>FE131*VLOOKUP('Données projet'!$B$16,Paramètres!$A$1:$I$89,3,0)*VLOOKUP('Données projet'!$B$16,Paramètres!$A$1:$I$89,5,0)</f>
        <v>283.96991999999943</v>
      </c>
      <c r="FG131" s="14">
        <f t="shared" si="101"/>
        <v>67.805278435922148</v>
      </c>
      <c r="FH131" s="22">
        <f t="shared" si="76"/>
        <v>612.67513727589676</v>
      </c>
      <c r="FI131" s="60">
        <f t="shared" si="77"/>
        <v>906.00847060923002</v>
      </c>
      <c r="FJ131" s="60">
        <f ca="1">AVERAGE(OFFSET($FI$3,0,0,'Données projet'!$E$16+1,1))-AVERAGE(OFFSET($H$3,0,0,'Données projet'!$E$16+1,1))</f>
        <v>455.50822833641354</v>
      </c>
      <c r="FK131" s="60">
        <f t="shared" si="102"/>
        <v>261.14722581688039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300.95519999999942</v>
      </c>
      <c r="P132" s="14">
        <f t="shared" si="87"/>
        <v>71.376673021759657</v>
      </c>
      <c r="Q132" s="22">
        <f t="shared" si="108"/>
        <v>648.47801217956373</v>
      </c>
      <c r="R132" s="60">
        <f t="shared" si="109"/>
        <v>941.81134551289711</v>
      </c>
      <c r="S132" s="60">
        <f ca="1">AVERAGE(OFFSET($R$3,0,0,'Données projet'!$E$9+1,1))-AVERAGE(OFFSET($H$3,0,0,'Données projet'!$E$9+1,1))</f>
        <v>475.47920969424894</v>
      </c>
      <c r="T132" s="60">
        <f t="shared" si="88"/>
        <v>271.73544012419364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-2.8421709430404007E-13</v>
      </c>
      <c r="AJ132" s="14">
        <f>AI132*VLOOKUP('Données projet'!$B$10,Paramètres!$A$1:$I$89,3,0)*VLOOKUP('Données projet'!$B$10,Paramètres!$A$1:$I$89,5,0)</f>
        <v>-1.69961822393816E-13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0" t="e">
        <f t="shared" ref="AM132:AM195" si="113">AL132+(AD132+AE132)*44/12</f>
        <v>#NUM!</v>
      </c>
      <c r="AN132" s="60">
        <f ca="1">AVERAGE(OFFSET($AM$3,0,0,'Données projet'!$E$10+1,1))-AVERAGE(OFFSET($H$3,0,0,'Données projet'!$E$10+1,1))</f>
        <v>289.24721145176682</v>
      </c>
      <c r="AO132" s="60">
        <f t="shared" si="90"/>
        <v>229.06617320689003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0.14568382614002798</v>
      </c>
      <c r="AW132" s="23">
        <f>EXP(-LN(2)/2)*AW131+(1-EXP(-LN(2)/2))/(LN(2)/2)*AQ132*AT132*VLOOKUP('Données projet'!$B$10,Paramètres!$A$1:$I$89,3,0)*0.475*44/12</f>
        <v>5.5688068988545657E-15</v>
      </c>
      <c r="AX132" s="23">
        <f t="shared" ref="AX132:AX153" si="114">SUM(AU132:AW132)</f>
        <v>0.14568382614003356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5.6843418860808015E-14</v>
      </c>
      <c r="BE132" s="14">
        <f>BD132*VLOOKUP('Données projet'!$B$11,Paramètres!$A$1:$I$89,3,0)*VLOOKUP('Données projet'!$B$11,Paramètres!$A$1:$I$89,5,0)</f>
        <v>3.3992364478763198E-14</v>
      </c>
      <c r="BF132" s="14">
        <f t="shared" si="91"/>
        <v>5.790027782444094E-13</v>
      </c>
      <c r="BG132" s="22">
        <f t="shared" ref="BG132:BG153" si="115">(BE132+BF132)*0.475*44/12</f>
        <v>1.0676332069095257E-12</v>
      </c>
      <c r="BH132" s="60">
        <f t="shared" ref="BH132:BH195" si="116">BG132+(AY132+AZ132)*44/12</f>
        <v>293.33333333333439</v>
      </c>
      <c r="BI132" s="60">
        <f ca="1">AVERAGE(OFFSET($BH$3,0,0,'Données projet'!$E$11+1,1))-AVERAGE(OFFSET($H$3,0,0,'Données projet'!$E$11+1,1))</f>
        <v>287.91374663515506</v>
      </c>
      <c r="BJ132" s="60">
        <f t="shared" si="92"/>
        <v>217.76240797006147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3.2</v>
      </c>
      <c r="BY132" s="13">
        <f>IF('Données projet'!$A$114&gt;35,BY131+BX132-CG131,IF(A132&lt;'Données projet'!$A$114,$BV$205^A132,IF(A132='Données projet'!$A$114,'Données projet'!$B$114,BY131+BX132-CG131)))</f>
        <v>296.79999999999939</v>
      </c>
      <c r="BZ132" s="14">
        <f>BY132*VLOOKUP('Données projet'!$B$12,Paramètres!$A$1:$I$89,3,0)*VLOOKUP('Données projet'!$B$12,Paramètres!$A$1:$I$89,5,0)</f>
        <v>268.54463999999945</v>
      </c>
      <c r="CA132" s="14">
        <f t="shared" si="93"/>
        <v>64.540308076050593</v>
      </c>
      <c r="CB132" s="22">
        <f t="shared" ref="CB132:CB153" si="118">(BZ132+CA132)*0.475*44/12</f>
        <v>580.12295123245383</v>
      </c>
      <c r="CC132" s="60">
        <f t="shared" ref="CC132:CC195" si="119">CB132+(BT132+BU132)*44/12</f>
        <v>873.4562845657872</v>
      </c>
      <c r="CD132" s="60">
        <f ca="1">AVERAGE(OFFSET($CC$3,0,0,'Données projet'!$E$12+1,1))-AVERAGE(OFFSET($H$3,0,0,'Données projet'!$E$12+1,1))</f>
        <v>428.8489304403459</v>
      </c>
      <c r="CE132" s="60">
        <f t="shared" si="94"/>
        <v>247.01165577562966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4.66307692307692</v>
      </c>
      <c r="CT132" s="13">
        <f>IF('Données projet'!$A$140&gt;35,CT131+CS132-DB131,IF(A132&lt;'Données projet'!$A$140,$CQ$205^A132,IF(A132='Données projet'!$A$140,'Données projet'!$B$140,CT131+CS132-DB131)))</f>
        <v>250.28923076923067</v>
      </c>
      <c r="CU132" s="18">
        <f>CT132*VLOOKUP('Données projet'!$B$13,Paramètres!$A$1:$I$89,3,0)*VLOOKUP('Données projet'!$B$13,Paramètres!$A$1:$I$89,5,0)</f>
        <v>117.13535999999995</v>
      </c>
      <c r="CV132" s="14">
        <f t="shared" si="95"/>
        <v>31.005932437785589</v>
      </c>
      <c r="CW132" s="22">
        <f t="shared" ref="CW132:CW153" si="121">(CU132+CV132)*0.475*44/12</f>
        <v>258.01275099580977</v>
      </c>
      <c r="CX132" s="60">
        <f t="shared" ref="CX132:CX195" si="122">CW132+(CO132+CP132)*44/12</f>
        <v>551.34608432914308</v>
      </c>
      <c r="CY132" s="60">
        <f ca="1">AVERAGE(OFFSET($CX$3,0,0,'Données projet'!$E$13+1,1))-AVERAGE(OFFSET($H$3,0,0,'Données projet'!$E$13+1,1))</f>
        <v>284.88646502866419</v>
      </c>
      <c r="CZ132" s="60">
        <f t="shared" si="96"/>
        <v>190.4880882944471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3.2</v>
      </c>
      <c r="DO132" s="13">
        <f>IF('Données projet'!$A$166&gt;35,DO131+DN132-DW131,IF(A132&lt;'Données projet'!$A$166,$DL$205^A132,IF(A132='Données projet'!$A$166,'Données projet'!$B$166,DO131+DN132-DW131)))</f>
        <v>296.79999999999939</v>
      </c>
      <c r="DP132" s="18">
        <f>DO132*VLOOKUP('Données projet'!$B$14,Paramètres!$A$1:$I$89,3,0)*VLOOKUP('Données projet'!$B$14,Paramètres!$A$1:$I$89,5,0)</f>
        <v>319.47551999999928</v>
      </c>
      <c r="DQ132" s="14">
        <f t="shared" si="97"/>
        <v>75.244214982768113</v>
      </c>
      <c r="DR132" s="22">
        <f t="shared" ref="DR132:DR153" si="124">(DP132+DQ132)*0.475*44/12</f>
        <v>687.47020509498645</v>
      </c>
      <c r="DS132" s="60">
        <f t="shared" ref="DS132:DS195" si="125">DR132+(DJ132+DK132)*44/12</f>
        <v>980.80353842831983</v>
      </c>
      <c r="DT132" s="60">
        <f ca="1">AVERAGE(OFFSET($DS$3,0,0,'Données projet'!$E$14+1,1))-AVERAGE(OFFSET($H$3,0,0,'Données projet'!$E$14+1,1))</f>
        <v>502.07782026233912</v>
      </c>
      <c r="DU132" s="60">
        <f t="shared" si="98"/>
        <v>285.83623046025156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-1.7053025658242404E-13</v>
      </c>
      <c r="EK132" s="18">
        <f>EJ132*VLOOKUP('Données projet'!$B$15,Paramètres!$A$1:$I$89,3,0)*VLOOKUP('Données projet'!$B$15,Paramètres!$A$1:$I$89,5,0)</f>
        <v>-1.4897523215040567E-13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339.58437495284466</v>
      </c>
      <c r="EP132" s="60">
        <f t="shared" si="100"/>
        <v>371.26234252426531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3.2</v>
      </c>
      <c r="FE132" s="13">
        <f>IF('Données projet'!$A$218&gt;35,FE131+FD132-FM131,IF(A132&lt;'Données projet'!$A$218,$FB$205^A132,IF(A132='Données projet'!$A$218,'Données projet'!$B$218,FE131+FD132-FM131)))</f>
        <v>296.79999999999939</v>
      </c>
      <c r="FF132" s="18">
        <f>FE132*VLOOKUP('Données projet'!$B$16,Paramètres!$A$1:$I$89,3,0)*VLOOKUP('Données projet'!$B$16,Paramètres!$A$1:$I$89,5,0)</f>
        <v>287.06495999999942</v>
      </c>
      <c r="FG132" s="14">
        <f t="shared" si="101"/>
        <v>68.457865822206202</v>
      </c>
      <c r="FH132" s="22">
        <f t="shared" ref="FH132:FH153" si="130">(FF132+FG132)*0.475*44/12</f>
        <v>619.20225497367471</v>
      </c>
      <c r="FI132" s="60">
        <f t="shared" ref="FI132:FI195" si="131">FH132+(EZ132+FA132)*44/12</f>
        <v>912.53558830700808</v>
      </c>
      <c r="FJ132" s="60">
        <f ca="1">AVERAGE(OFFSET($FI$3,0,0,'Données projet'!$E$16+1,1))-AVERAGE(OFFSET($H$3,0,0,'Données projet'!$E$16+1,1))</f>
        <v>455.50822833641354</v>
      </c>
      <c r="FK132" s="60">
        <f t="shared" si="102"/>
        <v>261.14722581688039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304.19999999999936</v>
      </c>
      <c r="P133" s="14">
        <f t="shared" ref="P133:P196" si="141">EXP(-1.0587+0.8836*LN(O133)+0.284)</f>
        <v>72.056231093480946</v>
      </c>
      <c r="Q133" s="22">
        <f t="shared" si="108"/>
        <v>655.31293582114483</v>
      </c>
      <c r="R133" s="60">
        <f t="shared" si="109"/>
        <v>948.6462691544782</v>
      </c>
      <c r="S133" s="60">
        <f ca="1">AVERAGE(OFFSET($R$3,0,0,'Données projet'!$E$9+1,1))-AVERAGE(OFFSET($H$3,0,0,'Données projet'!$E$9+1,1))</f>
        <v>475.47920969424894</v>
      </c>
      <c r="T133" s="60">
        <f t="shared" ref="T133:T196" si="142">$T$3</f>
        <v>271.73544012419364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-2.8421709430404007E-13</v>
      </c>
      <c r="AJ133" s="14">
        <f>AI133*VLOOKUP('Données projet'!$B$10,Paramètres!$A$1:$I$89,3,0)*VLOOKUP('Données projet'!$B$10,Paramètres!$A$1:$I$89,5,0)</f>
        <v>-1.69961822393816E-13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0" t="e">
        <f t="shared" si="113"/>
        <v>#NUM!</v>
      </c>
      <c r="AN133" s="60">
        <f ca="1">AVERAGE(OFFSET($AM$3,0,0,'Données projet'!$E$10+1,1))-AVERAGE(OFFSET($H$3,0,0,'Données projet'!$E$10+1,1))</f>
        <v>289.24721145176682</v>
      </c>
      <c r="AO133" s="60">
        <f t="shared" ref="AO133:AO196" si="144">$AO$3</f>
        <v>229.06617320689003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0.14170009425304947</v>
      </c>
      <c r="AW133" s="23">
        <f>EXP(-LN(2)/2)*AW132+(1-EXP(-LN(2)/2))/(LN(2)/2)*AQ133*AT133*VLOOKUP('Données projet'!$B$10,Paramètres!$A$1:$I$89,3,0)*0.475*44/12</f>
        <v>3.9377411212984916E-15</v>
      </c>
      <c r="AX133" s="23">
        <f t="shared" si="114"/>
        <v>0.14170009425305341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5.6843418860808015E-14</v>
      </c>
      <c r="BE133" s="14">
        <f>BD133*VLOOKUP('Données projet'!$B$11,Paramètres!$A$1:$I$89,3,0)*VLOOKUP('Données projet'!$B$11,Paramètres!$A$1:$I$89,5,0)</f>
        <v>3.3992364478763198E-14</v>
      </c>
      <c r="BF133" s="14">
        <f t="shared" ref="BF133:BF153" si="145">EXP(-1.0587+0.8836*LN(BE133)+0.284)</f>
        <v>5.790027782444094E-13</v>
      </c>
      <c r="BG133" s="22">
        <f t="shared" si="115"/>
        <v>1.0676332069095257E-12</v>
      </c>
      <c r="BH133" s="60">
        <f t="shared" si="116"/>
        <v>293.33333333333439</v>
      </c>
      <c r="BI133" s="60">
        <f ca="1">AVERAGE(OFFSET($BH$3,0,0,'Données projet'!$E$11+1,1))-AVERAGE(OFFSET($H$3,0,0,'Données projet'!$E$11+1,1))</f>
        <v>287.91374663515506</v>
      </c>
      <c r="BJ133" s="60">
        <f t="shared" ref="BJ133:BJ196" si="146">$BJ$3</f>
        <v>217.76240797006147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>
        <f>VLOOKUP(A133,'Données projet'!$A$113:$I$133,2,0)</f>
        <v>300</v>
      </c>
      <c r="BW133" s="13">
        <f>VLOOKUP(A133,'Données projet'!$A$113:$I$133,9,0)</f>
        <v>3.2</v>
      </c>
      <c r="BX133" s="13">
        <f t="array" ref="BX133">INDEX(BW:BW,MIN(IF(ISNUMBER(BW133:BW329),ROW(BW133:BW329),"")))</f>
        <v>3.2</v>
      </c>
      <c r="BY133" s="13">
        <f>IF('Données projet'!$A$114&gt;35,BY132+BX133-CG132,IF(A133&lt;'Données projet'!$A$114,$BV$205^A133,IF(A133='Données projet'!$A$114,'Données projet'!$B$114,BY132+BX133-CG132)))</f>
        <v>299.99999999999937</v>
      </c>
      <c r="BZ133" s="14">
        <f>BY133*VLOOKUP('Données projet'!$B$12,Paramètres!$A$1:$I$89,3,0)*VLOOKUP('Données projet'!$B$12,Paramètres!$A$1:$I$89,5,0)</f>
        <v>271.43999999999943</v>
      </c>
      <c r="CA133" s="14">
        <f t="shared" ref="CA133:CA153" si="147">EXP(-1.0587+0.8836*LN(BZ133)+0.284)</f>
        <v>65.154778959151116</v>
      </c>
      <c r="CB133" s="22">
        <f t="shared" si="118"/>
        <v>586.23590668718714</v>
      </c>
      <c r="CC133" s="60">
        <f t="shared" si="119"/>
        <v>879.56924002052051</v>
      </c>
      <c r="CD133" s="60">
        <f ca="1">AVERAGE(OFFSET($CC$3,0,0,'Données projet'!$E$12+1,1))-AVERAGE(OFFSET($H$3,0,0,'Données projet'!$E$12+1,1))</f>
        <v>428.8489304403459</v>
      </c>
      <c r="CE133" s="60">
        <f t="shared" ref="CE133:CE196" si="148">$CE$3</f>
        <v>247.01165577562966</v>
      </c>
      <c r="CF133" s="16">
        <f>IF(ISNA(VLOOKUP(A133,'Données projet'!$A$113:$I$133,3,0)),0,VLOOKUP(A133,'Données projet'!$A$113:$I$133,3,0))</f>
        <v>11</v>
      </c>
      <c r="CG133" s="16">
        <f>IF(ISNA(VLOOKUP(A133,'Données projet'!$A$113:$I$133,4,0)),0,VLOOKUP(A133,'Données projet'!$A$113:$I$133,4,0))</f>
        <v>31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4.66307692307692</v>
      </c>
      <c r="CT133" s="13">
        <f>IF('Données projet'!$A$140&gt;35,CT132+CS133-DB132,IF(A133&lt;'Données projet'!$A$140,$CQ$205^A133,IF(A133='Données projet'!$A$140,'Données projet'!$B$140,CT132+CS133-DB132)))</f>
        <v>254.95230769230758</v>
      </c>
      <c r="CU133" s="18">
        <f>CT133*VLOOKUP('Données projet'!$B$13,Paramètres!$A$1:$I$89,3,0)*VLOOKUP('Données projet'!$B$13,Paramètres!$A$1:$I$89,5,0)</f>
        <v>119.31767999999995</v>
      </c>
      <c r="CV133" s="14">
        <f t="shared" ref="CV133:CV153" si="149">EXP(-1.0587+0.8836*LN(CU133)+0.284)</f>
        <v>31.515806583905047</v>
      </c>
      <c r="CW133" s="22">
        <f t="shared" si="121"/>
        <v>262.70165580030124</v>
      </c>
      <c r="CX133" s="60">
        <f t="shared" si="122"/>
        <v>556.03498913363455</v>
      </c>
      <c r="CY133" s="60">
        <f ca="1">AVERAGE(OFFSET($CX$3,0,0,'Données projet'!$E$13+1,1))-AVERAGE(OFFSET($H$3,0,0,'Données projet'!$E$13+1,1))</f>
        <v>284.88646502866419</v>
      </c>
      <c r="CZ133" s="60">
        <f t="shared" ref="CZ133:CZ196" si="150">$CZ$3</f>
        <v>190.4880882944471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300</v>
      </c>
      <c r="DM133" s="13">
        <f>VLOOKUP(A133,'Données projet'!$A$165:$I$185,9,0)</f>
        <v>3.2</v>
      </c>
      <c r="DN133" s="13">
        <f t="array" ref="DN133">INDEX(DM:DM,MIN(IF(ISNUMBER(DM133:DM329),ROW(DM133:DM329),"")))</f>
        <v>3.2</v>
      </c>
      <c r="DO133" s="13">
        <f>IF('Données projet'!$A$166&gt;35,DO132+DN133-DW132,IF(A133&lt;'Données projet'!$A$166,$DL$205^A133,IF(A133='Données projet'!$A$166,'Données projet'!$B$166,DO132+DN133-DW132)))</f>
        <v>299.99999999999937</v>
      </c>
      <c r="DP133" s="18">
        <f>DO133*VLOOKUP('Données projet'!$B$14,Paramètres!$A$1:$I$89,3,0)*VLOOKUP('Données projet'!$B$14,Paramètres!$A$1:$I$89,5,0)</f>
        <v>322.91999999999928</v>
      </c>
      <c r="DQ133" s="14">
        <f t="shared" ref="DQ133:DQ153" si="151">EXP(-1.0587+0.8836*LN(DP133)+0.284)</f>
        <v>75.960594879408617</v>
      </c>
      <c r="DR133" s="22">
        <f t="shared" si="124"/>
        <v>694.71703608163534</v>
      </c>
      <c r="DS133" s="60">
        <f t="shared" si="125"/>
        <v>988.0503694149686</v>
      </c>
      <c r="DT133" s="60">
        <f ca="1">AVERAGE(OFFSET($DS$3,0,0,'Données projet'!$E$14+1,1))-AVERAGE(OFFSET($H$3,0,0,'Données projet'!$E$14+1,1))</f>
        <v>502.07782026233912</v>
      </c>
      <c r="DU133" s="60">
        <f t="shared" ref="DU133:DU196" si="152">$DU$3</f>
        <v>285.83623046025156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31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-1.7053025658242404E-13</v>
      </c>
      <c r="EK133" s="18">
        <f>EJ133*VLOOKUP('Données projet'!$B$15,Paramètres!$A$1:$I$89,3,0)*VLOOKUP('Données projet'!$B$15,Paramètres!$A$1:$I$89,5,0)</f>
        <v>-1.4897523215040567E-13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339.58437495284466</v>
      </c>
      <c r="EP133" s="60">
        <f t="shared" ref="EP133:EP196" si="154">$EP$3</f>
        <v>371.26234252426531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>
        <f>VLOOKUP(A133,'Données projet'!$A$217:$I$237,2,0)</f>
        <v>300</v>
      </c>
      <c r="FC133" s="13">
        <f>VLOOKUP(A133,'Données projet'!$A$217:$I$237,9,0)</f>
        <v>3.2</v>
      </c>
      <c r="FD133" s="13">
        <f t="array" ref="FD133">INDEX(FC:FC,MIN(IF(ISNUMBER(FC133:FC329),ROW(FC133:FC329),"")))</f>
        <v>3.2</v>
      </c>
      <c r="FE133" s="13">
        <f>IF('Données projet'!$A$218&gt;35,FE132+FD133-FM132,IF(A133&lt;'Données projet'!$A$218,$FB$205^A133,IF(A133='Données projet'!$A$218,'Données projet'!$B$218,FE132+FD133-FM132)))</f>
        <v>299.99999999999937</v>
      </c>
      <c r="FF133" s="18">
        <f>FE133*VLOOKUP('Données projet'!$B$16,Paramètres!$A$1:$I$89,3,0)*VLOOKUP('Données projet'!$B$16,Paramètres!$A$1:$I$89,5,0)</f>
        <v>290.1599999999994</v>
      </c>
      <c r="FG133" s="14">
        <f t="shared" ref="FG133:FG153" si="155">EXP(-1.0587+0.8836*LN(FF133)+0.284)</f>
        <v>69.10963471703981</v>
      </c>
      <c r="FH133" s="22">
        <f t="shared" si="130"/>
        <v>625.72794713217661</v>
      </c>
      <c r="FI133" s="60">
        <f t="shared" si="131"/>
        <v>919.06128046550998</v>
      </c>
      <c r="FJ133" s="60">
        <f ca="1">AVERAGE(OFFSET($FI$3,0,0,'Données projet'!$E$16+1,1))-AVERAGE(OFFSET($H$3,0,0,'Données projet'!$E$16+1,1))</f>
        <v>455.50822833641354</v>
      </c>
      <c r="FK133" s="60">
        <f t="shared" ref="FK133:FK196" si="156">$FK$3</f>
        <v>261.14722581688039</v>
      </c>
      <c r="FL133" s="16">
        <f>IF(ISNA(VLOOKUP(A133,'Données projet'!$A$217:$I$237,3,0)),0,VLOOKUP(A133,'Données projet'!$A$217:$I$237,3,0))</f>
        <v>11</v>
      </c>
      <c r="FM133" s="16">
        <f>IF(ISNA(VLOOKUP(A133,'Données projet'!$A$217:$I$237,4,0)),0,VLOOKUP(A133,'Données projet'!$A$217:$I$237,4,0))</f>
        <v>31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275.50379999999939</v>
      </c>
      <c r="P134" s="14">
        <f t="shared" si="141"/>
        <v>66.015939215007748</v>
      </c>
      <c r="Q134" s="22">
        <f t="shared" si="108"/>
        <v>594.81354579947072</v>
      </c>
      <c r="R134" s="60">
        <f t="shared" si="109"/>
        <v>888.14687913280409</v>
      </c>
      <c r="S134" s="60">
        <f ca="1">AVERAGE(OFFSET($R$3,0,0,'Données projet'!$E$9+1,1))-AVERAGE(OFFSET($H$3,0,0,'Données projet'!$E$9+1,1))</f>
        <v>475.47920969424894</v>
      </c>
      <c r="T134" s="60">
        <f t="shared" si="142"/>
        <v>271.73544012419364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-2.8421709430404007E-13</v>
      </c>
      <c r="AJ134" s="14">
        <f>AI134*VLOOKUP('Données projet'!$B$10,Paramètres!$A$1:$I$89,3,0)*VLOOKUP('Données projet'!$B$10,Paramètres!$A$1:$I$89,5,0)</f>
        <v>-1.69961822393816E-13</v>
      </c>
      <c r="AK134" s="14" t="e">
        <f t="shared" si="143"/>
        <v>#NUM!</v>
      </c>
      <c r="AL134" s="22" t="e">
        <f t="shared" si="112"/>
        <v>#NUM!</v>
      </c>
      <c r="AM134" s="60" t="e">
        <f t="shared" si="113"/>
        <v>#NUM!</v>
      </c>
      <c r="AN134" s="60">
        <f ca="1">AVERAGE(OFFSET($AM$3,0,0,'Données projet'!$E$10+1,1))-AVERAGE(OFFSET($H$3,0,0,'Données projet'!$E$10+1,1))</f>
        <v>289.24721145176682</v>
      </c>
      <c r="AO134" s="60">
        <f t="shared" si="144"/>
        <v>229.06617320689003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0.13782529772401572</v>
      </c>
      <c r="AW134" s="23">
        <f>EXP(-LN(2)/2)*AW133+(1-EXP(-LN(2)/2))/(LN(2)/2)*AQ134*AT134*VLOOKUP('Données projet'!$B$10,Paramètres!$A$1:$I$89,3,0)*0.475*44/12</f>
        <v>2.7844034494272829E-15</v>
      </c>
      <c r="AX134" s="23">
        <f t="shared" si="114"/>
        <v>0.1378252977240185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5.6843418860808015E-14</v>
      </c>
      <c r="BE134" s="14">
        <f>BD134*VLOOKUP('Données projet'!$B$11,Paramètres!$A$1:$I$89,3,0)*VLOOKUP('Données projet'!$B$11,Paramètres!$A$1:$I$89,5,0)</f>
        <v>3.3992364478763198E-14</v>
      </c>
      <c r="BF134" s="14">
        <f t="shared" si="145"/>
        <v>5.790027782444094E-13</v>
      </c>
      <c r="BG134" s="22">
        <f t="shared" si="115"/>
        <v>1.0676332069095257E-12</v>
      </c>
      <c r="BH134" s="60">
        <f t="shared" si="116"/>
        <v>293.33333333333439</v>
      </c>
      <c r="BI134" s="60">
        <f ca="1">AVERAGE(OFFSET($BH$3,0,0,'Données projet'!$E$11+1,1))-AVERAGE(OFFSET($H$3,0,0,'Données projet'!$E$11+1,1))</f>
        <v>287.91374663515506</v>
      </c>
      <c r="BJ134" s="60">
        <f t="shared" si="146"/>
        <v>217.76240797006147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2.7</v>
      </c>
      <c r="BY134" s="13">
        <f>IF('Données projet'!$A$114&gt;35,BY133+BX134-CG133,IF(A134&lt;'Données projet'!$A$114,$BV$205^A134,IF(A134='Données projet'!$A$114,'Données projet'!$B$114,BY133+BX134-CG133)))</f>
        <v>271.69999999999936</v>
      </c>
      <c r="BZ134" s="14">
        <f>BY134*VLOOKUP('Données projet'!$B$12,Paramètres!$A$1:$I$89,3,0)*VLOOKUP('Données projet'!$B$12,Paramètres!$A$1:$I$89,5,0)</f>
        <v>245.8341599999994</v>
      </c>
      <c r="CA134" s="14">
        <f t="shared" si="147"/>
        <v>59.693018383856675</v>
      </c>
      <c r="CB134" s="22">
        <f t="shared" si="118"/>
        <v>532.12650235188266</v>
      </c>
      <c r="CC134" s="60">
        <f t="shared" si="119"/>
        <v>825.45983568521592</v>
      </c>
      <c r="CD134" s="60">
        <f ca="1">AVERAGE(OFFSET($CC$3,0,0,'Données projet'!$E$12+1,1))-AVERAGE(OFFSET($H$3,0,0,'Données projet'!$E$12+1,1))</f>
        <v>428.8489304403459</v>
      </c>
      <c r="CE134" s="60">
        <f t="shared" si="148"/>
        <v>247.01165577562966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>
        <f>VLOOKUP(A134,'Données projet'!$A$139:$I$159,2,0)</f>
        <v>259.61538461538458</v>
      </c>
      <c r="CR134" s="13">
        <f>VLOOKUP(A134,'Données projet'!$A$139:$I$159,9,0)</f>
        <v>4.66307692307692</v>
      </c>
      <c r="CS134" s="13">
        <f t="array" ref="CS134">INDEX(CR:CR,MIN(IF(ISNUMBER(CR134:CR330),ROW(CR134:CR330),"")))</f>
        <v>4.66307692307692</v>
      </c>
      <c r="CT134" s="13">
        <f>IF('Données projet'!$A$140&gt;35,CT133+CS134-DB133,IF(A134&lt;'Données projet'!$A$140,$CQ$205^A134,IF(A134='Données projet'!$A$140,'Données projet'!$B$140,CT133+CS134-DB133)))</f>
        <v>259.61538461538453</v>
      </c>
      <c r="CU134" s="18">
        <f>CT134*VLOOKUP('Données projet'!$B$13,Paramètres!$A$1:$I$89,3,0)*VLOOKUP('Données projet'!$B$13,Paramètres!$A$1:$I$89,5,0)</f>
        <v>121.49999999999996</v>
      </c>
      <c r="CV134" s="14">
        <f t="shared" si="149"/>
        <v>32.024596321339054</v>
      </c>
      <c r="CW134" s="22">
        <f t="shared" si="121"/>
        <v>267.38867192633211</v>
      </c>
      <c r="CX134" s="60">
        <f t="shared" si="122"/>
        <v>560.72200525966537</v>
      </c>
      <c r="CY134" s="60">
        <f ca="1">AVERAGE(OFFSET($CX$3,0,0,'Données projet'!$E$13+1,1))-AVERAGE(OFFSET($H$3,0,0,'Données projet'!$E$13+1,1))</f>
        <v>284.88646502866419</v>
      </c>
      <c r="CZ134" s="60">
        <f t="shared" si="150"/>
        <v>190.4880882944471</v>
      </c>
      <c r="DA134" s="16">
        <f>IF(ISNA(VLOOKUP(A134,'Données projet'!$A$139:$I$159,3,0)),0,VLOOKUP(A134,'Données projet'!$A$139:$I$159,3,0))</f>
        <v>8</v>
      </c>
      <c r="DB134" s="16">
        <f>IF(ISNA(VLOOKUP(A134,'Données projet'!$A$139:$I$159,4,0)),0,VLOOKUP(A134,'Données projet'!$A$139:$I$159,4,0))</f>
        <v>259.61538461538458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2.7</v>
      </c>
      <c r="DO134" s="13">
        <f>IF('Données projet'!$A$166&gt;35,DO133+DN134-DW133,IF(A134&lt;'Données projet'!$A$166,$DL$205^A134,IF(A134='Données projet'!$A$166,'Données projet'!$B$166,DO133+DN134-DW133)))</f>
        <v>271.69999999999936</v>
      </c>
      <c r="DP134" s="18">
        <f>DO134*VLOOKUP('Données projet'!$B$14,Paramètres!$A$1:$I$89,3,0)*VLOOKUP('Données projet'!$B$14,Paramètres!$A$1:$I$89,5,0)</f>
        <v>292.45787999999931</v>
      </c>
      <c r="DQ134" s="14">
        <f t="shared" si="151"/>
        <v>69.59301004501954</v>
      </c>
      <c r="DR134" s="22">
        <f t="shared" si="124"/>
        <v>630.57196682840777</v>
      </c>
      <c r="DS134" s="60">
        <f t="shared" si="125"/>
        <v>923.90530016174102</v>
      </c>
      <c r="DT134" s="60">
        <f ca="1">AVERAGE(OFFSET($DS$3,0,0,'Données projet'!$E$14+1,1))-AVERAGE(OFFSET($H$3,0,0,'Données projet'!$E$14+1,1))</f>
        <v>502.07782026233912</v>
      </c>
      <c r="DU134" s="60">
        <f t="shared" si="152"/>
        <v>285.83623046025156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-1.7053025658242404E-13</v>
      </c>
      <c r="EK134" s="18">
        <f>EJ134*VLOOKUP('Données projet'!$B$15,Paramètres!$A$1:$I$89,3,0)*VLOOKUP('Données projet'!$B$15,Paramètres!$A$1:$I$89,5,0)</f>
        <v>-1.4897523215040567E-13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339.58437495284466</v>
      </c>
      <c r="EP134" s="60">
        <f t="shared" si="154"/>
        <v>371.26234252426531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2.7</v>
      </c>
      <c r="FE134" s="13">
        <f>IF('Données projet'!$A$218&gt;35,FE133+FD134-FM133,IF(A134&lt;'Données projet'!$A$218,$FB$205^A134,IF(A134='Données projet'!$A$218,'Données projet'!$B$218,FE133+FD134-FM133)))</f>
        <v>271.69999999999936</v>
      </c>
      <c r="FF134" s="18">
        <f>FE134*VLOOKUP('Données projet'!$B$16,Paramètres!$A$1:$I$89,3,0)*VLOOKUP('Données projet'!$B$16,Paramètres!$A$1:$I$89,5,0)</f>
        <v>262.7882399999994</v>
      </c>
      <c r="FG134" s="14">
        <f t="shared" si="155"/>
        <v>63.316348571334714</v>
      </c>
      <c r="FH134" s="22">
        <f t="shared" si="130"/>
        <v>567.96549176174028</v>
      </c>
      <c r="FI134" s="60">
        <f t="shared" si="131"/>
        <v>861.29882509507365</v>
      </c>
      <c r="FJ134" s="60">
        <f ca="1">AVERAGE(OFFSET($FI$3,0,0,'Données projet'!$E$16+1,1))-AVERAGE(OFFSET($H$3,0,0,'Données projet'!$E$16+1,1))</f>
        <v>455.50822833641354</v>
      </c>
      <c r="FK134" s="60">
        <f t="shared" si="156"/>
        <v>261.14722581688039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278.24159999999938</v>
      </c>
      <c r="P135" s="14">
        <f t="shared" si="141"/>
        <v>66.595272276139625</v>
      </c>
      <c r="Q135" s="22">
        <f t="shared" si="108"/>
        <v>600.59088588094198</v>
      </c>
      <c r="R135" s="60">
        <f t="shared" si="109"/>
        <v>893.92421921427535</v>
      </c>
      <c r="S135" s="60">
        <f ca="1">AVERAGE(OFFSET($R$3,0,0,'Données projet'!$E$9+1,1))-AVERAGE(OFFSET($H$3,0,0,'Données projet'!$E$9+1,1))</f>
        <v>475.47920969424894</v>
      </c>
      <c r="T135" s="60">
        <f t="shared" si="142"/>
        <v>271.73544012419364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-2.8421709430404007E-13</v>
      </c>
      <c r="AJ135" s="14">
        <f>AI135*VLOOKUP('Données projet'!$B$10,Paramètres!$A$1:$I$89,3,0)*VLOOKUP('Données projet'!$B$10,Paramètres!$A$1:$I$89,5,0)</f>
        <v>-1.69961822393816E-13</v>
      </c>
      <c r="AK135" s="14" t="e">
        <f t="shared" si="143"/>
        <v>#NUM!</v>
      </c>
      <c r="AL135" s="22" t="e">
        <f t="shared" si="112"/>
        <v>#NUM!</v>
      </c>
      <c r="AM135" s="60" t="e">
        <f t="shared" si="113"/>
        <v>#NUM!</v>
      </c>
      <c r="AN135" s="60">
        <f ca="1">AVERAGE(OFFSET($AM$3,0,0,'Données projet'!$E$10+1,1))-AVERAGE(OFFSET($H$3,0,0,'Données projet'!$E$10+1,1))</f>
        <v>289.24721145176682</v>
      </c>
      <c r="AO135" s="60">
        <f t="shared" si="144"/>
        <v>229.06617320689003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0.1340564577098351</v>
      </c>
      <c r="AW135" s="23">
        <f>EXP(-LN(2)/2)*AW134+(1-EXP(-LN(2)/2))/(LN(2)/2)*AQ135*AT135*VLOOKUP('Données projet'!$B$10,Paramètres!$A$1:$I$89,3,0)*0.475*44/12</f>
        <v>1.9688705606492458E-15</v>
      </c>
      <c r="AX135" s="23">
        <f t="shared" si="114"/>
        <v>0.13405645770983707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5.6843418860808015E-14</v>
      </c>
      <c r="BE135" s="14">
        <f>BD135*VLOOKUP('Données projet'!$B$11,Paramètres!$A$1:$I$89,3,0)*VLOOKUP('Données projet'!$B$11,Paramètres!$A$1:$I$89,5,0)</f>
        <v>3.3992364478763198E-14</v>
      </c>
      <c r="BF135" s="14">
        <f t="shared" si="145"/>
        <v>5.790027782444094E-13</v>
      </c>
      <c r="BG135" s="22">
        <f t="shared" si="115"/>
        <v>1.0676332069095257E-12</v>
      </c>
      <c r="BH135" s="60">
        <f t="shared" si="116"/>
        <v>293.33333333333439</v>
      </c>
      <c r="BI135" s="60">
        <f ca="1">AVERAGE(OFFSET($BH$3,0,0,'Données projet'!$E$11+1,1))-AVERAGE(OFFSET($H$3,0,0,'Données projet'!$E$11+1,1))</f>
        <v>287.91374663515506</v>
      </c>
      <c r="BJ135" s="60">
        <f t="shared" si="146"/>
        <v>217.76240797006147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2.7</v>
      </c>
      <c r="BY135" s="13">
        <f>IF('Données projet'!$A$114&gt;35,BY134+BX135-CG134,IF(A135&lt;'Données projet'!$A$114,$BV$205^A135,IF(A135='Données projet'!$A$114,'Données projet'!$B$114,BY134+BX135-CG134)))</f>
        <v>274.39999999999935</v>
      </c>
      <c r="BZ135" s="14">
        <f>BY135*VLOOKUP('Données projet'!$B$12,Paramètres!$A$1:$I$89,3,0)*VLOOKUP('Données projet'!$B$12,Paramètres!$A$1:$I$89,5,0)</f>
        <v>248.2771199999994</v>
      </c>
      <c r="CA135" s="14">
        <f t="shared" si="147"/>
        <v>60.216863677580257</v>
      </c>
      <c r="CB135" s="22">
        <f t="shared" si="118"/>
        <v>537.29368823845118</v>
      </c>
      <c r="CC135" s="60">
        <f t="shared" si="119"/>
        <v>830.62702157178455</v>
      </c>
      <c r="CD135" s="60">
        <f ca="1">AVERAGE(OFFSET($CC$3,0,0,'Données projet'!$E$12+1,1))-AVERAGE(OFFSET($H$3,0,0,'Données projet'!$E$12+1,1))</f>
        <v>428.8489304403459</v>
      </c>
      <c r="CE135" s="60">
        <f t="shared" si="148"/>
        <v>247.01165577562966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-2.6602720026858149E-14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284.88646502866419</v>
      </c>
      <c r="CZ135" s="60">
        <f t="shared" si="150"/>
        <v>190.4880882944471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2.7</v>
      </c>
      <c r="DO135" s="13">
        <f>IF('Données projet'!$A$166&gt;35,DO134+DN135-DW134,IF(A135&lt;'Données projet'!$A$166,$DL$205^A135,IF(A135='Données projet'!$A$166,'Données projet'!$B$166,DO134+DN135-DW134)))</f>
        <v>274.39999999999935</v>
      </c>
      <c r="DP135" s="18">
        <f>DO135*VLOOKUP('Données projet'!$B$14,Paramètres!$A$1:$I$89,3,0)*VLOOKUP('Données projet'!$B$14,Paramètres!$A$1:$I$89,5,0)</f>
        <v>295.36415999999929</v>
      </c>
      <c r="DQ135" s="14">
        <f t="shared" si="151"/>
        <v>70.203734243177976</v>
      </c>
      <c r="DR135" s="22">
        <f t="shared" si="124"/>
        <v>636.69741580686696</v>
      </c>
      <c r="DS135" s="60">
        <f t="shared" si="125"/>
        <v>930.03074914020021</v>
      </c>
      <c r="DT135" s="60">
        <f ca="1">AVERAGE(OFFSET($DS$3,0,0,'Données projet'!$E$14+1,1))-AVERAGE(OFFSET($H$3,0,0,'Données projet'!$E$14+1,1))</f>
        <v>502.07782026233912</v>
      </c>
      <c r="DU135" s="60">
        <f t="shared" si="152"/>
        <v>285.83623046025156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-1.7053025658242404E-13</v>
      </c>
      <c r="EK135" s="18">
        <f>EJ135*VLOOKUP('Données projet'!$B$15,Paramètres!$A$1:$I$89,3,0)*VLOOKUP('Données projet'!$B$15,Paramètres!$A$1:$I$89,5,0)</f>
        <v>-1.4897523215040567E-13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339.58437495284466</v>
      </c>
      <c r="EP135" s="60">
        <f t="shared" si="154"/>
        <v>371.26234252426531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2.7</v>
      </c>
      <c r="FE135" s="13">
        <f>IF('Données projet'!$A$218&gt;35,FE134+FD135-FM134,IF(A135&lt;'Données projet'!$A$218,$FB$205^A135,IF(A135='Données projet'!$A$218,'Données projet'!$B$218,FE134+FD135-FM134)))</f>
        <v>274.39999999999935</v>
      </c>
      <c r="FF135" s="18">
        <f>FE135*VLOOKUP('Données projet'!$B$16,Paramètres!$A$1:$I$89,3,0)*VLOOKUP('Données projet'!$B$16,Paramètres!$A$1:$I$89,5,0)</f>
        <v>265.39967999999936</v>
      </c>
      <c r="FG135" s="14">
        <f t="shared" si="155"/>
        <v>63.87199095821434</v>
      </c>
      <c r="FH135" s="22">
        <f t="shared" si="130"/>
        <v>573.48149358555554</v>
      </c>
      <c r="FI135" s="60">
        <f t="shared" si="131"/>
        <v>866.81482691888891</v>
      </c>
      <c r="FJ135" s="60">
        <f ca="1">AVERAGE(OFFSET($FI$3,0,0,'Données projet'!$E$16+1,1))-AVERAGE(OFFSET($H$3,0,0,'Données projet'!$E$16+1,1))</f>
        <v>455.50822833641354</v>
      </c>
      <c r="FK135" s="60">
        <f t="shared" si="156"/>
        <v>261.14722581688039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280.97939999999937</v>
      </c>
      <c r="P136" s="14">
        <f t="shared" si="141"/>
        <v>67.173942175199301</v>
      </c>
      <c r="Q136" s="22">
        <f t="shared" si="108"/>
        <v>606.36707095513759</v>
      </c>
      <c r="R136" s="60">
        <f t="shared" si="109"/>
        <v>899.70040428847096</v>
      </c>
      <c r="S136" s="60">
        <f ca="1">AVERAGE(OFFSET($R$3,0,0,'Données projet'!$E$9+1,1))-AVERAGE(OFFSET($H$3,0,0,'Données projet'!$E$9+1,1))</f>
        <v>475.47920969424894</v>
      </c>
      <c r="T136" s="60">
        <f t="shared" si="142"/>
        <v>271.73544012419364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-2.8421709430404007E-13</v>
      </c>
      <c r="AJ136" s="14">
        <f>AI136*VLOOKUP('Données projet'!$B$10,Paramètres!$A$1:$I$89,3,0)*VLOOKUP('Données projet'!$B$10,Paramètres!$A$1:$I$89,5,0)</f>
        <v>-1.69961822393816E-13</v>
      </c>
      <c r="AK136" s="14" t="e">
        <f t="shared" si="143"/>
        <v>#NUM!</v>
      </c>
      <c r="AL136" s="22" t="e">
        <f t="shared" si="112"/>
        <v>#NUM!</v>
      </c>
      <c r="AM136" s="60" t="e">
        <f t="shared" si="113"/>
        <v>#NUM!</v>
      </c>
      <c r="AN136" s="60">
        <f ca="1">AVERAGE(OFFSET($AM$3,0,0,'Données projet'!$E$10+1,1))-AVERAGE(OFFSET($H$3,0,0,'Données projet'!$E$10+1,1))</f>
        <v>289.24721145176682</v>
      </c>
      <c r="AO136" s="60">
        <f t="shared" si="144"/>
        <v>229.06617320689003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0.13039067682403693</v>
      </c>
      <c r="AW136" s="23">
        <f>EXP(-LN(2)/2)*AW135+(1-EXP(-LN(2)/2))/(LN(2)/2)*AQ136*AT136*VLOOKUP('Données projet'!$B$10,Paramètres!$A$1:$I$89,3,0)*0.475*44/12</f>
        <v>1.3922017247136414E-15</v>
      </c>
      <c r="AX136" s="23">
        <f t="shared" si="114"/>
        <v>0.13039067682403832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5.6843418860808015E-14</v>
      </c>
      <c r="BE136" s="14">
        <f>BD136*VLOOKUP('Données projet'!$B$11,Paramètres!$A$1:$I$89,3,0)*VLOOKUP('Données projet'!$B$11,Paramètres!$A$1:$I$89,5,0)</f>
        <v>3.3992364478763198E-14</v>
      </c>
      <c r="BF136" s="14">
        <f t="shared" si="145"/>
        <v>5.790027782444094E-13</v>
      </c>
      <c r="BG136" s="22">
        <f t="shared" si="115"/>
        <v>1.0676332069095257E-12</v>
      </c>
      <c r="BH136" s="60">
        <f t="shared" si="116"/>
        <v>293.33333333333439</v>
      </c>
      <c r="BI136" s="60">
        <f ca="1">AVERAGE(OFFSET($BH$3,0,0,'Données projet'!$E$11+1,1))-AVERAGE(OFFSET($H$3,0,0,'Données projet'!$E$11+1,1))</f>
        <v>287.91374663515506</v>
      </c>
      <c r="BJ136" s="60">
        <f t="shared" si="146"/>
        <v>217.76240797006147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2.7</v>
      </c>
      <c r="BY136" s="13">
        <f>IF('Données projet'!$A$114&gt;35,BY135+BX136-CG135,IF(A136&lt;'Données projet'!$A$114,$BV$205^A136,IF(A136='Données projet'!$A$114,'Données projet'!$B$114,BY135+BX136-CG135)))</f>
        <v>277.09999999999934</v>
      </c>
      <c r="BZ136" s="14">
        <f>BY136*VLOOKUP('Données projet'!$B$12,Paramètres!$A$1:$I$89,3,0)*VLOOKUP('Données projet'!$B$12,Paramètres!$A$1:$I$89,5,0)</f>
        <v>250.72007999999943</v>
      </c>
      <c r="CA136" s="14">
        <f t="shared" si="147"/>
        <v>60.740109326032709</v>
      </c>
      <c r="CB136" s="22">
        <f t="shared" si="118"/>
        <v>542.45982974283925</v>
      </c>
      <c r="CC136" s="60">
        <f t="shared" si="119"/>
        <v>835.7931630761725</v>
      </c>
      <c r="CD136" s="60">
        <f ca="1">AVERAGE(OFFSET($CC$3,0,0,'Données projet'!$E$12+1,1))-AVERAGE(OFFSET($H$3,0,0,'Données projet'!$E$12+1,1))</f>
        <v>428.8489304403459</v>
      </c>
      <c r="CE136" s="60">
        <f t="shared" si="148"/>
        <v>247.01165577562966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-2.6602720026858149E-14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284.88646502866419</v>
      </c>
      <c r="CZ136" s="60">
        <f t="shared" si="150"/>
        <v>190.4880882944471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2.7</v>
      </c>
      <c r="DO136" s="13">
        <f>IF('Données projet'!$A$166&gt;35,DO135+DN136-DW135,IF(A136&lt;'Données projet'!$A$166,$DL$205^A136,IF(A136='Données projet'!$A$166,'Données projet'!$B$166,DO135+DN136-DW135)))</f>
        <v>277.09999999999934</v>
      </c>
      <c r="DP136" s="18">
        <f>DO136*VLOOKUP('Données projet'!$B$14,Paramètres!$A$1:$I$89,3,0)*VLOOKUP('Données projet'!$B$14,Paramètres!$A$1:$I$89,5,0)</f>
        <v>298.27043999999927</v>
      </c>
      <c r="DQ136" s="14">
        <f t="shared" si="151"/>
        <v>70.813759345855843</v>
      </c>
      <c r="DR136" s="22">
        <f t="shared" si="124"/>
        <v>642.8216471940309</v>
      </c>
      <c r="DS136" s="60">
        <f t="shared" si="125"/>
        <v>936.15498052736416</v>
      </c>
      <c r="DT136" s="60">
        <f ca="1">AVERAGE(OFFSET($DS$3,0,0,'Données projet'!$E$14+1,1))-AVERAGE(OFFSET($H$3,0,0,'Données projet'!$E$14+1,1))</f>
        <v>502.07782026233912</v>
      </c>
      <c r="DU136" s="60">
        <f t="shared" si="152"/>
        <v>285.83623046025156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-1.7053025658242404E-13</v>
      </c>
      <c r="EK136" s="18">
        <f>EJ136*VLOOKUP('Données projet'!$B$15,Paramètres!$A$1:$I$89,3,0)*VLOOKUP('Données projet'!$B$15,Paramètres!$A$1:$I$89,5,0)</f>
        <v>-1.4897523215040567E-13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339.58437495284466</v>
      </c>
      <c r="EP136" s="60">
        <f t="shared" si="154"/>
        <v>371.26234252426531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2.7</v>
      </c>
      <c r="FE136" s="13">
        <f>IF('Données projet'!$A$218&gt;35,FE135+FD136-FM135,IF(A136&lt;'Données projet'!$A$218,$FB$205^A136,IF(A136='Données projet'!$A$218,'Données projet'!$B$218,FE135+FD136-FM135)))</f>
        <v>277.09999999999934</v>
      </c>
      <c r="FF136" s="18">
        <f>FE136*VLOOKUP('Données projet'!$B$16,Paramètres!$A$1:$I$89,3,0)*VLOOKUP('Données projet'!$B$16,Paramètres!$A$1:$I$89,5,0)</f>
        <v>268.01111999999938</v>
      </c>
      <c r="FG136" s="14">
        <f t="shared" si="155"/>
        <v>64.426997301716739</v>
      </c>
      <c r="FH136" s="22">
        <f t="shared" si="130"/>
        <v>578.99638763382234</v>
      </c>
      <c r="FI136" s="60">
        <f t="shared" si="131"/>
        <v>872.32972096715571</v>
      </c>
      <c r="FJ136" s="60">
        <f ca="1">AVERAGE(OFFSET($FI$3,0,0,'Données projet'!$E$16+1,1))-AVERAGE(OFFSET($H$3,0,0,'Données projet'!$E$16+1,1))</f>
        <v>455.50822833641354</v>
      </c>
      <c r="FK136" s="60">
        <f t="shared" si="156"/>
        <v>261.14722581688039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283.71719999999937</v>
      </c>
      <c r="P137" s="14">
        <f t="shared" si="141"/>
        <v>67.751956122170526</v>
      </c>
      <c r="Q137" s="22">
        <f t="shared" si="108"/>
        <v>612.14211357944589</v>
      </c>
      <c r="R137" s="60">
        <f t="shared" si="109"/>
        <v>905.47544691277926</v>
      </c>
      <c r="S137" s="60">
        <f ca="1">AVERAGE(OFFSET($R$3,0,0,'Données projet'!$E$9+1,1))-AVERAGE(OFFSET($H$3,0,0,'Données projet'!$E$9+1,1))</f>
        <v>475.47920969424894</v>
      </c>
      <c r="T137" s="60">
        <f t="shared" si="142"/>
        <v>271.73544012419364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-2.8421709430404007E-13</v>
      </c>
      <c r="AJ137" s="14">
        <f>AI137*VLOOKUP('Données projet'!$B$10,Paramètres!$A$1:$I$89,3,0)*VLOOKUP('Données projet'!$B$10,Paramètres!$A$1:$I$89,5,0)</f>
        <v>-1.69961822393816E-13</v>
      </c>
      <c r="AK137" s="14" t="e">
        <f t="shared" si="143"/>
        <v>#NUM!</v>
      </c>
      <c r="AL137" s="22" t="e">
        <f t="shared" si="112"/>
        <v>#NUM!</v>
      </c>
      <c r="AM137" s="60" t="e">
        <f t="shared" si="113"/>
        <v>#NUM!</v>
      </c>
      <c r="AN137" s="60">
        <f ca="1">AVERAGE(OFFSET($AM$3,0,0,'Données projet'!$E$10+1,1))-AVERAGE(OFFSET($H$3,0,0,'Données projet'!$E$10+1,1))</f>
        <v>289.24721145176682</v>
      </c>
      <c r="AO137" s="60">
        <f t="shared" si="144"/>
        <v>229.06617320689003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0.12682513690933597</v>
      </c>
      <c r="AW137" s="23">
        <f>EXP(-LN(2)/2)*AW136+(1-EXP(-LN(2)/2))/(LN(2)/2)*AQ137*AT137*VLOOKUP('Données projet'!$B$10,Paramètres!$A$1:$I$89,3,0)*0.475*44/12</f>
        <v>9.8443528032462291E-16</v>
      </c>
      <c r="AX137" s="23">
        <f t="shared" si="114"/>
        <v>0.12682513690933694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5.6843418860808015E-14</v>
      </c>
      <c r="BE137" s="14">
        <f>BD137*VLOOKUP('Données projet'!$B$11,Paramètres!$A$1:$I$89,3,0)*VLOOKUP('Données projet'!$B$11,Paramètres!$A$1:$I$89,5,0)</f>
        <v>3.3992364478763198E-14</v>
      </c>
      <c r="BF137" s="14">
        <f t="shared" si="145"/>
        <v>5.790027782444094E-13</v>
      </c>
      <c r="BG137" s="22">
        <f t="shared" si="115"/>
        <v>1.0676332069095257E-12</v>
      </c>
      <c r="BH137" s="60">
        <f t="shared" si="116"/>
        <v>293.33333333333439</v>
      </c>
      <c r="BI137" s="60">
        <f ca="1">AVERAGE(OFFSET($BH$3,0,0,'Données projet'!$E$11+1,1))-AVERAGE(OFFSET($H$3,0,0,'Données projet'!$E$11+1,1))</f>
        <v>287.91374663515506</v>
      </c>
      <c r="BJ137" s="60">
        <f t="shared" si="146"/>
        <v>217.76240797006147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2.7</v>
      </c>
      <c r="BY137" s="13">
        <f>IF('Données projet'!$A$114&gt;35,BY136+BX137-CG136,IF(A137&lt;'Données projet'!$A$114,$BV$205^A137,IF(A137='Données projet'!$A$114,'Données projet'!$B$114,BY136+BX137-CG136)))</f>
        <v>279.79999999999933</v>
      </c>
      <c r="BZ137" s="14">
        <f>BY137*VLOOKUP('Données projet'!$B$12,Paramètres!$A$1:$I$89,3,0)*VLOOKUP('Données projet'!$B$12,Paramètres!$A$1:$I$89,5,0)</f>
        <v>253.16303999999937</v>
      </c>
      <c r="CA137" s="14">
        <f t="shared" si="147"/>
        <v>61.262761848634923</v>
      </c>
      <c r="CB137" s="22">
        <f t="shared" si="118"/>
        <v>547.62493821970475</v>
      </c>
      <c r="CC137" s="60">
        <f t="shared" si="119"/>
        <v>840.958271553038</v>
      </c>
      <c r="CD137" s="60">
        <f ca="1">AVERAGE(OFFSET($CC$3,0,0,'Données projet'!$E$12+1,1))-AVERAGE(OFFSET($H$3,0,0,'Données projet'!$E$12+1,1))</f>
        <v>428.8489304403459</v>
      </c>
      <c r="CE137" s="60">
        <f t="shared" si="148"/>
        <v>247.01165577562966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-2.6602720026858149E-14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284.88646502866419</v>
      </c>
      <c r="CZ137" s="60">
        <f t="shared" si="150"/>
        <v>190.4880882944471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2.7</v>
      </c>
      <c r="DO137" s="13">
        <f>IF('Données projet'!$A$166&gt;35,DO136+DN137-DW136,IF(A137&lt;'Données projet'!$A$166,$DL$205^A137,IF(A137='Données projet'!$A$166,'Données projet'!$B$166,DO136+DN137-DW136)))</f>
        <v>279.79999999999933</v>
      </c>
      <c r="DP137" s="18">
        <f>DO137*VLOOKUP('Données projet'!$B$14,Paramètres!$A$1:$I$89,3,0)*VLOOKUP('Données projet'!$B$14,Paramètres!$A$1:$I$89,5,0)</f>
        <v>301.17671999999925</v>
      </c>
      <c r="DQ137" s="14">
        <f t="shared" si="151"/>
        <v>71.423092953709514</v>
      </c>
      <c r="DR137" s="22">
        <f t="shared" si="124"/>
        <v>648.94467422770936</v>
      </c>
      <c r="DS137" s="60">
        <f t="shared" si="125"/>
        <v>942.27800756104261</v>
      </c>
      <c r="DT137" s="60">
        <f ca="1">AVERAGE(OFFSET($DS$3,0,0,'Données projet'!$E$14+1,1))-AVERAGE(OFFSET($H$3,0,0,'Données projet'!$E$14+1,1))</f>
        <v>502.07782026233912</v>
      </c>
      <c r="DU137" s="60">
        <f t="shared" si="152"/>
        <v>285.83623046025156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-1.7053025658242404E-13</v>
      </c>
      <c r="EK137" s="18">
        <f>EJ137*VLOOKUP('Données projet'!$B$15,Paramètres!$A$1:$I$89,3,0)*VLOOKUP('Données projet'!$B$15,Paramètres!$A$1:$I$89,5,0)</f>
        <v>-1.4897523215040567E-13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339.58437495284466</v>
      </c>
      <c r="EP137" s="60">
        <f t="shared" si="154"/>
        <v>371.26234252426531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2.7</v>
      </c>
      <c r="FE137" s="13">
        <f>IF('Données projet'!$A$218&gt;35,FE136+FD137-FM136,IF(A137&lt;'Données projet'!$A$218,$FB$205^A137,IF(A137='Données projet'!$A$218,'Données projet'!$B$218,FE136+FD137-FM136)))</f>
        <v>279.79999999999933</v>
      </c>
      <c r="FF137" s="18">
        <f>FE137*VLOOKUP('Données projet'!$B$16,Paramètres!$A$1:$I$89,3,0)*VLOOKUP('Données projet'!$B$16,Paramètres!$A$1:$I$89,5,0)</f>
        <v>270.62255999999934</v>
      </c>
      <c r="FG137" s="14">
        <f t="shared" si="155"/>
        <v>64.981374516987898</v>
      </c>
      <c r="FH137" s="22">
        <f t="shared" si="130"/>
        <v>584.51018595041944</v>
      </c>
      <c r="FI137" s="60">
        <f t="shared" si="131"/>
        <v>877.84351928375281</v>
      </c>
      <c r="FJ137" s="60">
        <f ca="1">AVERAGE(OFFSET($FI$3,0,0,'Données projet'!$E$16+1,1))-AVERAGE(OFFSET($H$3,0,0,'Données projet'!$E$16+1,1))</f>
        <v>455.50822833641354</v>
      </c>
      <c r="FK137" s="60">
        <f t="shared" si="156"/>
        <v>261.14722581688039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286.45499999999936</v>
      </c>
      <c r="P138" s="14">
        <f t="shared" si="141"/>
        <v>68.329321179865531</v>
      </c>
      <c r="Q138" s="22">
        <f t="shared" si="108"/>
        <v>617.91602605493142</v>
      </c>
      <c r="R138" s="60">
        <f t="shared" si="109"/>
        <v>911.24935938826479</v>
      </c>
      <c r="S138" s="60">
        <f ca="1">AVERAGE(OFFSET($R$3,0,0,'Données projet'!$E$9+1,1))-AVERAGE(OFFSET($H$3,0,0,'Données projet'!$E$9+1,1))</f>
        <v>475.47920969424894</v>
      </c>
      <c r="T138" s="60">
        <f t="shared" si="142"/>
        <v>271.73544012419364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-2.8421709430404007E-13</v>
      </c>
      <c r="AJ138" s="14">
        <f>AI138*VLOOKUP('Données projet'!$B$10,Paramètres!$A$1:$I$89,3,0)*VLOOKUP('Données projet'!$B$10,Paramètres!$A$1:$I$89,5,0)</f>
        <v>-1.69961822393816E-13</v>
      </c>
      <c r="AK138" s="14" t="e">
        <f t="shared" si="143"/>
        <v>#NUM!</v>
      </c>
      <c r="AL138" s="22" t="e">
        <f t="shared" si="112"/>
        <v>#NUM!</v>
      </c>
      <c r="AM138" s="60" t="e">
        <f t="shared" si="113"/>
        <v>#NUM!</v>
      </c>
      <c r="AN138" s="60">
        <f ca="1">AVERAGE(OFFSET($AM$3,0,0,'Données projet'!$E$10+1,1))-AVERAGE(OFFSET($H$3,0,0,'Données projet'!$E$10+1,1))</f>
        <v>289.24721145176682</v>
      </c>
      <c r="AO138" s="60">
        <f t="shared" si="144"/>
        <v>229.06617320689003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0.12335709687110609</v>
      </c>
      <c r="AW138" s="23">
        <f>EXP(-LN(2)/2)*AW137+(1-EXP(-LN(2)/2))/(LN(2)/2)*AQ138*AT138*VLOOKUP('Données projet'!$B$10,Paramètres!$A$1:$I$89,3,0)*0.475*44/12</f>
        <v>6.9610086235682071E-16</v>
      </c>
      <c r="AX138" s="23">
        <f t="shared" si="114"/>
        <v>0.12335709687110678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5.6843418860808015E-14</v>
      </c>
      <c r="BE138" s="14">
        <f>BD138*VLOOKUP('Données projet'!$B$11,Paramètres!$A$1:$I$89,3,0)*VLOOKUP('Données projet'!$B$11,Paramètres!$A$1:$I$89,5,0)</f>
        <v>3.3992364478763198E-14</v>
      </c>
      <c r="BF138" s="14">
        <f t="shared" si="145"/>
        <v>5.790027782444094E-13</v>
      </c>
      <c r="BG138" s="22">
        <f t="shared" si="115"/>
        <v>1.0676332069095257E-12</v>
      </c>
      <c r="BH138" s="60">
        <f t="shared" si="116"/>
        <v>293.33333333333439</v>
      </c>
      <c r="BI138" s="60">
        <f ca="1">AVERAGE(OFFSET($BH$3,0,0,'Données projet'!$E$11+1,1))-AVERAGE(OFFSET($H$3,0,0,'Données projet'!$E$11+1,1))</f>
        <v>287.91374663515506</v>
      </c>
      <c r="BJ138" s="60">
        <f t="shared" si="146"/>
        <v>217.76240797006147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2.7</v>
      </c>
      <c r="BY138" s="13">
        <f>IF('Données projet'!$A$114&gt;35,BY137+BX138-CG137,IF(A138&lt;'Données projet'!$A$114,$BV$205^A138,IF(A138='Données projet'!$A$114,'Données projet'!$B$114,BY137+BX138-CG137)))</f>
        <v>282.49999999999932</v>
      </c>
      <c r="BZ138" s="14">
        <f>BY138*VLOOKUP('Données projet'!$B$12,Paramètres!$A$1:$I$89,3,0)*VLOOKUP('Données projet'!$B$12,Paramètres!$A$1:$I$89,5,0)</f>
        <v>255.60599999999937</v>
      </c>
      <c r="CA138" s="14">
        <f t="shared" si="147"/>
        <v>61.784827631732192</v>
      </c>
      <c r="CB138" s="22">
        <f t="shared" si="118"/>
        <v>552.78902479193243</v>
      </c>
      <c r="CC138" s="60">
        <f t="shared" si="119"/>
        <v>846.12235812526569</v>
      </c>
      <c r="CD138" s="60">
        <f ca="1">AVERAGE(OFFSET($CC$3,0,0,'Données projet'!$E$12+1,1))-AVERAGE(OFFSET($H$3,0,0,'Données projet'!$E$12+1,1))</f>
        <v>428.8489304403459</v>
      </c>
      <c r="CE138" s="60">
        <f t="shared" si="148"/>
        <v>247.01165577562966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-2.6602720026858149E-14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284.88646502866419</v>
      </c>
      <c r="CZ138" s="60">
        <f t="shared" si="150"/>
        <v>190.4880882944471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2.7</v>
      </c>
      <c r="DO138" s="13">
        <f>IF('Données projet'!$A$166&gt;35,DO137+DN138-DW137,IF(A138&lt;'Données projet'!$A$166,$DL$205^A138,IF(A138='Données projet'!$A$166,'Données projet'!$B$166,DO137+DN138-DW137)))</f>
        <v>282.49999999999932</v>
      </c>
      <c r="DP138" s="18">
        <f>DO138*VLOOKUP('Données projet'!$B$14,Paramètres!$A$1:$I$89,3,0)*VLOOKUP('Données projet'!$B$14,Paramètres!$A$1:$I$89,5,0)</f>
        <v>304.08299999999929</v>
      </c>
      <c r="DQ138" s="14">
        <f t="shared" si="151"/>
        <v>72.031742512249494</v>
      </c>
      <c r="DR138" s="22">
        <f t="shared" si="124"/>
        <v>655.06650987549995</v>
      </c>
      <c r="DS138" s="60">
        <f t="shared" si="125"/>
        <v>948.39984320883332</v>
      </c>
      <c r="DT138" s="60">
        <f ca="1">AVERAGE(OFFSET($DS$3,0,0,'Données projet'!$E$14+1,1))-AVERAGE(OFFSET($H$3,0,0,'Données projet'!$E$14+1,1))</f>
        <v>502.07782026233912</v>
      </c>
      <c r="DU138" s="60">
        <f t="shared" si="152"/>
        <v>285.83623046025156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-1.7053025658242404E-13</v>
      </c>
      <c r="EK138" s="18">
        <f>EJ138*VLOOKUP('Données projet'!$B$15,Paramètres!$A$1:$I$89,3,0)*VLOOKUP('Données projet'!$B$15,Paramètres!$A$1:$I$89,5,0)</f>
        <v>-1.4897523215040567E-13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339.58437495284466</v>
      </c>
      <c r="EP138" s="60">
        <f t="shared" si="154"/>
        <v>371.26234252426531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2.7</v>
      </c>
      <c r="FE138" s="13">
        <f>IF('Données projet'!$A$218&gt;35,FE137+FD138-FM137,IF(A138&lt;'Données projet'!$A$218,$FB$205^A138,IF(A138='Données projet'!$A$218,'Données projet'!$B$218,FE137+FD138-FM137)))</f>
        <v>282.49999999999932</v>
      </c>
      <c r="FF138" s="18">
        <f>FE138*VLOOKUP('Données projet'!$B$16,Paramètres!$A$1:$I$89,3,0)*VLOOKUP('Données projet'!$B$16,Paramètres!$A$1:$I$89,5,0)</f>
        <v>273.23399999999936</v>
      </c>
      <c r="FG138" s="14">
        <f t="shared" si="155"/>
        <v>65.535129378020301</v>
      </c>
      <c r="FH138" s="22">
        <f t="shared" si="130"/>
        <v>590.0229003333842</v>
      </c>
      <c r="FI138" s="60">
        <f t="shared" si="131"/>
        <v>883.35623366671757</v>
      </c>
      <c r="FJ138" s="60">
        <f ca="1">AVERAGE(OFFSET($FI$3,0,0,'Données projet'!$E$16+1,1))-AVERAGE(OFFSET($H$3,0,0,'Données projet'!$E$16+1,1))</f>
        <v>455.50822833641354</v>
      </c>
      <c r="FK138" s="60">
        <f t="shared" si="156"/>
        <v>261.14722581688039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289.19279999999935</v>
      </c>
      <c r="P139" s="14">
        <f t="shared" si="141"/>
        <v>68.906044268306161</v>
      </c>
      <c r="Q139" s="22">
        <f t="shared" si="108"/>
        <v>623.68882043396547</v>
      </c>
      <c r="R139" s="60">
        <f t="shared" si="109"/>
        <v>917.02215376729873</v>
      </c>
      <c r="S139" s="60">
        <f ca="1">AVERAGE(OFFSET($R$3,0,0,'Données projet'!$E$9+1,1))-AVERAGE(OFFSET($H$3,0,0,'Données projet'!$E$9+1,1))</f>
        <v>475.47920969424894</v>
      </c>
      <c r="T139" s="60">
        <f t="shared" si="142"/>
        <v>271.73544012419364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-2.8421709430404007E-13</v>
      </c>
      <c r="AJ139" s="14">
        <f>AI139*VLOOKUP('Données projet'!$B$10,Paramètres!$A$1:$I$89,3,0)*VLOOKUP('Données projet'!$B$10,Paramètres!$A$1:$I$89,5,0)</f>
        <v>-1.69961822393816E-13</v>
      </c>
      <c r="AK139" s="14" t="e">
        <f t="shared" si="143"/>
        <v>#NUM!</v>
      </c>
      <c r="AL139" s="22" t="e">
        <f t="shared" si="112"/>
        <v>#NUM!</v>
      </c>
      <c r="AM139" s="60" t="e">
        <f t="shared" si="113"/>
        <v>#NUM!</v>
      </c>
      <c r="AN139" s="60">
        <f ca="1">AVERAGE(OFFSET($AM$3,0,0,'Données projet'!$E$10+1,1))-AVERAGE(OFFSET($H$3,0,0,'Données projet'!$E$10+1,1))</f>
        <v>289.24721145176682</v>
      </c>
      <c r="AO139" s="60">
        <f t="shared" si="144"/>
        <v>229.06617320689003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0.11998389057009791</v>
      </c>
      <c r="AW139" s="23">
        <f>EXP(-LN(2)/2)*AW138+(1-EXP(-LN(2)/2))/(LN(2)/2)*AQ139*AT139*VLOOKUP('Données projet'!$B$10,Paramètres!$A$1:$I$89,3,0)*0.475*44/12</f>
        <v>4.9221764016231145E-16</v>
      </c>
      <c r="AX139" s="23">
        <f t="shared" si="114"/>
        <v>0.11998389057009839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5.6843418860808015E-14</v>
      </c>
      <c r="BE139" s="14">
        <f>BD139*VLOOKUP('Données projet'!$B$11,Paramètres!$A$1:$I$89,3,0)*VLOOKUP('Données projet'!$B$11,Paramètres!$A$1:$I$89,5,0)</f>
        <v>3.3992364478763198E-14</v>
      </c>
      <c r="BF139" s="14">
        <f t="shared" si="145"/>
        <v>5.790027782444094E-13</v>
      </c>
      <c r="BG139" s="22">
        <f t="shared" si="115"/>
        <v>1.0676332069095257E-12</v>
      </c>
      <c r="BH139" s="60">
        <f t="shared" si="116"/>
        <v>293.33333333333439</v>
      </c>
      <c r="BI139" s="60">
        <f ca="1">AVERAGE(OFFSET($BH$3,0,0,'Données projet'!$E$11+1,1))-AVERAGE(OFFSET($H$3,0,0,'Données projet'!$E$11+1,1))</f>
        <v>287.91374663515506</v>
      </c>
      <c r="BJ139" s="60">
        <f t="shared" si="146"/>
        <v>217.76240797006147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2.7</v>
      </c>
      <c r="BY139" s="13">
        <f>IF('Données projet'!$A$114&gt;35,BY138+BX139-CG138,IF(A139&lt;'Données projet'!$A$114,$BV$205^A139,IF(A139='Données projet'!$A$114,'Données projet'!$B$114,BY138+BX139-CG138)))</f>
        <v>285.19999999999931</v>
      </c>
      <c r="BZ139" s="14">
        <f>BY139*VLOOKUP('Données projet'!$B$12,Paramètres!$A$1:$I$89,3,0)*VLOOKUP('Données projet'!$B$12,Paramètres!$A$1:$I$89,5,0)</f>
        <v>258.0489599999994</v>
      </c>
      <c r="CA139" s="14">
        <f t="shared" si="147"/>
        <v>62.306312932555649</v>
      </c>
      <c r="CB139" s="22">
        <f t="shared" si="118"/>
        <v>557.95210035753337</v>
      </c>
      <c r="CC139" s="60">
        <f t="shared" si="119"/>
        <v>851.28543369086674</v>
      </c>
      <c r="CD139" s="60">
        <f ca="1">AVERAGE(OFFSET($CC$3,0,0,'Données projet'!$E$12+1,1))-AVERAGE(OFFSET($H$3,0,0,'Données projet'!$E$12+1,1))</f>
        <v>428.8489304403459</v>
      </c>
      <c r="CE139" s="60">
        <f t="shared" si="148"/>
        <v>247.01165577562966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-2.6602720026858149E-14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284.88646502866419</v>
      </c>
      <c r="CZ139" s="60">
        <f t="shared" si="150"/>
        <v>190.4880882944471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2.7</v>
      </c>
      <c r="DO139" s="13">
        <f>IF('Données projet'!$A$166&gt;35,DO138+DN139-DW138,IF(A139&lt;'Données projet'!$A$166,$DL$205^A139,IF(A139='Données projet'!$A$166,'Données projet'!$B$166,DO138+DN139-DW138)))</f>
        <v>285.19999999999931</v>
      </c>
      <c r="DP139" s="18">
        <f>DO139*VLOOKUP('Données projet'!$B$14,Paramètres!$A$1:$I$89,3,0)*VLOOKUP('Données projet'!$B$14,Paramètres!$A$1:$I$89,5,0)</f>
        <v>306.98927999999921</v>
      </c>
      <c r="DQ139" s="14">
        <f t="shared" si="151"/>
        <v>72.639715316458506</v>
      </c>
      <c r="DR139" s="22">
        <f t="shared" si="124"/>
        <v>661.18716684283038</v>
      </c>
      <c r="DS139" s="60">
        <f t="shared" si="125"/>
        <v>954.52050017616375</v>
      </c>
      <c r="DT139" s="60">
        <f ca="1">AVERAGE(OFFSET($DS$3,0,0,'Données projet'!$E$14+1,1))-AVERAGE(OFFSET($H$3,0,0,'Données projet'!$E$14+1,1))</f>
        <v>502.07782026233912</v>
      </c>
      <c r="DU139" s="60">
        <f t="shared" si="152"/>
        <v>285.83623046025156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-1.7053025658242404E-13</v>
      </c>
      <c r="EK139" s="18">
        <f>EJ139*VLOOKUP('Données projet'!$B$15,Paramètres!$A$1:$I$89,3,0)*VLOOKUP('Données projet'!$B$15,Paramètres!$A$1:$I$89,5,0)</f>
        <v>-1.4897523215040567E-13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339.58437495284466</v>
      </c>
      <c r="EP139" s="60">
        <f t="shared" si="154"/>
        <v>371.26234252426531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2.7</v>
      </c>
      <c r="FE139" s="13">
        <f>IF('Données projet'!$A$218&gt;35,FE138+FD139-FM138,IF(A139&lt;'Données projet'!$A$218,$FB$205^A139,IF(A139='Données projet'!$A$218,'Données projet'!$B$218,FE138+FD139-FM138)))</f>
        <v>285.19999999999931</v>
      </c>
      <c r="FF139" s="18">
        <f>FE139*VLOOKUP('Données projet'!$B$16,Paramètres!$A$1:$I$89,3,0)*VLOOKUP('Données projet'!$B$16,Paramètres!$A$1:$I$89,5,0)</f>
        <v>275.84543999999931</v>
      </c>
      <c r="FG139" s="14">
        <f t="shared" si="155"/>
        <v>66.088268521855113</v>
      </c>
      <c r="FH139" s="22">
        <f t="shared" si="130"/>
        <v>595.53454234222977</v>
      </c>
      <c r="FI139" s="60">
        <f t="shared" si="131"/>
        <v>888.86787567556303</v>
      </c>
      <c r="FJ139" s="60">
        <f ca="1">AVERAGE(OFFSET($FI$3,0,0,'Données projet'!$E$16+1,1))-AVERAGE(OFFSET($H$3,0,0,'Données projet'!$E$16+1,1))</f>
        <v>455.50822833641354</v>
      </c>
      <c r="FK139" s="60">
        <f t="shared" si="156"/>
        <v>261.14722581688039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291.93059999999929</v>
      </c>
      <c r="P140" s="14">
        <f t="shared" si="141"/>
        <v>69.482132168934584</v>
      </c>
      <c r="Q140" s="22">
        <f t="shared" si="108"/>
        <v>629.4605085275598</v>
      </c>
      <c r="R140" s="60">
        <f t="shared" si="109"/>
        <v>922.79384186089305</v>
      </c>
      <c r="S140" s="60">
        <f ca="1">AVERAGE(OFFSET($R$3,0,0,'Données projet'!$E$9+1,1))-AVERAGE(OFFSET($H$3,0,0,'Données projet'!$E$9+1,1))</f>
        <v>475.47920969424894</v>
      </c>
      <c r="T140" s="60">
        <f t="shared" si="142"/>
        <v>271.73544012419364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-2.8421709430404007E-13</v>
      </c>
      <c r="AJ140" s="14">
        <f>AI140*VLOOKUP('Données projet'!$B$10,Paramètres!$A$1:$I$89,3,0)*VLOOKUP('Données projet'!$B$10,Paramètres!$A$1:$I$89,5,0)</f>
        <v>-1.69961822393816E-13</v>
      </c>
      <c r="AK140" s="14" t="e">
        <f t="shared" si="143"/>
        <v>#NUM!</v>
      </c>
      <c r="AL140" s="22" t="e">
        <f t="shared" si="112"/>
        <v>#NUM!</v>
      </c>
      <c r="AM140" s="60" t="e">
        <f t="shared" si="113"/>
        <v>#NUM!</v>
      </c>
      <c r="AN140" s="60">
        <f ca="1">AVERAGE(OFFSET($AM$3,0,0,'Données projet'!$E$10+1,1))-AVERAGE(OFFSET($H$3,0,0,'Données projet'!$E$10+1,1))</f>
        <v>289.24721145176682</v>
      </c>
      <c r="AO140" s="60">
        <f t="shared" si="144"/>
        <v>229.06617320689003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0.11670292477278001</v>
      </c>
      <c r="AW140" s="23">
        <f>EXP(-LN(2)/2)*AW139+(1-EXP(-LN(2)/2))/(LN(2)/2)*AQ140*AT140*VLOOKUP('Données projet'!$B$10,Paramètres!$A$1:$I$89,3,0)*0.475*44/12</f>
        <v>3.4805043117841036E-16</v>
      </c>
      <c r="AX140" s="23">
        <f t="shared" si="114"/>
        <v>0.11670292477278035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5.6843418860808015E-14</v>
      </c>
      <c r="BE140" s="14">
        <f>BD140*VLOOKUP('Données projet'!$B$11,Paramètres!$A$1:$I$89,3,0)*VLOOKUP('Données projet'!$B$11,Paramètres!$A$1:$I$89,5,0)</f>
        <v>3.3992364478763198E-14</v>
      </c>
      <c r="BF140" s="14">
        <f t="shared" si="145"/>
        <v>5.790027782444094E-13</v>
      </c>
      <c r="BG140" s="22">
        <f t="shared" si="115"/>
        <v>1.0676332069095257E-12</v>
      </c>
      <c r="BH140" s="60">
        <f t="shared" si="116"/>
        <v>293.33333333333439</v>
      </c>
      <c r="BI140" s="60">
        <f ca="1">AVERAGE(OFFSET($BH$3,0,0,'Données projet'!$E$11+1,1))-AVERAGE(OFFSET($H$3,0,0,'Données projet'!$E$11+1,1))</f>
        <v>287.91374663515506</v>
      </c>
      <c r="BJ140" s="60">
        <f t="shared" si="146"/>
        <v>217.76240797006147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2.7</v>
      </c>
      <c r="BY140" s="13">
        <f>IF('Données projet'!$A$114&gt;35,BY139+BX140-CG139,IF(A140&lt;'Données projet'!$A$114,$BV$205^A140,IF(A140='Données projet'!$A$114,'Données projet'!$B$114,BY139+BX140-CG139)))</f>
        <v>287.8999999999993</v>
      </c>
      <c r="BZ140" s="14">
        <f>BY140*VLOOKUP('Données projet'!$B$12,Paramètres!$A$1:$I$89,3,0)*VLOOKUP('Données projet'!$B$12,Paramètres!$A$1:$I$89,5,0)</f>
        <v>260.49191999999937</v>
      </c>
      <c r="CA140" s="14">
        <f t="shared" si="147"/>
        <v>62.827223883029681</v>
      </c>
      <c r="CB140" s="22">
        <f t="shared" si="118"/>
        <v>563.11417559627546</v>
      </c>
      <c r="CC140" s="60">
        <f t="shared" si="119"/>
        <v>856.44750892960883</v>
      </c>
      <c r="CD140" s="60">
        <f ca="1">AVERAGE(OFFSET($CC$3,0,0,'Données projet'!$E$12+1,1))-AVERAGE(OFFSET($H$3,0,0,'Données projet'!$E$12+1,1))</f>
        <v>428.8489304403459</v>
      </c>
      <c r="CE140" s="60">
        <f t="shared" si="148"/>
        <v>247.01165577562966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-2.6602720026858149E-14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284.88646502866419</v>
      </c>
      <c r="CZ140" s="60">
        <f t="shared" si="150"/>
        <v>190.4880882944471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2.7</v>
      </c>
      <c r="DO140" s="13">
        <f>IF('Données projet'!$A$166&gt;35,DO139+DN140-DW139,IF(A140&lt;'Données projet'!$A$166,$DL$205^A140,IF(A140='Données projet'!$A$166,'Données projet'!$B$166,DO139+DN140-DW139)))</f>
        <v>287.8999999999993</v>
      </c>
      <c r="DP140" s="18">
        <f>DO140*VLOOKUP('Données projet'!$B$14,Paramètres!$A$1:$I$89,3,0)*VLOOKUP('Données projet'!$B$14,Paramètres!$A$1:$I$89,5,0)</f>
        <v>309.89555999999925</v>
      </c>
      <c r="DQ140" s="14">
        <f t="shared" si="151"/>
        <v>73.247018515231034</v>
      </c>
      <c r="DR140" s="22">
        <f t="shared" si="124"/>
        <v>667.30665758069279</v>
      </c>
      <c r="DS140" s="60">
        <f t="shared" si="125"/>
        <v>960.63999091402616</v>
      </c>
      <c r="DT140" s="60">
        <f ca="1">AVERAGE(OFFSET($DS$3,0,0,'Données projet'!$E$14+1,1))-AVERAGE(OFFSET($H$3,0,0,'Données projet'!$E$14+1,1))</f>
        <v>502.07782026233912</v>
      </c>
      <c r="DU140" s="60">
        <f t="shared" si="152"/>
        <v>285.83623046025156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-1.7053025658242404E-13</v>
      </c>
      <c r="EK140" s="18">
        <f>EJ140*VLOOKUP('Données projet'!$B$15,Paramètres!$A$1:$I$89,3,0)*VLOOKUP('Données projet'!$B$15,Paramètres!$A$1:$I$89,5,0)</f>
        <v>-1.4897523215040567E-13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339.58437495284466</v>
      </c>
      <c r="EP140" s="60">
        <f t="shared" si="154"/>
        <v>371.26234252426531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2.7</v>
      </c>
      <c r="FE140" s="13">
        <f>IF('Données projet'!$A$218&gt;35,FE139+FD140-FM139,IF(A140&lt;'Données projet'!$A$218,$FB$205^A140,IF(A140='Données projet'!$A$218,'Données projet'!$B$218,FE139+FD140-FM139)))</f>
        <v>287.8999999999993</v>
      </c>
      <c r="FF140" s="18">
        <f>FE140*VLOOKUP('Données projet'!$B$16,Paramètres!$A$1:$I$89,3,0)*VLOOKUP('Données projet'!$B$16,Paramètres!$A$1:$I$89,5,0)</f>
        <v>278.45687999999933</v>
      </c>
      <c r="FG140" s="14">
        <f t="shared" si="155"/>
        <v>66.640798452620999</v>
      </c>
      <c r="FH140" s="22">
        <f t="shared" si="130"/>
        <v>601.04512330498039</v>
      </c>
      <c r="FI140" s="60">
        <f t="shared" si="131"/>
        <v>894.37845663831376</v>
      </c>
      <c r="FJ140" s="60">
        <f ca="1">AVERAGE(OFFSET($FI$3,0,0,'Données projet'!$E$16+1,1))-AVERAGE(OFFSET($H$3,0,0,'Données projet'!$E$16+1,1))</f>
        <v>455.50822833641354</v>
      </c>
      <c r="FK140" s="60">
        <f t="shared" si="156"/>
        <v>261.14722581688039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294.66839999999928</v>
      </c>
      <c r="P141" s="14">
        <f t="shared" si="141"/>
        <v>70.057591528661433</v>
      </c>
      <c r="Q141" s="22">
        <f t="shared" si="108"/>
        <v>635.23110191241733</v>
      </c>
      <c r="R141" s="60">
        <f t="shared" si="109"/>
        <v>928.5644352457507</v>
      </c>
      <c r="S141" s="60">
        <f ca="1">AVERAGE(OFFSET($R$3,0,0,'Données projet'!$E$9+1,1))-AVERAGE(OFFSET($H$3,0,0,'Données projet'!$E$9+1,1))</f>
        <v>475.47920969424894</v>
      </c>
      <c r="T141" s="60">
        <f t="shared" si="142"/>
        <v>271.73544012419364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-2.8421709430404007E-13</v>
      </c>
      <c r="AJ141" s="14">
        <f>AI141*VLOOKUP('Données projet'!$B$10,Paramètres!$A$1:$I$89,3,0)*VLOOKUP('Données projet'!$B$10,Paramètres!$A$1:$I$89,5,0)</f>
        <v>-1.69961822393816E-13</v>
      </c>
      <c r="AK141" s="14" t="e">
        <f t="shared" si="143"/>
        <v>#NUM!</v>
      </c>
      <c r="AL141" s="22" t="e">
        <f t="shared" si="112"/>
        <v>#NUM!</v>
      </c>
      <c r="AM141" s="60" t="e">
        <f t="shared" si="113"/>
        <v>#NUM!</v>
      </c>
      <c r="AN141" s="60">
        <f ca="1">AVERAGE(OFFSET($AM$3,0,0,'Données projet'!$E$10+1,1))-AVERAGE(OFFSET($H$3,0,0,'Données projet'!$E$10+1,1))</f>
        <v>289.24721145176682</v>
      </c>
      <c r="AO141" s="60">
        <f t="shared" si="144"/>
        <v>229.06617320689003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0.11351167715772825</v>
      </c>
      <c r="AW141" s="23">
        <f>EXP(-LN(2)/2)*AW140+(1-EXP(-LN(2)/2))/(LN(2)/2)*AQ141*AT141*VLOOKUP('Données projet'!$B$10,Paramètres!$A$1:$I$89,3,0)*0.475*44/12</f>
        <v>2.4610882008115573E-16</v>
      </c>
      <c r="AX141" s="23">
        <f t="shared" si="114"/>
        <v>0.1135116771577285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5.6843418860808015E-14</v>
      </c>
      <c r="BE141" s="14">
        <f>BD141*VLOOKUP('Données projet'!$B$11,Paramètres!$A$1:$I$89,3,0)*VLOOKUP('Données projet'!$B$11,Paramètres!$A$1:$I$89,5,0)</f>
        <v>3.3992364478763198E-14</v>
      </c>
      <c r="BF141" s="14">
        <f t="shared" si="145"/>
        <v>5.790027782444094E-13</v>
      </c>
      <c r="BG141" s="22">
        <f t="shared" si="115"/>
        <v>1.0676332069095257E-12</v>
      </c>
      <c r="BH141" s="60">
        <f t="shared" si="116"/>
        <v>293.33333333333439</v>
      </c>
      <c r="BI141" s="60">
        <f ca="1">AVERAGE(OFFSET($BH$3,0,0,'Données projet'!$E$11+1,1))-AVERAGE(OFFSET($H$3,0,0,'Données projet'!$E$11+1,1))</f>
        <v>287.91374663515506</v>
      </c>
      <c r="BJ141" s="60">
        <f t="shared" si="146"/>
        <v>217.76240797006147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2.7</v>
      </c>
      <c r="BY141" s="13">
        <f>IF('Données projet'!$A$114&gt;35,BY140+BX141-CG140,IF(A141&lt;'Données projet'!$A$114,$BV$205^A141,IF(A141='Données projet'!$A$114,'Données projet'!$B$114,BY140+BX141-CG140)))</f>
        <v>290.59999999999928</v>
      </c>
      <c r="BZ141" s="14">
        <f>BY141*VLOOKUP('Données projet'!$B$12,Paramètres!$A$1:$I$89,3,0)*VLOOKUP('Données projet'!$B$12,Paramètres!$A$1:$I$89,5,0)</f>
        <v>262.93487999999934</v>
      </c>
      <c r="CA141" s="14">
        <f t="shared" si="147"/>
        <v>63.347566493432652</v>
      </c>
      <c r="CB141" s="22">
        <f t="shared" si="118"/>
        <v>568.27526097606062</v>
      </c>
      <c r="CC141" s="60">
        <f t="shared" si="119"/>
        <v>861.60859430939399</v>
      </c>
      <c r="CD141" s="60">
        <f ca="1">AVERAGE(OFFSET($CC$3,0,0,'Données projet'!$E$12+1,1))-AVERAGE(OFFSET($H$3,0,0,'Données projet'!$E$12+1,1))</f>
        <v>428.8489304403459</v>
      </c>
      <c r="CE141" s="60">
        <f t="shared" si="148"/>
        <v>247.01165577562966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-2.6602720026858149E-14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284.88646502866419</v>
      </c>
      <c r="CZ141" s="60">
        <f t="shared" si="150"/>
        <v>190.4880882944471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2.7</v>
      </c>
      <c r="DO141" s="13">
        <f>IF('Données projet'!$A$166&gt;35,DO140+DN141-DW140,IF(A141&lt;'Données projet'!$A$166,$DL$205^A141,IF(A141='Données projet'!$A$166,'Données projet'!$B$166,DO140+DN141-DW140)))</f>
        <v>290.59999999999928</v>
      </c>
      <c r="DP141" s="18">
        <f>DO141*VLOOKUP('Données projet'!$B$14,Paramètres!$A$1:$I$89,3,0)*VLOOKUP('Données projet'!$B$14,Paramètres!$A$1:$I$89,5,0)</f>
        <v>312.80183999999923</v>
      </c>
      <c r="DQ141" s="14">
        <f t="shared" si="151"/>
        <v>73.853659115640255</v>
      </c>
      <c r="DR141" s="22">
        <f t="shared" si="124"/>
        <v>673.42499429307202</v>
      </c>
      <c r="DS141" s="60">
        <f t="shared" si="125"/>
        <v>966.75832762640539</v>
      </c>
      <c r="DT141" s="60">
        <f ca="1">AVERAGE(OFFSET($DS$3,0,0,'Données projet'!$E$14+1,1))-AVERAGE(OFFSET($H$3,0,0,'Données projet'!$E$14+1,1))</f>
        <v>502.07782026233912</v>
      </c>
      <c r="DU141" s="60">
        <f t="shared" si="152"/>
        <v>285.83623046025156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-1.7053025658242404E-13</v>
      </c>
      <c r="EK141" s="18">
        <f>EJ141*VLOOKUP('Données projet'!$B$15,Paramètres!$A$1:$I$89,3,0)*VLOOKUP('Données projet'!$B$15,Paramètres!$A$1:$I$89,5,0)</f>
        <v>-1.4897523215040567E-13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339.58437495284466</v>
      </c>
      <c r="EP141" s="60">
        <f t="shared" si="154"/>
        <v>371.26234252426531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2.7</v>
      </c>
      <c r="FE141" s="13">
        <f>IF('Données projet'!$A$218&gt;35,FE140+FD141-FM140,IF(A141&lt;'Données projet'!$A$218,$FB$205^A141,IF(A141='Données projet'!$A$218,'Données projet'!$B$218,FE140+FD141-FM140)))</f>
        <v>290.59999999999928</v>
      </c>
      <c r="FF141" s="18">
        <f>FE141*VLOOKUP('Données projet'!$B$16,Paramètres!$A$1:$I$89,3,0)*VLOOKUP('Données projet'!$B$16,Paramètres!$A$1:$I$89,5,0)</f>
        <v>281.06831999999929</v>
      </c>
      <c r="FG141" s="14">
        <f t="shared" si="155"/>
        <v>67.192725545416536</v>
      </c>
      <c r="FH141" s="22">
        <f t="shared" si="130"/>
        <v>606.55465432493247</v>
      </c>
      <c r="FI141" s="60">
        <f t="shared" si="131"/>
        <v>899.88798765826573</v>
      </c>
      <c r="FJ141" s="60">
        <f ca="1">AVERAGE(OFFSET($FI$3,0,0,'Données projet'!$E$16+1,1))-AVERAGE(OFFSET($H$3,0,0,'Données projet'!$E$16+1,1))</f>
        <v>455.50822833641354</v>
      </c>
      <c r="FK141" s="60">
        <f t="shared" si="156"/>
        <v>261.14722581688039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297.40619999999927</v>
      </c>
      <c r="P142" s="14">
        <f t="shared" si="141"/>
        <v>70.632428863759543</v>
      </c>
      <c r="Q142" s="22">
        <f t="shared" si="108"/>
        <v>641.0006119377133</v>
      </c>
      <c r="R142" s="60">
        <f t="shared" si="109"/>
        <v>934.33394527104656</v>
      </c>
      <c r="S142" s="60">
        <f ca="1">AVERAGE(OFFSET($R$3,0,0,'Données projet'!$E$9+1,1))-AVERAGE(OFFSET($H$3,0,0,'Données projet'!$E$9+1,1))</f>
        <v>475.47920969424894</v>
      </c>
      <c r="T142" s="60">
        <f t="shared" si="142"/>
        <v>271.73544012419364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-2.8421709430404007E-13</v>
      </c>
      <c r="AJ142" s="14">
        <f>AI142*VLOOKUP('Données projet'!$B$10,Paramètres!$A$1:$I$89,3,0)*VLOOKUP('Données projet'!$B$10,Paramètres!$A$1:$I$89,5,0)</f>
        <v>-1.69961822393816E-13</v>
      </c>
      <c r="AK142" s="14" t="e">
        <f t="shared" si="143"/>
        <v>#NUM!</v>
      </c>
      <c r="AL142" s="22" t="e">
        <f t="shared" si="112"/>
        <v>#NUM!</v>
      </c>
      <c r="AM142" s="60" t="e">
        <f t="shared" si="113"/>
        <v>#NUM!</v>
      </c>
      <c r="AN142" s="60">
        <f ca="1">AVERAGE(OFFSET($AM$3,0,0,'Données projet'!$E$10+1,1))-AVERAGE(OFFSET($H$3,0,0,'Données projet'!$E$10+1,1))</f>
        <v>289.24721145176682</v>
      </c>
      <c r="AO142" s="60">
        <f t="shared" si="144"/>
        <v>229.06617320689003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0.1104076943765305</v>
      </c>
      <c r="AW142" s="23">
        <f>EXP(-LN(2)/2)*AW141+(1-EXP(-LN(2)/2))/(LN(2)/2)*AQ142*AT142*VLOOKUP('Données projet'!$B$10,Paramètres!$A$1:$I$89,3,0)*0.475*44/12</f>
        <v>1.7402521558920518E-16</v>
      </c>
      <c r="AX142" s="23">
        <f t="shared" si="114"/>
        <v>0.11040769437653068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5.6843418860808015E-14</v>
      </c>
      <c r="BE142" s="14">
        <f>BD142*VLOOKUP('Données projet'!$B$11,Paramètres!$A$1:$I$89,3,0)*VLOOKUP('Données projet'!$B$11,Paramètres!$A$1:$I$89,5,0)</f>
        <v>3.3992364478763198E-14</v>
      </c>
      <c r="BF142" s="14">
        <f t="shared" si="145"/>
        <v>5.790027782444094E-13</v>
      </c>
      <c r="BG142" s="22">
        <f t="shared" si="115"/>
        <v>1.0676332069095257E-12</v>
      </c>
      <c r="BH142" s="60">
        <f t="shared" si="116"/>
        <v>293.33333333333439</v>
      </c>
      <c r="BI142" s="60">
        <f ca="1">AVERAGE(OFFSET($BH$3,0,0,'Données projet'!$E$11+1,1))-AVERAGE(OFFSET($H$3,0,0,'Données projet'!$E$11+1,1))</f>
        <v>287.91374663515506</v>
      </c>
      <c r="BJ142" s="60">
        <f t="shared" si="146"/>
        <v>217.76240797006147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2.7</v>
      </c>
      <c r="BY142" s="13">
        <f>IF('Données projet'!$A$114&gt;35,BY141+BX142-CG141,IF(A142&lt;'Données projet'!$A$114,$BV$205^A142,IF(A142='Données projet'!$A$114,'Données projet'!$B$114,BY141+BX142-CG141)))</f>
        <v>293.29999999999927</v>
      </c>
      <c r="BZ142" s="14">
        <f>BY142*VLOOKUP('Données projet'!$B$12,Paramètres!$A$1:$I$89,3,0)*VLOOKUP('Données projet'!$B$12,Paramètres!$A$1:$I$89,5,0)</f>
        <v>265.37783999999937</v>
      </c>
      <c r="CA142" s="14">
        <f t="shared" si="147"/>
        <v>63.867346655917089</v>
      </c>
      <c r="CB142" s="22">
        <f t="shared" si="118"/>
        <v>573.43536675905443</v>
      </c>
      <c r="CC142" s="60">
        <f t="shared" si="119"/>
        <v>866.76870009238769</v>
      </c>
      <c r="CD142" s="60">
        <f ca="1">AVERAGE(OFFSET($CC$3,0,0,'Données projet'!$E$12+1,1))-AVERAGE(OFFSET($H$3,0,0,'Données projet'!$E$12+1,1))</f>
        <v>428.8489304403459</v>
      </c>
      <c r="CE142" s="60">
        <f t="shared" si="148"/>
        <v>247.01165577562966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-2.6602720026858149E-14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284.88646502866419</v>
      </c>
      <c r="CZ142" s="60">
        <f t="shared" si="150"/>
        <v>190.4880882944471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2.7</v>
      </c>
      <c r="DO142" s="13">
        <f>IF('Données projet'!$A$166&gt;35,DO141+DN142-DW141,IF(A142&lt;'Données projet'!$A$166,$DL$205^A142,IF(A142='Données projet'!$A$166,'Données projet'!$B$166,DO141+DN142-DW141)))</f>
        <v>293.29999999999927</v>
      </c>
      <c r="DP142" s="18">
        <f>DO142*VLOOKUP('Données projet'!$B$14,Paramètres!$A$1:$I$89,3,0)*VLOOKUP('Données projet'!$B$14,Paramètres!$A$1:$I$89,5,0)</f>
        <v>315.70811999999916</v>
      </c>
      <c r="DQ142" s="14">
        <f t="shared" si="151"/>
        <v>74.459643987042966</v>
      </c>
      <c r="DR142" s="22">
        <f t="shared" si="124"/>
        <v>679.54218894409837</v>
      </c>
      <c r="DS142" s="60">
        <f t="shared" si="125"/>
        <v>972.87552227743163</v>
      </c>
      <c r="DT142" s="60">
        <f ca="1">AVERAGE(OFFSET($DS$3,0,0,'Données projet'!$E$14+1,1))-AVERAGE(OFFSET($H$3,0,0,'Données projet'!$E$14+1,1))</f>
        <v>502.07782026233912</v>
      </c>
      <c r="DU142" s="60">
        <f t="shared" si="152"/>
        <v>285.83623046025156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-1.7053025658242404E-13</v>
      </c>
      <c r="EK142" s="18">
        <f>EJ142*VLOOKUP('Données projet'!$B$15,Paramètres!$A$1:$I$89,3,0)*VLOOKUP('Données projet'!$B$15,Paramètres!$A$1:$I$89,5,0)</f>
        <v>-1.4897523215040567E-13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339.58437495284466</v>
      </c>
      <c r="EP142" s="60">
        <f t="shared" si="154"/>
        <v>371.26234252426531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2.7</v>
      </c>
      <c r="FE142" s="13">
        <f>IF('Données projet'!$A$218&gt;35,FE141+FD142-FM141,IF(A142&lt;'Données projet'!$A$218,$FB$205^A142,IF(A142='Données projet'!$A$218,'Données projet'!$B$218,FE141+FD142-FM141)))</f>
        <v>293.29999999999927</v>
      </c>
      <c r="FF142" s="18">
        <f>FE142*VLOOKUP('Données projet'!$B$16,Paramètres!$A$1:$I$89,3,0)*VLOOKUP('Données projet'!$B$16,Paramètres!$A$1:$I$89,5,0)</f>
        <v>283.67975999999931</v>
      </c>
      <c r="FG142" s="14">
        <f t="shared" si="155"/>
        <v>67.74405605004435</v>
      </c>
      <c r="FH142" s="22">
        <f t="shared" si="130"/>
        <v>612.06314628715938</v>
      </c>
      <c r="FI142" s="60">
        <f t="shared" si="131"/>
        <v>905.39647962049276</v>
      </c>
      <c r="FJ142" s="60">
        <f ca="1">AVERAGE(OFFSET($FI$3,0,0,'Données projet'!$E$16+1,1))-AVERAGE(OFFSET($H$3,0,0,'Données projet'!$E$16+1,1))</f>
        <v>455.50822833641354</v>
      </c>
      <c r="FK142" s="60">
        <f t="shared" si="156"/>
        <v>261.14722581688039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300.14399999999927</v>
      </c>
      <c r="P143" s="14">
        <f t="shared" si="141"/>
        <v>71.206650563609728</v>
      </c>
      <c r="Q143" s="22">
        <f t="shared" si="108"/>
        <v>646.76904973161891</v>
      </c>
      <c r="R143" s="60">
        <f t="shared" si="109"/>
        <v>940.10238306495216</v>
      </c>
      <c r="S143" s="60">
        <f ca="1">AVERAGE(OFFSET($R$3,0,0,'Données projet'!$E$9+1,1))-AVERAGE(OFFSET($H$3,0,0,'Données projet'!$E$9+1,1))</f>
        <v>475.47920969424894</v>
      </c>
      <c r="T143" s="60">
        <f t="shared" si="142"/>
        <v>271.73544012419364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-2.8421709430404007E-13</v>
      </c>
      <c r="AJ143" s="14">
        <f>AI143*VLOOKUP('Données projet'!$B$10,Paramètres!$A$1:$I$89,3,0)*VLOOKUP('Données projet'!$B$10,Paramètres!$A$1:$I$89,5,0)</f>
        <v>-1.69961822393816E-13</v>
      </c>
      <c r="AK143" s="14" t="e">
        <f t="shared" si="143"/>
        <v>#NUM!</v>
      </c>
      <c r="AL143" s="22" t="e">
        <f t="shared" si="112"/>
        <v>#NUM!</v>
      </c>
      <c r="AM143" s="60" t="e">
        <f t="shared" si="113"/>
        <v>#NUM!</v>
      </c>
      <c r="AN143" s="60">
        <f ca="1">AVERAGE(OFFSET($AM$3,0,0,'Données projet'!$E$10+1,1))-AVERAGE(OFFSET($H$3,0,0,'Données projet'!$E$10+1,1))</f>
        <v>289.24721145176682</v>
      </c>
      <c r="AO143" s="60">
        <f t="shared" si="144"/>
        <v>229.06617320689003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0.10738859016771597</v>
      </c>
      <c r="AW143" s="23">
        <f>EXP(-LN(2)/2)*AW142+(1-EXP(-LN(2)/2))/(LN(2)/2)*AQ143*AT143*VLOOKUP('Données projet'!$B$10,Paramètres!$A$1:$I$89,3,0)*0.475*44/12</f>
        <v>1.2305441004057786E-16</v>
      </c>
      <c r="AX143" s="23">
        <f t="shared" si="114"/>
        <v>0.1073885901677161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5.6843418860808015E-14</v>
      </c>
      <c r="BE143" s="14">
        <f>BD143*VLOOKUP('Données projet'!$B$11,Paramètres!$A$1:$I$89,3,0)*VLOOKUP('Données projet'!$B$11,Paramètres!$A$1:$I$89,5,0)</f>
        <v>3.3992364478763198E-14</v>
      </c>
      <c r="BF143" s="14">
        <f t="shared" si="145"/>
        <v>5.790027782444094E-13</v>
      </c>
      <c r="BG143" s="22">
        <f t="shared" si="115"/>
        <v>1.0676332069095257E-12</v>
      </c>
      <c r="BH143" s="60">
        <f t="shared" si="116"/>
        <v>293.33333333333439</v>
      </c>
      <c r="BI143" s="60">
        <f ca="1">AVERAGE(OFFSET($BH$3,0,0,'Données projet'!$E$11+1,1))-AVERAGE(OFFSET($H$3,0,0,'Données projet'!$E$11+1,1))</f>
        <v>287.91374663515506</v>
      </c>
      <c r="BJ143" s="60">
        <f t="shared" si="146"/>
        <v>217.76240797006147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>
        <f>VLOOKUP(A143,'Données projet'!$A$113:$I$133,2,0)</f>
        <v>296</v>
      </c>
      <c r="BW143" s="13">
        <f>VLOOKUP(A143,'Données projet'!$A$113:$I$133,9,0)</f>
        <v>2.7</v>
      </c>
      <c r="BX143" s="13">
        <f t="array" ref="BX143">INDEX(BW:BW,MIN(IF(ISNUMBER(BW143:BW339),ROW(BW143:BW339),"")))</f>
        <v>2.7</v>
      </c>
      <c r="BY143" s="13">
        <f>IF('Données projet'!$A$114&gt;35,BY142+BX143-CG142,IF(A143&lt;'Données projet'!$A$114,$BV$205^A143,IF(A143='Données projet'!$A$114,'Données projet'!$B$114,BY142+BX143-CG142)))</f>
        <v>295.99999999999926</v>
      </c>
      <c r="BZ143" s="14">
        <f>BY143*VLOOKUP('Données projet'!$B$12,Paramètres!$A$1:$I$89,3,0)*VLOOKUP('Données projet'!$B$12,Paramètres!$A$1:$I$89,5,0)</f>
        <v>267.82079999999934</v>
      </c>
      <c r="CA143" s="14">
        <f t="shared" si="147"/>
        <v>64.386570147897245</v>
      </c>
      <c r="CB143" s="22">
        <f t="shared" si="118"/>
        <v>578.59450300758647</v>
      </c>
      <c r="CC143" s="60">
        <f t="shared" si="119"/>
        <v>871.92783634091984</v>
      </c>
      <c r="CD143" s="60">
        <f ca="1">AVERAGE(OFFSET($CC$3,0,0,'Données projet'!$E$12+1,1))-AVERAGE(OFFSET($H$3,0,0,'Données projet'!$E$12+1,1))</f>
        <v>428.8489304403459</v>
      </c>
      <c r="CE143" s="60">
        <f t="shared" si="148"/>
        <v>247.01165577562966</v>
      </c>
      <c r="CF143" s="16">
        <f>IF(ISNA(VLOOKUP(A143,'Données projet'!$A$113:$I$133,3,0)),0,VLOOKUP(A143,'Données projet'!$A$113:$I$133,3,0))</f>
        <v>12</v>
      </c>
      <c r="CG143" s="16">
        <f>IF(ISNA(VLOOKUP(A143,'Données projet'!$A$113:$I$133,4,0)),0,VLOOKUP(A143,'Données projet'!$A$113:$I$133,4,0))</f>
        <v>27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-2.6602720026858149E-14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284.88646502866419</v>
      </c>
      <c r="CZ143" s="60">
        <f t="shared" si="150"/>
        <v>190.4880882944471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>
        <f>VLOOKUP(A143,'Données projet'!$A$165:$I$185,2,0)</f>
        <v>296</v>
      </c>
      <c r="DM143" s="13">
        <f>VLOOKUP(A143,'Données projet'!$A$165:$I$185,9,0)</f>
        <v>2.7</v>
      </c>
      <c r="DN143" s="13">
        <f t="array" ref="DN143">INDEX(DM:DM,MIN(IF(ISNUMBER(DM143:DM339),ROW(DM143:DM339),"")))</f>
        <v>2.7</v>
      </c>
      <c r="DO143" s="13">
        <f>IF('Données projet'!$A$166&gt;35,DO142+DN143-DW142,IF(A143&lt;'Données projet'!$A$166,$DL$205^A143,IF(A143='Données projet'!$A$166,'Données projet'!$B$166,DO142+DN143-DW142)))</f>
        <v>295.99999999999926</v>
      </c>
      <c r="DP143" s="18">
        <f>DO143*VLOOKUP('Données projet'!$B$14,Paramètres!$A$1:$I$89,3,0)*VLOOKUP('Données projet'!$B$14,Paramètres!$A$1:$I$89,5,0)</f>
        <v>318.61439999999919</v>
      </c>
      <c r="DQ143" s="14">
        <f t="shared" si="151"/>
        <v>75.064979865028292</v>
      </c>
      <c r="DR143" s="22">
        <f t="shared" si="124"/>
        <v>685.65825326492302</v>
      </c>
      <c r="DS143" s="60">
        <f t="shared" si="125"/>
        <v>978.99158659825639</v>
      </c>
      <c r="DT143" s="60">
        <f ca="1">AVERAGE(OFFSET($DS$3,0,0,'Données projet'!$E$14+1,1))-AVERAGE(OFFSET($H$3,0,0,'Données projet'!$E$14+1,1))</f>
        <v>502.07782026233912</v>
      </c>
      <c r="DU143" s="60">
        <f t="shared" si="152"/>
        <v>285.83623046025156</v>
      </c>
      <c r="DV143" s="16">
        <f>IF(ISNA(VLOOKUP(A143,'Données projet'!$A$165:$I$185,3,0)),0,VLOOKUP(A143,'Données projet'!$A$165:$I$185,3,0))</f>
        <v>12</v>
      </c>
      <c r="DW143" s="16">
        <f>IF(ISNA(VLOOKUP(A143,'Données projet'!$A$165:$I$185,4,0)),0,VLOOKUP(A143,'Données projet'!$A$165:$I$185,4,0))</f>
        <v>27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-1.7053025658242404E-13</v>
      </c>
      <c r="EK143" s="18">
        <f>EJ143*VLOOKUP('Données projet'!$B$15,Paramètres!$A$1:$I$89,3,0)*VLOOKUP('Données projet'!$B$15,Paramètres!$A$1:$I$89,5,0)</f>
        <v>-1.4897523215040567E-13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339.58437495284466</v>
      </c>
      <c r="EP143" s="60">
        <f t="shared" si="154"/>
        <v>371.26234252426531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>
        <f>VLOOKUP(A143,'Données projet'!$A$217:$I$237,2,0)</f>
        <v>296</v>
      </c>
      <c r="FC143" s="13">
        <f>VLOOKUP(A143,'Données projet'!$A$217:$I$237,9,0)</f>
        <v>2.7</v>
      </c>
      <c r="FD143" s="13">
        <f t="array" ref="FD143">INDEX(FC:FC,MIN(IF(ISNUMBER(FC143:FC339),ROW(FC143:FC339),"")))</f>
        <v>2.7</v>
      </c>
      <c r="FE143" s="13">
        <f>IF('Données projet'!$A$218&gt;35,FE142+FD143-FM142,IF(A143&lt;'Données projet'!$A$218,$FB$205^A143,IF(A143='Données projet'!$A$218,'Données projet'!$B$218,FE142+FD143-FM142)))</f>
        <v>295.99999999999926</v>
      </c>
      <c r="FF143" s="18">
        <f>FE143*VLOOKUP('Données projet'!$B$16,Paramètres!$A$1:$I$89,3,0)*VLOOKUP('Données projet'!$B$16,Paramètres!$A$1:$I$89,5,0)</f>
        <v>286.29119999999926</v>
      </c>
      <c r="FG143" s="14">
        <f t="shared" si="155"/>
        <v>68.294796094604223</v>
      </c>
      <c r="FH143" s="22">
        <f t="shared" si="130"/>
        <v>617.57060986476779</v>
      </c>
      <c r="FI143" s="60">
        <f t="shared" si="131"/>
        <v>910.90394319810116</v>
      </c>
      <c r="FJ143" s="60">
        <f ca="1">AVERAGE(OFFSET($FI$3,0,0,'Données projet'!$E$16+1,1))-AVERAGE(OFFSET($H$3,0,0,'Données projet'!$E$16+1,1))</f>
        <v>455.50822833641354</v>
      </c>
      <c r="FK143" s="60">
        <f t="shared" si="156"/>
        <v>261.14722581688039</v>
      </c>
      <c r="FL143" s="16">
        <f>IF(ISNA(VLOOKUP(A143,'Données projet'!$A$217:$I$237,3,0)),0,VLOOKUP(A143,'Données projet'!$A$217:$I$237,3,0))</f>
        <v>12</v>
      </c>
      <c r="FM143" s="16">
        <f>IF(ISNA(VLOOKUP(A143,'Données projet'!$A$217:$I$237,4,0)),0,VLOOKUP(A143,'Données projet'!$A$217:$I$237,4,0))</f>
        <v>27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275.19959999999924</v>
      </c>
      <c r="P144" s="14">
        <f t="shared" si="141"/>
        <v>65.951527620662489</v>
      </c>
      <c r="Q144" s="22">
        <f t="shared" si="108"/>
        <v>594.17154727265245</v>
      </c>
      <c r="R144" s="60">
        <f t="shared" si="109"/>
        <v>887.50488060598582</v>
      </c>
      <c r="S144" s="60">
        <f ca="1">AVERAGE(OFFSET($R$3,0,0,'Données projet'!$E$9+1,1))-AVERAGE(OFFSET($H$3,0,0,'Données projet'!$E$9+1,1))</f>
        <v>475.47920969424894</v>
      </c>
      <c r="T144" s="60">
        <f t="shared" si="142"/>
        <v>271.73544012419364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-2.8421709430404007E-13</v>
      </c>
      <c r="AJ144" s="14">
        <f>AI144*VLOOKUP('Données projet'!$B$10,Paramètres!$A$1:$I$89,3,0)*VLOOKUP('Données projet'!$B$10,Paramètres!$A$1:$I$89,5,0)</f>
        <v>-1.69961822393816E-13</v>
      </c>
      <c r="AK144" s="14" t="e">
        <f t="shared" si="143"/>
        <v>#NUM!</v>
      </c>
      <c r="AL144" s="22" t="e">
        <f t="shared" si="112"/>
        <v>#NUM!</v>
      </c>
      <c r="AM144" s="60" t="e">
        <f t="shared" si="113"/>
        <v>#NUM!</v>
      </c>
      <c r="AN144" s="60">
        <f ca="1">AVERAGE(OFFSET($AM$3,0,0,'Données projet'!$E$10+1,1))-AVERAGE(OFFSET($H$3,0,0,'Données projet'!$E$10+1,1))</f>
        <v>289.24721145176682</v>
      </c>
      <c r="AO144" s="60">
        <f t="shared" si="144"/>
        <v>229.06617320689003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0.10445204352225926</v>
      </c>
      <c r="AW144" s="23">
        <f>EXP(-LN(2)/2)*AW143+(1-EXP(-LN(2)/2))/(LN(2)/2)*AQ144*AT144*VLOOKUP('Données projet'!$B$10,Paramètres!$A$1:$I$89,3,0)*0.475*44/12</f>
        <v>8.7012607794602589E-17</v>
      </c>
      <c r="AX144" s="23">
        <f t="shared" si="114"/>
        <v>0.10445204352225934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5.6843418860808015E-14</v>
      </c>
      <c r="BE144" s="14">
        <f>BD144*VLOOKUP('Données projet'!$B$11,Paramètres!$A$1:$I$89,3,0)*VLOOKUP('Données projet'!$B$11,Paramètres!$A$1:$I$89,5,0)</f>
        <v>3.3992364478763198E-14</v>
      </c>
      <c r="BF144" s="14">
        <f t="shared" si="145"/>
        <v>5.790027782444094E-13</v>
      </c>
      <c r="BG144" s="22">
        <f t="shared" si="115"/>
        <v>1.0676332069095257E-12</v>
      </c>
      <c r="BH144" s="60">
        <f t="shared" si="116"/>
        <v>293.33333333333439</v>
      </c>
      <c r="BI144" s="60">
        <f ca="1">AVERAGE(OFFSET($BH$3,0,0,'Données projet'!$E$11+1,1))-AVERAGE(OFFSET($H$3,0,0,'Données projet'!$E$11+1,1))</f>
        <v>287.91374663515506</v>
      </c>
      <c r="BJ144" s="60">
        <f t="shared" si="146"/>
        <v>217.76240797006147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2.4</v>
      </c>
      <c r="BY144" s="13">
        <f>IF('Données projet'!$A$114&gt;35,BY143+BX144-CG143,IF(A144&lt;'Données projet'!$A$114,$BV$205^A144,IF(A144='Données projet'!$A$114,'Données projet'!$B$114,BY143+BX144-CG143)))</f>
        <v>271.39999999999924</v>
      </c>
      <c r="BZ144" s="14">
        <f>BY144*VLOOKUP('Données projet'!$B$12,Paramètres!$A$1:$I$89,3,0)*VLOOKUP('Données projet'!$B$12,Paramètres!$A$1:$I$89,5,0)</f>
        <v>245.5627199999993</v>
      </c>
      <c r="CA144" s="14">
        <f t="shared" si="147"/>
        <v>59.634776048276741</v>
      </c>
      <c r="CB144" s="22">
        <f t="shared" si="118"/>
        <v>531.55230561741405</v>
      </c>
      <c r="CC144" s="60">
        <f t="shared" si="119"/>
        <v>824.88563895074731</v>
      </c>
      <c r="CD144" s="60">
        <f ca="1">AVERAGE(OFFSET($CC$3,0,0,'Données projet'!$E$12+1,1))-AVERAGE(OFFSET($H$3,0,0,'Données projet'!$E$12+1,1))</f>
        <v>428.8489304403459</v>
      </c>
      <c r="CE144" s="60">
        <f t="shared" si="148"/>
        <v>247.01165577562966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-2.6602720026858149E-14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284.88646502866419</v>
      </c>
      <c r="CZ144" s="60">
        <f t="shared" si="150"/>
        <v>190.4880882944471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2.4</v>
      </c>
      <c r="DO144" s="13">
        <f>IF('Données projet'!$A$166&gt;35,DO143+DN144-DW143,IF(A144&lt;'Données projet'!$A$166,$DL$205^A144,IF(A144='Données projet'!$A$166,'Données projet'!$B$166,DO143+DN144-DW143)))</f>
        <v>271.39999999999924</v>
      </c>
      <c r="DP144" s="18">
        <f>DO144*VLOOKUP('Données projet'!$B$14,Paramètres!$A$1:$I$89,3,0)*VLOOKUP('Données projet'!$B$14,Paramètres!$A$1:$I$89,5,0)</f>
        <v>292.13495999999913</v>
      </c>
      <c r="DQ144" s="14">
        <f t="shared" si="151"/>
        <v>69.525108311202104</v>
      </c>
      <c r="DR144" s="22">
        <f t="shared" si="124"/>
        <v>629.89128564200882</v>
      </c>
      <c r="DS144" s="60">
        <f t="shared" si="125"/>
        <v>923.22461897534208</v>
      </c>
      <c r="DT144" s="60">
        <f ca="1">AVERAGE(OFFSET($DS$3,0,0,'Données projet'!$E$14+1,1))-AVERAGE(OFFSET($H$3,0,0,'Données projet'!$E$14+1,1))</f>
        <v>502.07782026233912</v>
      </c>
      <c r="DU144" s="60">
        <f t="shared" si="152"/>
        <v>285.83623046025156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-1.7053025658242404E-13</v>
      </c>
      <c r="EK144" s="18">
        <f>EJ144*VLOOKUP('Données projet'!$B$15,Paramètres!$A$1:$I$89,3,0)*VLOOKUP('Données projet'!$B$15,Paramètres!$A$1:$I$89,5,0)</f>
        <v>-1.4897523215040567E-13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339.58437495284466</v>
      </c>
      <c r="EP144" s="60">
        <f t="shared" si="154"/>
        <v>371.26234252426531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2.4</v>
      </c>
      <c r="FE144" s="13">
        <f>IF('Données projet'!$A$218&gt;35,FE143+FD144-FM143,IF(A144&lt;'Données projet'!$A$218,$FB$205^A144,IF(A144='Données projet'!$A$218,'Données projet'!$B$218,FE143+FD144-FM143)))</f>
        <v>271.39999999999924</v>
      </c>
      <c r="FF144" s="18">
        <f>FE144*VLOOKUP('Données projet'!$B$16,Paramètres!$A$1:$I$89,3,0)*VLOOKUP('Données projet'!$B$16,Paramètres!$A$1:$I$89,5,0)</f>
        <v>262.49807999999928</v>
      </c>
      <c r="FG144" s="14">
        <f t="shared" si="155"/>
        <v>63.254570961137979</v>
      </c>
      <c r="FH144" s="22">
        <f t="shared" si="130"/>
        <v>567.35253375731406</v>
      </c>
      <c r="FI144" s="60">
        <f t="shared" si="131"/>
        <v>860.68586709064743</v>
      </c>
      <c r="FJ144" s="60">
        <f ca="1">AVERAGE(OFFSET($FI$3,0,0,'Données projet'!$E$16+1,1))-AVERAGE(OFFSET($H$3,0,0,'Données projet'!$E$16+1,1))</f>
        <v>455.50822833641354</v>
      </c>
      <c r="FK144" s="60">
        <f t="shared" si="156"/>
        <v>261.14722581688039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277.63319999999919</v>
      </c>
      <c r="P145" s="14">
        <f t="shared" si="141"/>
        <v>66.466589162975524</v>
      </c>
      <c r="Q145" s="22">
        <f t="shared" si="108"/>
        <v>599.30713279218094</v>
      </c>
      <c r="R145" s="60">
        <f t="shared" si="109"/>
        <v>892.64046612551419</v>
      </c>
      <c r="S145" s="60">
        <f ca="1">AVERAGE(OFFSET($R$3,0,0,'Données projet'!$E$9+1,1))-AVERAGE(OFFSET($H$3,0,0,'Données projet'!$E$9+1,1))</f>
        <v>475.47920969424894</v>
      </c>
      <c r="T145" s="60">
        <f t="shared" si="142"/>
        <v>271.73544012419364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-2.8421709430404007E-13</v>
      </c>
      <c r="AJ145" s="14">
        <f>AI145*VLOOKUP('Données projet'!$B$10,Paramètres!$A$1:$I$89,3,0)*VLOOKUP('Données projet'!$B$10,Paramètres!$A$1:$I$89,5,0)</f>
        <v>-1.69961822393816E-13</v>
      </c>
      <c r="AK145" s="14" t="e">
        <f t="shared" si="143"/>
        <v>#NUM!</v>
      </c>
      <c r="AL145" s="22" t="e">
        <f t="shared" si="112"/>
        <v>#NUM!</v>
      </c>
      <c r="AM145" s="60" t="e">
        <f t="shared" si="113"/>
        <v>#NUM!</v>
      </c>
      <c r="AN145" s="60">
        <f ca="1">AVERAGE(OFFSET($AM$3,0,0,'Données projet'!$E$10+1,1))-AVERAGE(OFFSET($H$3,0,0,'Données projet'!$E$10+1,1))</f>
        <v>289.24721145176682</v>
      </c>
      <c r="AO145" s="60">
        <f t="shared" si="144"/>
        <v>229.06617320689003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0.10159579689924884</v>
      </c>
      <c r="AW145" s="23">
        <f>EXP(-LN(2)/2)*AW144+(1-EXP(-LN(2)/2))/(LN(2)/2)*AQ145*AT145*VLOOKUP('Données projet'!$B$10,Paramètres!$A$1:$I$89,3,0)*0.475*44/12</f>
        <v>6.1527205020288932E-17</v>
      </c>
      <c r="AX145" s="23">
        <f t="shared" si="114"/>
        <v>0.1015957968992489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5.6843418860808015E-14</v>
      </c>
      <c r="BE145" s="14">
        <f>BD145*VLOOKUP('Données projet'!$B$11,Paramètres!$A$1:$I$89,3,0)*VLOOKUP('Données projet'!$B$11,Paramètres!$A$1:$I$89,5,0)</f>
        <v>3.3992364478763198E-14</v>
      </c>
      <c r="BF145" s="14">
        <f t="shared" si="145"/>
        <v>5.790027782444094E-13</v>
      </c>
      <c r="BG145" s="22">
        <f t="shared" si="115"/>
        <v>1.0676332069095257E-12</v>
      </c>
      <c r="BH145" s="60">
        <f t="shared" si="116"/>
        <v>293.33333333333439</v>
      </c>
      <c r="BI145" s="60">
        <f ca="1">AVERAGE(OFFSET($BH$3,0,0,'Données projet'!$E$11+1,1))-AVERAGE(OFFSET($H$3,0,0,'Données projet'!$E$11+1,1))</f>
        <v>287.91374663515506</v>
      </c>
      <c r="BJ145" s="60">
        <f t="shared" si="146"/>
        <v>217.76240797006147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2.4</v>
      </c>
      <c r="BY145" s="13">
        <f>IF('Données projet'!$A$114&gt;35,BY144+BX145-CG144,IF(A145&lt;'Données projet'!$A$114,$BV$205^A145,IF(A145='Données projet'!$A$114,'Données projet'!$B$114,BY144+BX145-CG144)))</f>
        <v>273.79999999999922</v>
      </c>
      <c r="BZ145" s="14">
        <f>BY145*VLOOKUP('Données projet'!$B$12,Paramètres!$A$1:$I$89,3,0)*VLOOKUP('Données projet'!$B$12,Paramètres!$A$1:$I$89,5,0)</f>
        <v>247.73423999999929</v>
      </c>
      <c r="CA145" s="14">
        <f t="shared" si="147"/>
        <v>60.100505665694953</v>
      </c>
      <c r="CB145" s="22">
        <f t="shared" si="118"/>
        <v>536.14551536775082</v>
      </c>
      <c r="CC145" s="60">
        <f t="shared" si="119"/>
        <v>829.47884870108419</v>
      </c>
      <c r="CD145" s="60">
        <f ca="1">AVERAGE(OFFSET($CC$3,0,0,'Données projet'!$E$12+1,1))-AVERAGE(OFFSET($H$3,0,0,'Données projet'!$E$12+1,1))</f>
        <v>428.8489304403459</v>
      </c>
      <c r="CE145" s="60">
        <f t="shared" si="148"/>
        <v>247.01165577562966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-2.6602720026858149E-14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284.88646502866419</v>
      </c>
      <c r="CZ145" s="60">
        <f t="shared" si="150"/>
        <v>190.4880882944471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2.4</v>
      </c>
      <c r="DO145" s="13">
        <f>IF('Données projet'!$A$166&gt;35,DO144+DN145-DW144,IF(A145&lt;'Données projet'!$A$166,$DL$205^A145,IF(A145='Données projet'!$A$166,'Données projet'!$B$166,DO144+DN145-DW144)))</f>
        <v>273.79999999999922</v>
      </c>
      <c r="DP145" s="18">
        <f>DO145*VLOOKUP('Données projet'!$B$14,Paramètres!$A$1:$I$89,3,0)*VLOOKUP('Données projet'!$B$14,Paramètres!$A$1:$I$89,5,0)</f>
        <v>294.71831999999915</v>
      </c>
      <c r="DQ145" s="14">
        <f t="shared" si="151"/>
        <v>70.068078441055917</v>
      </c>
      <c r="DR145" s="22">
        <f t="shared" si="124"/>
        <v>635.33631061817096</v>
      </c>
      <c r="DS145" s="60">
        <f t="shared" si="125"/>
        <v>928.66964395150421</v>
      </c>
      <c r="DT145" s="60">
        <f ca="1">AVERAGE(OFFSET($DS$3,0,0,'Données projet'!$E$14+1,1))-AVERAGE(OFFSET($H$3,0,0,'Données projet'!$E$14+1,1))</f>
        <v>502.07782026233912</v>
      </c>
      <c r="DU145" s="60">
        <f t="shared" si="152"/>
        <v>285.83623046025156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-1.7053025658242404E-13</v>
      </c>
      <c r="EK145" s="18">
        <f>EJ145*VLOOKUP('Données projet'!$B$15,Paramètres!$A$1:$I$89,3,0)*VLOOKUP('Données projet'!$B$15,Paramètres!$A$1:$I$89,5,0)</f>
        <v>-1.4897523215040567E-13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339.58437495284466</v>
      </c>
      <c r="EP145" s="60">
        <f t="shared" si="154"/>
        <v>371.26234252426531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2.4</v>
      </c>
      <c r="FE145" s="13">
        <f>IF('Données projet'!$A$218&gt;35,FE144+FD145-FM144,IF(A145&lt;'Données projet'!$A$218,$FB$205^A145,IF(A145='Données projet'!$A$218,'Données projet'!$B$218,FE144+FD145-FM144)))</f>
        <v>273.79999999999922</v>
      </c>
      <c r="FF145" s="18">
        <f>FE145*VLOOKUP('Données projet'!$B$16,Paramètres!$A$1:$I$89,3,0)*VLOOKUP('Données projet'!$B$16,Paramètres!$A$1:$I$89,5,0)</f>
        <v>264.81935999999928</v>
      </c>
      <c r="FG145" s="14">
        <f t="shared" si="155"/>
        <v>63.748570085236892</v>
      </c>
      <c r="FH145" s="22">
        <f t="shared" si="130"/>
        <v>572.25581156511964</v>
      </c>
      <c r="FI145" s="60">
        <f t="shared" si="131"/>
        <v>865.58914489845301</v>
      </c>
      <c r="FJ145" s="60">
        <f ca="1">AVERAGE(OFFSET($FI$3,0,0,'Données projet'!$E$16+1,1))-AVERAGE(OFFSET($H$3,0,0,'Données projet'!$E$16+1,1))</f>
        <v>455.50822833641354</v>
      </c>
      <c r="FK145" s="60">
        <f t="shared" si="156"/>
        <v>261.14722581688039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280.0667999999992</v>
      </c>
      <c r="P146" s="14">
        <f t="shared" si="141"/>
        <v>66.981125445388756</v>
      </c>
      <c r="Q146" s="22">
        <f t="shared" si="108"/>
        <v>604.44180348405064</v>
      </c>
      <c r="R146" s="60">
        <f t="shared" si="109"/>
        <v>897.77513681738401</v>
      </c>
      <c r="S146" s="60">
        <f ca="1">AVERAGE(OFFSET($R$3,0,0,'Données projet'!$E$9+1,1))-AVERAGE(OFFSET($H$3,0,0,'Données projet'!$E$9+1,1))</f>
        <v>475.47920969424894</v>
      </c>
      <c r="T146" s="60">
        <f t="shared" si="142"/>
        <v>271.73544012419364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-2.8421709430404007E-13</v>
      </c>
      <c r="AJ146" s="14">
        <f>AI146*VLOOKUP('Données projet'!$B$10,Paramètres!$A$1:$I$89,3,0)*VLOOKUP('Données projet'!$B$10,Paramètres!$A$1:$I$89,5,0)</f>
        <v>-1.69961822393816E-13</v>
      </c>
      <c r="AK146" s="14" t="e">
        <f t="shared" si="143"/>
        <v>#NUM!</v>
      </c>
      <c r="AL146" s="22" t="e">
        <f t="shared" si="112"/>
        <v>#NUM!</v>
      </c>
      <c r="AM146" s="60" t="e">
        <f t="shared" si="113"/>
        <v>#NUM!</v>
      </c>
      <c r="AN146" s="60">
        <f ca="1">AVERAGE(OFFSET($AM$3,0,0,'Données projet'!$E$10+1,1))-AVERAGE(OFFSET($H$3,0,0,'Données projet'!$E$10+1,1))</f>
        <v>289.24721145176682</v>
      </c>
      <c r="AO146" s="60">
        <f t="shared" si="144"/>
        <v>229.06617320689003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9.8817654490348128E-2</v>
      </c>
      <c r="AW146" s="23">
        <f>EXP(-LN(2)/2)*AW145+(1-EXP(-LN(2)/2))/(LN(2)/2)*AQ146*AT146*VLOOKUP('Données projet'!$B$10,Paramètres!$A$1:$I$89,3,0)*0.475*44/12</f>
        <v>4.3506303897301295E-17</v>
      </c>
      <c r="AX146" s="23">
        <f t="shared" si="114"/>
        <v>9.881765449034817E-2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5.6843418860808015E-14</v>
      </c>
      <c r="BE146" s="14">
        <f>BD146*VLOOKUP('Données projet'!$B$11,Paramètres!$A$1:$I$89,3,0)*VLOOKUP('Données projet'!$B$11,Paramètres!$A$1:$I$89,5,0)</f>
        <v>3.3992364478763198E-14</v>
      </c>
      <c r="BF146" s="14">
        <f t="shared" si="145"/>
        <v>5.790027782444094E-13</v>
      </c>
      <c r="BG146" s="22">
        <f t="shared" si="115"/>
        <v>1.0676332069095257E-12</v>
      </c>
      <c r="BH146" s="60">
        <f t="shared" si="116"/>
        <v>293.33333333333439</v>
      </c>
      <c r="BI146" s="60">
        <f ca="1">AVERAGE(OFFSET($BH$3,0,0,'Données projet'!$E$11+1,1))-AVERAGE(OFFSET($H$3,0,0,'Données projet'!$E$11+1,1))</f>
        <v>287.91374663515506</v>
      </c>
      <c r="BJ146" s="60">
        <f t="shared" si="146"/>
        <v>217.76240797006147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2.4</v>
      </c>
      <c r="BY146" s="13">
        <f>IF('Données projet'!$A$114&gt;35,BY145+BX146-CG145,IF(A146&lt;'Données projet'!$A$114,$BV$205^A146,IF(A146='Données projet'!$A$114,'Données projet'!$B$114,BY145+BX146-CG145)))</f>
        <v>276.19999999999919</v>
      </c>
      <c r="BZ146" s="14">
        <f>BY146*VLOOKUP('Données projet'!$B$12,Paramètres!$A$1:$I$89,3,0)*VLOOKUP('Données projet'!$B$12,Paramètres!$A$1:$I$89,5,0)</f>
        <v>249.90575999999925</v>
      </c>
      <c r="CA146" s="14">
        <f t="shared" si="147"/>
        <v>60.565760331923727</v>
      </c>
      <c r="CB146" s="22">
        <f t="shared" si="118"/>
        <v>540.73789791143247</v>
      </c>
      <c r="CC146" s="60">
        <f t="shared" si="119"/>
        <v>834.07123124476584</v>
      </c>
      <c r="CD146" s="60">
        <f ca="1">AVERAGE(OFFSET($CC$3,0,0,'Données projet'!$E$12+1,1))-AVERAGE(OFFSET($H$3,0,0,'Données projet'!$E$12+1,1))</f>
        <v>428.8489304403459</v>
      </c>
      <c r="CE146" s="60">
        <f t="shared" si="148"/>
        <v>247.01165577562966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-2.6602720026858149E-14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284.88646502866419</v>
      </c>
      <c r="CZ146" s="60">
        <f t="shared" si="150"/>
        <v>190.4880882944471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2.4</v>
      </c>
      <c r="DO146" s="13">
        <f>IF('Données projet'!$A$166&gt;35,DO145+DN146-DW145,IF(A146&lt;'Données projet'!$A$166,$DL$205^A146,IF(A146='Données projet'!$A$166,'Données projet'!$B$166,DO145+DN146-DW145)))</f>
        <v>276.19999999999919</v>
      </c>
      <c r="DP146" s="18">
        <f>DO146*VLOOKUP('Données projet'!$B$14,Paramètres!$A$1:$I$89,3,0)*VLOOKUP('Données projet'!$B$14,Paramètres!$A$1:$I$89,5,0)</f>
        <v>297.30167999999912</v>
      </c>
      <c r="DQ146" s="14">
        <f t="shared" si="151"/>
        <v>70.610494849824818</v>
      </c>
      <c r="DR146" s="22">
        <f t="shared" si="124"/>
        <v>640.78037119677663</v>
      </c>
      <c r="DS146" s="60">
        <f t="shared" si="125"/>
        <v>934.11370453011</v>
      </c>
      <c r="DT146" s="60">
        <f ca="1">AVERAGE(OFFSET($DS$3,0,0,'Données projet'!$E$14+1,1))-AVERAGE(OFFSET($H$3,0,0,'Données projet'!$E$14+1,1))</f>
        <v>502.07782026233912</v>
      </c>
      <c r="DU146" s="60">
        <f t="shared" si="152"/>
        <v>285.83623046025156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-1.7053025658242404E-13</v>
      </c>
      <c r="EK146" s="18">
        <f>EJ146*VLOOKUP('Données projet'!$B$15,Paramètres!$A$1:$I$89,3,0)*VLOOKUP('Données projet'!$B$15,Paramètres!$A$1:$I$89,5,0)</f>
        <v>-1.4897523215040567E-13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339.58437495284466</v>
      </c>
      <c r="EP146" s="60">
        <f t="shared" si="154"/>
        <v>371.26234252426531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2.4</v>
      </c>
      <c r="FE146" s="13">
        <f>IF('Données projet'!$A$218&gt;35,FE145+FD146-FM145,IF(A146&lt;'Données projet'!$A$218,$FB$205^A146,IF(A146='Données projet'!$A$218,'Données projet'!$B$218,FE145+FD146-FM145)))</f>
        <v>276.19999999999919</v>
      </c>
      <c r="FF146" s="18">
        <f>FE146*VLOOKUP('Données projet'!$B$16,Paramètres!$A$1:$I$89,3,0)*VLOOKUP('Données projet'!$B$16,Paramètres!$A$1:$I$89,5,0)</f>
        <v>267.14063999999922</v>
      </c>
      <c r="FG146" s="14">
        <f t="shared" si="155"/>
        <v>64.242065428895785</v>
      </c>
      <c r="FH146" s="22">
        <f t="shared" si="130"/>
        <v>577.15821195532533</v>
      </c>
      <c r="FI146" s="60">
        <f t="shared" si="131"/>
        <v>870.4915452886587</v>
      </c>
      <c r="FJ146" s="60">
        <f ca="1">AVERAGE(OFFSET($FI$3,0,0,'Données projet'!$E$16+1,1))-AVERAGE(OFFSET($H$3,0,0,'Données projet'!$E$16+1,1))</f>
        <v>455.50822833641354</v>
      </c>
      <c r="FK146" s="60">
        <f t="shared" si="156"/>
        <v>261.14722581688039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282.50039999999916</v>
      </c>
      <c r="P147" s="14">
        <f t="shared" si="141"/>
        <v>67.495141560894254</v>
      </c>
      <c r="Q147" s="22">
        <f t="shared" si="108"/>
        <v>609.57556821855599</v>
      </c>
      <c r="R147" s="60">
        <f t="shared" si="109"/>
        <v>902.90890155188936</v>
      </c>
      <c r="S147" s="60">
        <f ca="1">AVERAGE(OFFSET($R$3,0,0,'Données projet'!$E$9+1,1))-AVERAGE(OFFSET($H$3,0,0,'Données projet'!$E$9+1,1))</f>
        <v>475.47920969424894</v>
      </c>
      <c r="T147" s="60">
        <f t="shared" si="142"/>
        <v>271.73544012419364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-2.8421709430404007E-13</v>
      </c>
      <c r="AJ147" s="14">
        <f>AI147*VLOOKUP('Données projet'!$B$10,Paramètres!$A$1:$I$89,3,0)*VLOOKUP('Données projet'!$B$10,Paramètres!$A$1:$I$89,5,0)</f>
        <v>-1.69961822393816E-13</v>
      </c>
      <c r="AK147" s="14" t="e">
        <f t="shared" si="143"/>
        <v>#NUM!</v>
      </c>
      <c r="AL147" s="22" t="e">
        <f t="shared" si="112"/>
        <v>#NUM!</v>
      </c>
      <c r="AM147" s="60" t="e">
        <f t="shared" si="113"/>
        <v>#NUM!</v>
      </c>
      <c r="AN147" s="60">
        <f ca="1">AVERAGE(OFFSET($AM$3,0,0,'Données projet'!$E$10+1,1))-AVERAGE(OFFSET($H$3,0,0,'Données projet'!$E$10+1,1))</f>
        <v>289.24721145176682</v>
      </c>
      <c r="AO147" s="60">
        <f t="shared" si="144"/>
        <v>229.06617320689003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9.6115480531714953E-2</v>
      </c>
      <c r="AW147" s="23">
        <f>EXP(-LN(2)/2)*AW146+(1-EXP(-LN(2)/2))/(LN(2)/2)*AQ147*AT147*VLOOKUP('Données projet'!$B$10,Paramètres!$A$1:$I$89,3,0)*0.475*44/12</f>
        <v>3.0763602510144466E-17</v>
      </c>
      <c r="AX147" s="23">
        <f t="shared" si="114"/>
        <v>9.6115480531714981E-2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5.6843418860808015E-14</v>
      </c>
      <c r="BE147" s="14">
        <f>BD147*VLOOKUP('Données projet'!$B$11,Paramètres!$A$1:$I$89,3,0)*VLOOKUP('Données projet'!$B$11,Paramètres!$A$1:$I$89,5,0)</f>
        <v>3.3992364478763198E-14</v>
      </c>
      <c r="BF147" s="14">
        <f t="shared" si="145"/>
        <v>5.790027782444094E-13</v>
      </c>
      <c r="BG147" s="22">
        <f t="shared" si="115"/>
        <v>1.0676332069095257E-12</v>
      </c>
      <c r="BH147" s="60">
        <f t="shared" si="116"/>
        <v>293.33333333333439</v>
      </c>
      <c r="BI147" s="60">
        <f ca="1">AVERAGE(OFFSET($BH$3,0,0,'Données projet'!$E$11+1,1))-AVERAGE(OFFSET($H$3,0,0,'Données projet'!$E$11+1,1))</f>
        <v>287.91374663515506</v>
      </c>
      <c r="BJ147" s="60">
        <f t="shared" si="146"/>
        <v>217.76240797006147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2.4</v>
      </c>
      <c r="BY147" s="13">
        <f>IF('Données projet'!$A$114&gt;35,BY146+BX147-CG146,IF(A147&lt;'Données projet'!$A$114,$BV$205^A147,IF(A147='Données projet'!$A$114,'Données projet'!$B$114,BY146+BX147-CG146)))</f>
        <v>278.59999999999917</v>
      </c>
      <c r="BZ147" s="14">
        <f>BY147*VLOOKUP('Données projet'!$B$12,Paramètres!$A$1:$I$89,3,0)*VLOOKUP('Données projet'!$B$12,Paramètres!$A$1:$I$89,5,0)</f>
        <v>252.07727999999923</v>
      </c>
      <c r="CA147" s="14">
        <f t="shared" si="147"/>
        <v>61.030544652154823</v>
      </c>
      <c r="CB147" s="22">
        <f t="shared" si="118"/>
        <v>545.32946126916829</v>
      </c>
      <c r="CC147" s="60">
        <f t="shared" si="119"/>
        <v>838.66279460250166</v>
      </c>
      <c r="CD147" s="60">
        <f ca="1">AVERAGE(OFFSET($CC$3,0,0,'Données projet'!$E$12+1,1))-AVERAGE(OFFSET($H$3,0,0,'Données projet'!$E$12+1,1))</f>
        <v>428.8489304403459</v>
      </c>
      <c r="CE147" s="60">
        <f t="shared" si="148"/>
        <v>247.01165577562966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-2.6602720026858149E-14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284.88646502866419</v>
      </c>
      <c r="CZ147" s="60">
        <f t="shared" si="150"/>
        <v>190.4880882944471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2.4</v>
      </c>
      <c r="DO147" s="13">
        <f>IF('Données projet'!$A$166&gt;35,DO146+DN147-DW146,IF(A147&lt;'Données projet'!$A$166,$DL$205^A147,IF(A147='Données projet'!$A$166,'Données projet'!$B$166,DO146+DN147-DW146)))</f>
        <v>278.59999999999917</v>
      </c>
      <c r="DP147" s="18">
        <f>DO147*VLOOKUP('Données projet'!$B$14,Paramètres!$A$1:$I$89,3,0)*VLOOKUP('Données projet'!$B$14,Paramètres!$A$1:$I$89,5,0)</f>
        <v>299.88503999999909</v>
      </c>
      <c r="DQ147" s="14">
        <f t="shared" si="151"/>
        <v>71.152362906464447</v>
      </c>
      <c r="DR147" s="22">
        <f t="shared" si="124"/>
        <v>646.2234767287573</v>
      </c>
      <c r="DS147" s="60">
        <f t="shared" si="125"/>
        <v>939.55681006209056</v>
      </c>
      <c r="DT147" s="60">
        <f ca="1">AVERAGE(OFFSET($DS$3,0,0,'Données projet'!$E$14+1,1))-AVERAGE(OFFSET($H$3,0,0,'Données projet'!$E$14+1,1))</f>
        <v>502.07782026233912</v>
      </c>
      <c r="DU147" s="60">
        <f t="shared" si="152"/>
        <v>285.83623046025156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-1.7053025658242404E-13</v>
      </c>
      <c r="EK147" s="18">
        <f>EJ147*VLOOKUP('Données projet'!$B$15,Paramètres!$A$1:$I$89,3,0)*VLOOKUP('Données projet'!$B$15,Paramètres!$A$1:$I$89,5,0)</f>
        <v>-1.4897523215040567E-13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339.58437495284466</v>
      </c>
      <c r="EP147" s="60">
        <f t="shared" si="154"/>
        <v>371.26234252426531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2.4</v>
      </c>
      <c r="FE147" s="13">
        <f>IF('Données projet'!$A$218&gt;35,FE146+FD147-FM146,IF(A147&lt;'Données projet'!$A$218,$FB$205^A147,IF(A147='Données projet'!$A$218,'Données projet'!$B$218,FE146+FD147-FM146)))</f>
        <v>278.59999999999917</v>
      </c>
      <c r="FF147" s="18">
        <f>FE147*VLOOKUP('Données projet'!$B$16,Paramètres!$A$1:$I$89,3,0)*VLOOKUP('Données projet'!$B$16,Paramètres!$A$1:$I$89,5,0)</f>
        <v>269.46191999999922</v>
      </c>
      <c r="FG147" s="14">
        <f t="shared" si="155"/>
        <v>64.735061876838927</v>
      </c>
      <c r="FH147" s="22">
        <f t="shared" si="130"/>
        <v>582.05974343549315</v>
      </c>
      <c r="FI147" s="60">
        <f t="shared" si="131"/>
        <v>875.3930767688264</v>
      </c>
      <c r="FJ147" s="60">
        <f ca="1">AVERAGE(OFFSET($FI$3,0,0,'Données projet'!$E$16+1,1))-AVERAGE(OFFSET($H$3,0,0,'Données projet'!$E$16+1,1))</f>
        <v>455.50822833641354</v>
      </c>
      <c r="FK147" s="60">
        <f t="shared" si="156"/>
        <v>261.14722581688039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284.93399999999917</v>
      </c>
      <c r="P148" s="14">
        <f t="shared" si="141"/>
        <v>68.008642509673109</v>
      </c>
      <c r="Q148" s="22">
        <f t="shared" si="108"/>
        <v>614.7084357043459</v>
      </c>
      <c r="R148" s="60">
        <f t="shared" si="109"/>
        <v>908.04176903767916</v>
      </c>
      <c r="S148" s="60">
        <f ca="1">AVERAGE(OFFSET($R$3,0,0,'Données projet'!$E$9+1,1))-AVERAGE(OFFSET($H$3,0,0,'Données projet'!$E$9+1,1))</f>
        <v>475.47920969424894</v>
      </c>
      <c r="T148" s="60">
        <f t="shared" si="142"/>
        <v>271.73544012419364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-2.8421709430404007E-13</v>
      </c>
      <c r="AJ148" s="14">
        <f>AI148*VLOOKUP('Données projet'!$B$10,Paramètres!$A$1:$I$89,3,0)*VLOOKUP('Données projet'!$B$10,Paramètres!$A$1:$I$89,5,0)</f>
        <v>-1.69961822393816E-13</v>
      </c>
      <c r="AK148" s="14" t="e">
        <f t="shared" si="143"/>
        <v>#NUM!</v>
      </c>
      <c r="AL148" s="22" t="e">
        <f t="shared" si="112"/>
        <v>#NUM!</v>
      </c>
      <c r="AM148" s="60" t="e">
        <f t="shared" si="113"/>
        <v>#NUM!</v>
      </c>
      <c r="AN148" s="60">
        <f ca="1">AVERAGE(OFFSET($AM$3,0,0,'Données projet'!$E$10+1,1))-AVERAGE(OFFSET($H$3,0,0,'Données projet'!$E$10+1,1))</f>
        <v>289.24721145176682</v>
      </c>
      <c r="AO148" s="60">
        <f t="shared" si="144"/>
        <v>229.06617320689003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9.3487197662081759E-2</v>
      </c>
      <c r="AW148" s="23">
        <f>EXP(-LN(2)/2)*AW147+(1-EXP(-LN(2)/2))/(LN(2)/2)*AQ148*AT148*VLOOKUP('Données projet'!$B$10,Paramètres!$A$1:$I$89,3,0)*0.475*44/12</f>
        <v>2.1753151948650647E-17</v>
      </c>
      <c r="AX148" s="23">
        <f t="shared" si="114"/>
        <v>9.3487197662081786E-2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5.6843418860808015E-14</v>
      </c>
      <c r="BE148" s="14">
        <f>BD148*VLOOKUP('Données projet'!$B$11,Paramètres!$A$1:$I$89,3,0)*VLOOKUP('Données projet'!$B$11,Paramètres!$A$1:$I$89,5,0)</f>
        <v>3.3992364478763198E-14</v>
      </c>
      <c r="BF148" s="14">
        <f t="shared" si="145"/>
        <v>5.790027782444094E-13</v>
      </c>
      <c r="BG148" s="22">
        <f t="shared" si="115"/>
        <v>1.0676332069095257E-12</v>
      </c>
      <c r="BH148" s="60">
        <f t="shared" si="116"/>
        <v>293.33333333333439</v>
      </c>
      <c r="BI148" s="60">
        <f ca="1">AVERAGE(OFFSET($BH$3,0,0,'Données projet'!$E$11+1,1))-AVERAGE(OFFSET($H$3,0,0,'Données projet'!$E$11+1,1))</f>
        <v>287.91374663515506</v>
      </c>
      <c r="BJ148" s="60">
        <f t="shared" si="146"/>
        <v>217.76240797006147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2.4</v>
      </c>
      <c r="BY148" s="13">
        <f>IF('Données projet'!$A$114&gt;35,BY147+BX148-CG147,IF(A148&lt;'Données projet'!$A$114,$BV$205^A148,IF(A148='Données projet'!$A$114,'Données projet'!$B$114,BY147+BX148-CG147)))</f>
        <v>280.99999999999915</v>
      </c>
      <c r="BZ148" s="14">
        <f>BY148*VLOOKUP('Données projet'!$B$12,Paramètres!$A$1:$I$89,3,0)*VLOOKUP('Données projet'!$B$12,Paramètres!$A$1:$I$89,5,0)</f>
        <v>254.24879999999925</v>
      </c>
      <c r="CA148" s="14">
        <f t="shared" si="147"/>
        <v>61.494863147658698</v>
      </c>
      <c r="CB148" s="22">
        <f t="shared" si="118"/>
        <v>549.92021331550427</v>
      </c>
      <c r="CC148" s="60">
        <f t="shared" si="119"/>
        <v>843.25354664883753</v>
      </c>
      <c r="CD148" s="60">
        <f ca="1">AVERAGE(OFFSET($CC$3,0,0,'Données projet'!$E$12+1,1))-AVERAGE(OFFSET($H$3,0,0,'Données projet'!$E$12+1,1))</f>
        <v>428.8489304403459</v>
      </c>
      <c r="CE148" s="60">
        <f t="shared" si="148"/>
        <v>247.01165577562966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-2.6602720026858149E-14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284.88646502866419</v>
      </c>
      <c r="CZ148" s="60">
        <f t="shared" si="150"/>
        <v>190.4880882944471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2.4</v>
      </c>
      <c r="DO148" s="13">
        <f>IF('Données projet'!$A$166&gt;35,DO147+DN148-DW147,IF(A148&lt;'Données projet'!$A$166,$DL$205^A148,IF(A148='Données projet'!$A$166,'Données projet'!$B$166,DO147+DN148-DW147)))</f>
        <v>280.99999999999915</v>
      </c>
      <c r="DP148" s="18">
        <f>DO148*VLOOKUP('Données projet'!$B$14,Paramètres!$A$1:$I$89,3,0)*VLOOKUP('Données projet'!$B$14,Paramètres!$A$1:$I$89,5,0)</f>
        <v>302.46839999999906</v>
      </c>
      <c r="DQ148" s="14">
        <f t="shared" si="151"/>
        <v>71.693687882090543</v>
      </c>
      <c r="DR148" s="22">
        <f t="shared" si="124"/>
        <v>651.66563639463936</v>
      </c>
      <c r="DS148" s="60">
        <f t="shared" si="125"/>
        <v>944.99896972797274</v>
      </c>
      <c r="DT148" s="60">
        <f ca="1">AVERAGE(OFFSET($DS$3,0,0,'Données projet'!$E$14+1,1))-AVERAGE(OFFSET($H$3,0,0,'Données projet'!$E$14+1,1))</f>
        <v>502.07782026233912</v>
      </c>
      <c r="DU148" s="60">
        <f t="shared" si="152"/>
        <v>285.83623046025156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-1.7053025658242404E-13</v>
      </c>
      <c r="EK148" s="18">
        <f>EJ148*VLOOKUP('Données projet'!$B$15,Paramètres!$A$1:$I$89,3,0)*VLOOKUP('Données projet'!$B$15,Paramètres!$A$1:$I$89,5,0)</f>
        <v>-1.4897523215040567E-13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339.58437495284466</v>
      </c>
      <c r="EP148" s="60">
        <f t="shared" si="154"/>
        <v>371.26234252426531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2.4</v>
      </c>
      <c r="FE148" s="13">
        <f>IF('Données projet'!$A$218&gt;35,FE147+FD148-FM147,IF(A148&lt;'Données projet'!$A$218,$FB$205^A148,IF(A148='Données projet'!$A$218,'Données projet'!$B$218,FE147+FD148-FM147)))</f>
        <v>280.99999999999915</v>
      </c>
      <c r="FF148" s="18">
        <f>FE148*VLOOKUP('Données projet'!$B$16,Paramètres!$A$1:$I$89,3,0)*VLOOKUP('Données projet'!$B$16,Paramètres!$A$1:$I$89,5,0)</f>
        <v>271.78319999999917</v>
      </c>
      <c r="FG148" s="14">
        <f t="shared" si="155"/>
        <v>65.227564224775008</v>
      </c>
      <c r="FH148" s="22">
        <f t="shared" si="130"/>
        <v>586.96041435814834</v>
      </c>
      <c r="FI148" s="60">
        <f t="shared" si="131"/>
        <v>880.29374769148171</v>
      </c>
      <c r="FJ148" s="60">
        <f ca="1">AVERAGE(OFFSET($FI$3,0,0,'Données projet'!$E$16+1,1))-AVERAGE(OFFSET($H$3,0,0,'Données projet'!$E$16+1,1))</f>
        <v>455.50822833641354</v>
      </c>
      <c r="FK148" s="60">
        <f t="shared" si="156"/>
        <v>261.14722581688039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287.36759999999913</v>
      </c>
      <c r="P149" s="14">
        <f t="shared" si="141"/>
        <v>68.521633201564995</v>
      </c>
      <c r="Q149" s="22">
        <f t="shared" si="108"/>
        <v>619.84041449272411</v>
      </c>
      <c r="R149" s="60">
        <f t="shared" si="109"/>
        <v>913.17374782605748</v>
      </c>
      <c r="S149" s="60">
        <f ca="1">AVERAGE(OFFSET($R$3,0,0,'Données projet'!$E$9+1,1))-AVERAGE(OFFSET($H$3,0,0,'Données projet'!$E$9+1,1))</f>
        <v>475.47920969424894</v>
      </c>
      <c r="T149" s="60">
        <f t="shared" si="142"/>
        <v>271.73544012419364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-2.8421709430404007E-13</v>
      </c>
      <c r="AJ149" s="14">
        <f>AI149*VLOOKUP('Données projet'!$B$10,Paramètres!$A$1:$I$89,3,0)*VLOOKUP('Données projet'!$B$10,Paramètres!$A$1:$I$89,5,0)</f>
        <v>-1.69961822393816E-13</v>
      </c>
      <c r="AK149" s="14" t="e">
        <f t="shared" si="143"/>
        <v>#NUM!</v>
      </c>
      <c r="AL149" s="22" t="e">
        <f t="shared" si="112"/>
        <v>#NUM!</v>
      </c>
      <c r="AM149" s="60" t="e">
        <f t="shared" si="113"/>
        <v>#NUM!</v>
      </c>
      <c r="AN149" s="60">
        <f ca="1">AVERAGE(OFFSET($AM$3,0,0,'Données projet'!$E$10+1,1))-AVERAGE(OFFSET($H$3,0,0,'Données projet'!$E$10+1,1))</f>
        <v>289.24721145176682</v>
      </c>
      <c r="AO149" s="60">
        <f t="shared" si="144"/>
        <v>229.06617320689003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9.0930785325734079E-2</v>
      </c>
      <c r="AW149" s="23">
        <f>EXP(-LN(2)/2)*AW148+(1-EXP(-LN(2)/2))/(LN(2)/2)*AQ149*AT149*VLOOKUP('Données projet'!$B$10,Paramètres!$A$1:$I$89,3,0)*0.475*44/12</f>
        <v>1.5381801255072233E-17</v>
      </c>
      <c r="AX149" s="23">
        <f t="shared" si="114"/>
        <v>9.0930785325734093E-2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5.6843418860808015E-14</v>
      </c>
      <c r="BE149" s="14">
        <f>BD149*VLOOKUP('Données projet'!$B$11,Paramètres!$A$1:$I$89,3,0)*VLOOKUP('Données projet'!$B$11,Paramètres!$A$1:$I$89,5,0)</f>
        <v>3.3992364478763198E-14</v>
      </c>
      <c r="BF149" s="14">
        <f t="shared" si="145"/>
        <v>5.790027782444094E-13</v>
      </c>
      <c r="BG149" s="22">
        <f t="shared" si="115"/>
        <v>1.0676332069095257E-12</v>
      </c>
      <c r="BH149" s="60">
        <f t="shared" si="116"/>
        <v>293.33333333333439</v>
      </c>
      <c r="BI149" s="60">
        <f ca="1">AVERAGE(OFFSET($BH$3,0,0,'Données projet'!$E$11+1,1))-AVERAGE(OFFSET($H$3,0,0,'Données projet'!$E$11+1,1))</f>
        <v>287.91374663515506</v>
      </c>
      <c r="BJ149" s="60">
        <f t="shared" si="146"/>
        <v>217.76240797006147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2.4</v>
      </c>
      <c r="BY149" s="13">
        <f>IF('Données projet'!$A$114&gt;35,BY148+BX149-CG148,IF(A149&lt;'Données projet'!$A$114,$BV$205^A149,IF(A149='Données projet'!$A$114,'Données projet'!$B$114,BY148+BX149-CG148)))</f>
        <v>283.39999999999912</v>
      </c>
      <c r="BZ149" s="14">
        <f>BY149*VLOOKUP('Données projet'!$B$12,Paramètres!$A$1:$I$89,3,0)*VLOOKUP('Données projet'!$B$12,Paramètres!$A$1:$I$89,5,0)</f>
        <v>256.42031999999921</v>
      </c>
      <c r="CA149" s="14">
        <f t="shared" si="147"/>
        <v>61.958720258016747</v>
      </c>
      <c r="CB149" s="22">
        <f t="shared" si="118"/>
        <v>554.51016178271107</v>
      </c>
      <c r="CC149" s="60">
        <f t="shared" si="119"/>
        <v>847.84349511604432</v>
      </c>
      <c r="CD149" s="60">
        <f ca="1">AVERAGE(OFFSET($CC$3,0,0,'Données projet'!$E$12+1,1))-AVERAGE(OFFSET($H$3,0,0,'Données projet'!$E$12+1,1))</f>
        <v>428.8489304403459</v>
      </c>
      <c r="CE149" s="60">
        <f t="shared" si="148"/>
        <v>247.01165577562966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-2.6602720026858149E-14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284.88646502866419</v>
      </c>
      <c r="CZ149" s="60">
        <f t="shared" si="150"/>
        <v>190.4880882944471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2.4</v>
      </c>
      <c r="DO149" s="13">
        <f>IF('Données projet'!$A$166&gt;35,DO148+DN149-DW148,IF(A149&lt;'Données projet'!$A$166,$DL$205^A149,IF(A149='Données projet'!$A$166,'Données projet'!$B$166,DO148+DN149-DW148)))</f>
        <v>283.39999999999912</v>
      </c>
      <c r="DP149" s="18">
        <f>DO149*VLOOKUP('Données projet'!$B$14,Paramètres!$A$1:$I$89,3,0)*VLOOKUP('Données projet'!$B$14,Paramètres!$A$1:$I$89,5,0)</f>
        <v>305.05175999999904</v>
      </c>
      <c r="DQ149" s="14">
        <f t="shared" si="151"/>
        <v>72.234474952581991</v>
      </c>
      <c r="DR149" s="22">
        <f t="shared" si="124"/>
        <v>657.10685920907861</v>
      </c>
      <c r="DS149" s="60">
        <f t="shared" si="125"/>
        <v>950.44019254241198</v>
      </c>
      <c r="DT149" s="60">
        <f ca="1">AVERAGE(OFFSET($DS$3,0,0,'Données projet'!$E$14+1,1))-AVERAGE(OFFSET($H$3,0,0,'Données projet'!$E$14+1,1))</f>
        <v>502.07782026233912</v>
      </c>
      <c r="DU149" s="60">
        <f t="shared" si="152"/>
        <v>285.83623046025156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-1.7053025658242404E-13</v>
      </c>
      <c r="EK149" s="18">
        <f>EJ149*VLOOKUP('Données projet'!$B$15,Paramètres!$A$1:$I$89,3,0)*VLOOKUP('Données projet'!$B$15,Paramètres!$A$1:$I$89,5,0)</f>
        <v>-1.4897523215040567E-13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339.58437495284466</v>
      </c>
      <c r="EP149" s="60">
        <f t="shared" si="154"/>
        <v>371.26234252426531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2.4</v>
      </c>
      <c r="FE149" s="13">
        <f>IF('Données projet'!$A$218&gt;35,FE148+FD149-FM148,IF(A149&lt;'Données projet'!$A$218,$FB$205^A149,IF(A149='Données projet'!$A$218,'Données projet'!$B$218,FE148+FD149-FM148)))</f>
        <v>283.39999999999912</v>
      </c>
      <c r="FF149" s="18">
        <f>FE149*VLOOKUP('Données projet'!$B$16,Paramètres!$A$1:$I$89,3,0)*VLOOKUP('Données projet'!$B$16,Paramètres!$A$1:$I$89,5,0)</f>
        <v>274.10447999999917</v>
      </c>
      <c r="FG149" s="14">
        <f t="shared" si="155"/>
        <v>65.719577181765331</v>
      </c>
      <c r="FH149" s="22">
        <f t="shared" si="130"/>
        <v>591.86023292490643</v>
      </c>
      <c r="FI149" s="60">
        <f t="shared" si="131"/>
        <v>885.1935662582398</v>
      </c>
      <c r="FJ149" s="60">
        <f ca="1">AVERAGE(OFFSET($FI$3,0,0,'Données projet'!$E$16+1,1))-AVERAGE(OFFSET($H$3,0,0,'Données projet'!$E$16+1,1))</f>
        <v>455.50822833641354</v>
      </c>
      <c r="FK149" s="60">
        <f t="shared" si="156"/>
        <v>261.14722581688039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289.80119999999908</v>
      </c>
      <c r="P150" s="14">
        <f t="shared" si="141"/>
        <v>69.034118458450664</v>
      </c>
      <c r="Q150" s="22">
        <f t="shared" si="108"/>
        <v>624.97151298179995</v>
      </c>
      <c r="R150" s="60">
        <f t="shared" si="109"/>
        <v>918.30484631513332</v>
      </c>
      <c r="S150" s="60">
        <f ca="1">AVERAGE(OFFSET($R$3,0,0,'Données projet'!$E$9+1,1))-AVERAGE(OFFSET($H$3,0,0,'Données projet'!$E$9+1,1))</f>
        <v>475.47920969424894</v>
      </c>
      <c r="T150" s="60">
        <f t="shared" si="142"/>
        <v>271.73544012419364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-2.8421709430404007E-13</v>
      </c>
      <c r="AJ150" s="14">
        <f>AI150*VLOOKUP('Données projet'!$B$10,Paramètres!$A$1:$I$89,3,0)*VLOOKUP('Données projet'!$B$10,Paramètres!$A$1:$I$89,5,0)</f>
        <v>-1.69961822393816E-13</v>
      </c>
      <c r="AK150" s="14" t="e">
        <f t="shared" si="143"/>
        <v>#NUM!</v>
      </c>
      <c r="AL150" s="22" t="e">
        <f t="shared" si="112"/>
        <v>#NUM!</v>
      </c>
      <c r="AM150" s="60" t="e">
        <f t="shared" si="113"/>
        <v>#NUM!</v>
      </c>
      <c r="AN150" s="60">
        <f ca="1">AVERAGE(OFFSET($AM$3,0,0,'Données projet'!$E$10+1,1))-AVERAGE(OFFSET($H$3,0,0,'Données projet'!$E$10+1,1))</f>
        <v>289.24721145176682</v>
      </c>
      <c r="AO150" s="60">
        <f t="shared" si="144"/>
        <v>229.06617320689003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8.8444278219159705E-2</v>
      </c>
      <c r="AW150" s="23">
        <f>EXP(-LN(2)/2)*AW149+(1-EXP(-LN(2)/2))/(LN(2)/2)*AQ150*AT150*VLOOKUP('Données projet'!$B$10,Paramètres!$A$1:$I$89,3,0)*0.475*44/12</f>
        <v>1.0876575974325324E-17</v>
      </c>
      <c r="AX150" s="23">
        <f t="shared" si="114"/>
        <v>8.8444278219159719E-2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5.6843418860808015E-14</v>
      </c>
      <c r="BE150" s="14">
        <f>BD150*VLOOKUP('Données projet'!$B$11,Paramètres!$A$1:$I$89,3,0)*VLOOKUP('Données projet'!$B$11,Paramètres!$A$1:$I$89,5,0)</f>
        <v>3.3992364478763198E-14</v>
      </c>
      <c r="BF150" s="14">
        <f t="shared" si="145"/>
        <v>5.790027782444094E-13</v>
      </c>
      <c r="BG150" s="22">
        <f t="shared" si="115"/>
        <v>1.0676332069095257E-12</v>
      </c>
      <c r="BH150" s="60">
        <f t="shared" si="116"/>
        <v>293.33333333333439</v>
      </c>
      <c r="BI150" s="60">
        <f ca="1">AVERAGE(OFFSET($BH$3,0,0,'Données projet'!$E$11+1,1))-AVERAGE(OFFSET($H$3,0,0,'Données projet'!$E$11+1,1))</f>
        <v>287.91374663515506</v>
      </c>
      <c r="BJ150" s="60">
        <f t="shared" si="146"/>
        <v>217.76240797006147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2.4</v>
      </c>
      <c r="BY150" s="13">
        <f>IF('Données projet'!$A$114&gt;35,BY149+BX150-CG149,IF(A150&lt;'Données projet'!$A$114,$BV$205^A150,IF(A150='Données projet'!$A$114,'Données projet'!$B$114,BY149+BX150-CG149)))</f>
        <v>285.7999999999991</v>
      </c>
      <c r="BZ150" s="14">
        <f>BY150*VLOOKUP('Données projet'!$B$12,Paramètres!$A$1:$I$89,3,0)*VLOOKUP('Données projet'!$B$12,Paramètres!$A$1:$I$89,5,0)</f>
        <v>258.59183999999919</v>
      </c>
      <c r="CA150" s="14">
        <f t="shared" si="147"/>
        <v>62.422120343276475</v>
      </c>
      <c r="CB150" s="22">
        <f t="shared" si="118"/>
        <v>559.09931426453841</v>
      </c>
      <c r="CC150" s="60">
        <f t="shared" si="119"/>
        <v>852.43264759787166</v>
      </c>
      <c r="CD150" s="60">
        <f ca="1">AVERAGE(OFFSET($CC$3,0,0,'Données projet'!$E$12+1,1))-AVERAGE(OFFSET($H$3,0,0,'Données projet'!$E$12+1,1))</f>
        <v>428.8489304403459</v>
      </c>
      <c r="CE150" s="60">
        <f t="shared" si="148"/>
        <v>247.01165577562966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-2.6602720026858149E-14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284.88646502866419</v>
      </c>
      <c r="CZ150" s="60">
        <f t="shared" si="150"/>
        <v>190.4880882944471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2.4</v>
      </c>
      <c r="DO150" s="13">
        <f>IF('Données projet'!$A$166&gt;35,DO149+DN150-DW149,IF(A150&lt;'Données projet'!$A$166,$DL$205^A150,IF(A150='Données projet'!$A$166,'Données projet'!$B$166,DO149+DN150-DW149)))</f>
        <v>285.7999999999991</v>
      </c>
      <c r="DP150" s="18">
        <f>DO150*VLOOKUP('Données projet'!$B$14,Paramètres!$A$1:$I$89,3,0)*VLOOKUP('Données projet'!$B$14,Paramètres!$A$1:$I$89,5,0)</f>
        <v>307.63511999999901</v>
      </c>
      <c r="DQ150" s="14">
        <f t="shared" si="151"/>
        <v>72.774729201093322</v>
      </c>
      <c r="DR150" s="22">
        <f t="shared" si="124"/>
        <v>662.54715402523584</v>
      </c>
      <c r="DS150" s="60">
        <f t="shared" si="125"/>
        <v>955.8804873585691</v>
      </c>
      <c r="DT150" s="60">
        <f ca="1">AVERAGE(OFFSET($DS$3,0,0,'Données projet'!$E$14+1,1))-AVERAGE(OFFSET($H$3,0,0,'Données projet'!$E$14+1,1))</f>
        <v>502.07782026233912</v>
      </c>
      <c r="DU150" s="60">
        <f t="shared" si="152"/>
        <v>285.83623046025156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-1.7053025658242404E-13</v>
      </c>
      <c r="EK150" s="18">
        <f>EJ150*VLOOKUP('Données projet'!$B$15,Paramètres!$A$1:$I$89,3,0)*VLOOKUP('Données projet'!$B$15,Paramètres!$A$1:$I$89,5,0)</f>
        <v>-1.4897523215040567E-13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339.58437495284466</v>
      </c>
      <c r="EP150" s="60">
        <f t="shared" si="154"/>
        <v>371.26234252426531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2.4</v>
      </c>
      <c r="FE150" s="13">
        <f>IF('Données projet'!$A$218&gt;35,FE149+FD150-FM149,IF(A150&lt;'Données projet'!$A$218,$FB$205^A150,IF(A150='Données projet'!$A$218,'Données projet'!$B$218,FE149+FD150-FM149)))</f>
        <v>285.7999999999991</v>
      </c>
      <c r="FF150" s="18">
        <f>FE150*VLOOKUP('Données projet'!$B$16,Paramètres!$A$1:$I$89,3,0)*VLOOKUP('Données projet'!$B$16,Paramètres!$A$1:$I$89,5,0)</f>
        <v>276.42575999999912</v>
      </c>
      <c r="FG150" s="14">
        <f t="shared" si="155"/>
        <v>66.211105372509707</v>
      </c>
      <c r="FH150" s="22">
        <f t="shared" si="130"/>
        <v>596.75920719045291</v>
      </c>
      <c r="FI150" s="60">
        <f t="shared" si="131"/>
        <v>890.09254052378628</v>
      </c>
      <c r="FJ150" s="60">
        <f ca="1">AVERAGE(OFFSET($FI$3,0,0,'Données projet'!$E$16+1,1))-AVERAGE(OFFSET($H$3,0,0,'Données projet'!$E$16+1,1))</f>
        <v>455.50822833641354</v>
      </c>
      <c r="FK150" s="60">
        <f t="shared" si="156"/>
        <v>261.14722581688039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292.2347999999991</v>
      </c>
      <c r="P151" s="14">
        <f t="shared" si="141"/>
        <v>69.546103016553573</v>
      </c>
      <c r="Q151" s="22">
        <f t="shared" si="108"/>
        <v>630.10173942049585</v>
      </c>
      <c r="R151" s="60">
        <f t="shared" si="109"/>
        <v>923.43507275382922</v>
      </c>
      <c r="S151" s="60">
        <f ca="1">AVERAGE(OFFSET($R$3,0,0,'Données projet'!$E$9+1,1))-AVERAGE(OFFSET($H$3,0,0,'Données projet'!$E$9+1,1))</f>
        <v>475.47920969424894</v>
      </c>
      <c r="T151" s="60">
        <f t="shared" si="142"/>
        <v>271.73544012419364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-2.8421709430404007E-13</v>
      </c>
      <c r="AJ151" s="14">
        <f>AI151*VLOOKUP('Données projet'!$B$10,Paramètres!$A$1:$I$89,3,0)*VLOOKUP('Données projet'!$B$10,Paramètres!$A$1:$I$89,5,0)</f>
        <v>-1.69961822393816E-13</v>
      </c>
      <c r="AK151" s="14" t="e">
        <f t="shared" si="143"/>
        <v>#NUM!</v>
      </c>
      <c r="AL151" s="22" t="e">
        <f t="shared" si="112"/>
        <v>#NUM!</v>
      </c>
      <c r="AM151" s="60" t="e">
        <f t="shared" si="113"/>
        <v>#NUM!</v>
      </c>
      <c r="AN151" s="60">
        <f ca="1">AVERAGE(OFFSET($AM$3,0,0,'Données projet'!$E$10+1,1))-AVERAGE(OFFSET($H$3,0,0,'Données projet'!$E$10+1,1))</f>
        <v>289.24721145176682</v>
      </c>
      <c r="AO151" s="60">
        <f t="shared" si="144"/>
        <v>229.06617320689003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8.6025764780174332E-2</v>
      </c>
      <c r="AW151" s="23">
        <f>EXP(-LN(2)/2)*AW150+(1-EXP(-LN(2)/2))/(LN(2)/2)*AQ151*AT151*VLOOKUP('Données projet'!$B$10,Paramètres!$A$1:$I$89,3,0)*0.475*44/12</f>
        <v>7.6909006275361165E-18</v>
      </c>
      <c r="AX151" s="23">
        <f t="shared" si="114"/>
        <v>8.6025764780174346E-2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5.6843418860808015E-14</v>
      </c>
      <c r="BE151" s="14">
        <f>BD151*VLOOKUP('Données projet'!$B$11,Paramètres!$A$1:$I$89,3,0)*VLOOKUP('Données projet'!$B$11,Paramètres!$A$1:$I$89,5,0)</f>
        <v>3.3992364478763198E-14</v>
      </c>
      <c r="BF151" s="14">
        <f t="shared" si="145"/>
        <v>5.790027782444094E-13</v>
      </c>
      <c r="BG151" s="22">
        <f t="shared" si="115"/>
        <v>1.0676332069095257E-12</v>
      </c>
      <c r="BH151" s="60">
        <f t="shared" si="116"/>
        <v>293.33333333333439</v>
      </c>
      <c r="BI151" s="60">
        <f ca="1">AVERAGE(OFFSET($BH$3,0,0,'Données projet'!$E$11+1,1))-AVERAGE(OFFSET($H$3,0,0,'Données projet'!$E$11+1,1))</f>
        <v>287.91374663515506</v>
      </c>
      <c r="BJ151" s="60">
        <f t="shared" si="146"/>
        <v>217.76240797006147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2.4</v>
      </c>
      <c r="BY151" s="13">
        <f>IF('Données projet'!$A$114&gt;35,BY150+BX151-CG150,IF(A151&lt;'Données projet'!$A$114,$BV$205^A151,IF(A151='Données projet'!$A$114,'Données projet'!$B$114,BY150+BX151-CG150)))</f>
        <v>288.19999999999908</v>
      </c>
      <c r="BZ151" s="14">
        <f>BY151*VLOOKUP('Données projet'!$B$12,Paramètres!$A$1:$I$89,3,0)*VLOOKUP('Données projet'!$B$12,Paramètres!$A$1:$I$89,5,0)</f>
        <v>260.76335999999918</v>
      </c>
      <c r="CA151" s="14">
        <f t="shared" si="147"/>
        <v>62.885067686031789</v>
      </c>
      <c r="CB151" s="22">
        <f t="shared" si="118"/>
        <v>563.68767821983727</v>
      </c>
      <c r="CC151" s="60">
        <f t="shared" si="119"/>
        <v>857.02101155317064</v>
      </c>
      <c r="CD151" s="60">
        <f ca="1">AVERAGE(OFFSET($CC$3,0,0,'Données projet'!$E$12+1,1))-AVERAGE(OFFSET($H$3,0,0,'Données projet'!$E$12+1,1))</f>
        <v>428.8489304403459</v>
      </c>
      <c r="CE151" s="60">
        <f t="shared" si="148"/>
        <v>247.01165577562966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-2.6602720026858149E-14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284.88646502866419</v>
      </c>
      <c r="CZ151" s="60">
        <f t="shared" si="150"/>
        <v>190.4880882944471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2.4</v>
      </c>
      <c r="DO151" s="13">
        <f>IF('Données projet'!$A$166&gt;35,DO150+DN151-DW150,IF(A151&lt;'Données projet'!$A$166,$DL$205^A151,IF(A151='Données projet'!$A$166,'Données projet'!$B$166,DO150+DN151-DW150)))</f>
        <v>288.19999999999908</v>
      </c>
      <c r="DP151" s="18">
        <f>DO151*VLOOKUP('Données projet'!$B$14,Paramètres!$A$1:$I$89,3,0)*VLOOKUP('Données projet'!$B$14,Paramètres!$A$1:$I$89,5,0)</f>
        <v>310.21847999999898</v>
      </c>
      <c r="DQ151" s="14">
        <f t="shared" si="151"/>
        <v>73.314455620479777</v>
      </c>
      <c r="DR151" s="22">
        <f t="shared" si="124"/>
        <v>667.98652953900034</v>
      </c>
      <c r="DS151" s="60">
        <f t="shared" si="125"/>
        <v>961.31986287233372</v>
      </c>
      <c r="DT151" s="60">
        <f ca="1">AVERAGE(OFFSET($DS$3,0,0,'Données projet'!$E$14+1,1))-AVERAGE(OFFSET($H$3,0,0,'Données projet'!$E$14+1,1))</f>
        <v>502.07782026233912</v>
      </c>
      <c r="DU151" s="60">
        <f t="shared" si="152"/>
        <v>285.83623046025156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-1.7053025658242404E-13</v>
      </c>
      <c r="EK151" s="18">
        <f>EJ151*VLOOKUP('Données projet'!$B$15,Paramètres!$A$1:$I$89,3,0)*VLOOKUP('Données projet'!$B$15,Paramètres!$A$1:$I$89,5,0)</f>
        <v>-1.4897523215040567E-13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339.58437495284466</v>
      </c>
      <c r="EP151" s="60">
        <f t="shared" si="154"/>
        <v>371.26234252426531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2.4</v>
      </c>
      <c r="FE151" s="13">
        <f>IF('Données projet'!$A$218&gt;35,FE150+FD151-FM150,IF(A151&lt;'Données projet'!$A$218,$FB$205^A151,IF(A151='Données projet'!$A$218,'Données projet'!$B$218,FE150+FD151-FM150)))</f>
        <v>288.19999999999908</v>
      </c>
      <c r="FF151" s="18">
        <f>FE151*VLOOKUP('Données projet'!$B$16,Paramètres!$A$1:$I$89,3,0)*VLOOKUP('Données projet'!$B$16,Paramètres!$A$1:$I$89,5,0)</f>
        <v>278.74703999999912</v>
      </c>
      <c r="FG151" s="14">
        <f t="shared" si="155"/>
        <v>66.702153339553078</v>
      </c>
      <c r="FH151" s="22">
        <f t="shared" si="130"/>
        <v>601.65734506638671</v>
      </c>
      <c r="FI151" s="60">
        <f t="shared" si="131"/>
        <v>894.99067839972008</v>
      </c>
      <c r="FJ151" s="60">
        <f ca="1">AVERAGE(OFFSET($FI$3,0,0,'Données projet'!$E$16+1,1))-AVERAGE(OFFSET($H$3,0,0,'Données projet'!$E$16+1,1))</f>
        <v>455.50822833641354</v>
      </c>
      <c r="FK151" s="60">
        <f t="shared" si="156"/>
        <v>261.14722581688039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294.66839999999905</v>
      </c>
      <c r="P152" s="14">
        <f t="shared" si="141"/>
        <v>70.057591528661362</v>
      </c>
      <c r="Q152" s="22">
        <f t="shared" si="108"/>
        <v>635.23110191241688</v>
      </c>
      <c r="R152" s="60">
        <f t="shared" si="109"/>
        <v>928.56443524575025</v>
      </c>
      <c r="S152" s="60">
        <f ca="1">AVERAGE(OFFSET($R$3,0,0,'Données projet'!$E$9+1,1))-AVERAGE(OFFSET($H$3,0,0,'Données projet'!$E$9+1,1))</f>
        <v>475.47920969424894</v>
      </c>
      <c r="T152" s="60">
        <f t="shared" si="142"/>
        <v>271.73544012419364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-2.8421709430404007E-13</v>
      </c>
      <c r="AJ152" s="14">
        <f>AI152*VLOOKUP('Données projet'!$B$10,Paramètres!$A$1:$I$89,3,0)*VLOOKUP('Données projet'!$B$10,Paramètres!$A$1:$I$89,5,0)</f>
        <v>-1.69961822393816E-13</v>
      </c>
      <c r="AK152" s="14" t="e">
        <f t="shared" si="143"/>
        <v>#NUM!</v>
      </c>
      <c r="AL152" s="22" t="e">
        <f t="shared" si="112"/>
        <v>#NUM!</v>
      </c>
      <c r="AM152" s="60" t="e">
        <f t="shared" si="113"/>
        <v>#NUM!</v>
      </c>
      <c r="AN152" s="60">
        <f ca="1">AVERAGE(OFFSET($AM$3,0,0,'Données projet'!$E$10+1,1))-AVERAGE(OFFSET($H$3,0,0,'Données projet'!$E$10+1,1))</f>
        <v>289.24721145176682</v>
      </c>
      <c r="AO152" s="60">
        <f t="shared" si="144"/>
        <v>229.06617320689003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8.3673385718362109E-2</v>
      </c>
      <c r="AW152" s="23">
        <f>EXP(-LN(2)/2)*AW151+(1-EXP(-LN(2)/2))/(LN(2)/2)*AQ152*AT152*VLOOKUP('Données projet'!$B$10,Paramètres!$A$1:$I$89,3,0)*0.475*44/12</f>
        <v>5.4382879871626618E-18</v>
      </c>
      <c r="AX152" s="23">
        <f t="shared" si="114"/>
        <v>8.3673385718362109E-2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5.6843418860808015E-14</v>
      </c>
      <c r="BE152" s="14">
        <f>BD152*VLOOKUP('Données projet'!$B$11,Paramètres!$A$1:$I$89,3,0)*VLOOKUP('Données projet'!$B$11,Paramètres!$A$1:$I$89,5,0)</f>
        <v>3.3992364478763198E-14</v>
      </c>
      <c r="BF152" s="14">
        <f t="shared" si="145"/>
        <v>5.790027782444094E-13</v>
      </c>
      <c r="BG152" s="22">
        <f t="shared" si="115"/>
        <v>1.0676332069095257E-12</v>
      </c>
      <c r="BH152" s="60">
        <f t="shared" si="116"/>
        <v>293.33333333333439</v>
      </c>
      <c r="BI152" s="60">
        <f ca="1">AVERAGE(OFFSET($BH$3,0,0,'Données projet'!$E$11+1,1))-AVERAGE(OFFSET($H$3,0,0,'Données projet'!$E$11+1,1))</f>
        <v>287.91374663515506</v>
      </c>
      <c r="BJ152" s="60">
        <f t="shared" si="146"/>
        <v>217.76240797006147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2.4</v>
      </c>
      <c r="BY152" s="13">
        <f>IF('Données projet'!$A$114&gt;35,BY151+BX152-CG151,IF(A152&lt;'Données projet'!$A$114,$BV$205^A152,IF(A152='Données projet'!$A$114,'Données projet'!$B$114,BY151+BX152-CG151)))</f>
        <v>290.59999999999906</v>
      </c>
      <c r="BZ152" s="14">
        <f>BY152*VLOOKUP('Données projet'!$B$12,Paramètres!$A$1:$I$89,3,0)*VLOOKUP('Données projet'!$B$12,Paramètres!$A$1:$I$89,5,0)</f>
        <v>262.93487999999911</v>
      </c>
      <c r="CA152" s="14">
        <f t="shared" si="147"/>
        <v>63.347566493432595</v>
      </c>
      <c r="CB152" s="22">
        <f t="shared" si="118"/>
        <v>568.27526097606028</v>
      </c>
      <c r="CC152" s="60">
        <f t="shared" si="119"/>
        <v>861.60859430939354</v>
      </c>
      <c r="CD152" s="60">
        <f ca="1">AVERAGE(OFFSET($CC$3,0,0,'Données projet'!$E$12+1,1))-AVERAGE(OFFSET($H$3,0,0,'Données projet'!$E$12+1,1))</f>
        <v>428.8489304403459</v>
      </c>
      <c r="CE152" s="60">
        <f t="shared" si="148"/>
        <v>247.01165577562966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-2.6602720026858149E-14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284.88646502866419</v>
      </c>
      <c r="CZ152" s="60">
        <f t="shared" si="150"/>
        <v>190.4880882944471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2.4</v>
      </c>
      <c r="DO152" s="13">
        <f>IF('Données projet'!$A$166&gt;35,DO151+DN152-DW151,IF(A152&lt;'Données projet'!$A$166,$DL$205^A152,IF(A152='Données projet'!$A$166,'Données projet'!$B$166,DO151+DN152-DW151)))</f>
        <v>290.59999999999906</v>
      </c>
      <c r="DP152" s="18">
        <f>DO152*VLOOKUP('Données projet'!$B$14,Paramètres!$A$1:$I$89,3,0)*VLOOKUP('Données projet'!$B$14,Paramètres!$A$1:$I$89,5,0)</f>
        <v>312.80183999999895</v>
      </c>
      <c r="DQ152" s="14">
        <f t="shared" si="151"/>
        <v>73.853659115640198</v>
      </c>
      <c r="DR152" s="22">
        <f t="shared" si="124"/>
        <v>673.42499429307145</v>
      </c>
      <c r="DS152" s="60">
        <f t="shared" si="125"/>
        <v>966.75832762640471</v>
      </c>
      <c r="DT152" s="60">
        <f ca="1">AVERAGE(OFFSET($DS$3,0,0,'Données projet'!$E$14+1,1))-AVERAGE(OFFSET($H$3,0,0,'Données projet'!$E$14+1,1))</f>
        <v>502.07782026233912</v>
      </c>
      <c r="DU152" s="60">
        <f t="shared" si="152"/>
        <v>285.83623046025156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-1.7053025658242404E-13</v>
      </c>
      <c r="EK152" s="18">
        <f>EJ152*VLOOKUP('Données projet'!$B$15,Paramètres!$A$1:$I$89,3,0)*VLOOKUP('Données projet'!$B$15,Paramètres!$A$1:$I$89,5,0)</f>
        <v>-1.4897523215040567E-13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339.58437495284466</v>
      </c>
      <c r="EP152" s="60">
        <f t="shared" si="154"/>
        <v>371.26234252426531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2.4</v>
      </c>
      <c r="FE152" s="13">
        <f>IF('Données projet'!$A$218&gt;35,FE151+FD152-FM151,IF(A152&lt;'Données projet'!$A$218,$FB$205^A152,IF(A152='Données projet'!$A$218,'Données projet'!$B$218,FE151+FD152-FM151)))</f>
        <v>290.59999999999906</v>
      </c>
      <c r="FF152" s="18">
        <f>FE152*VLOOKUP('Données projet'!$B$16,Paramètres!$A$1:$I$89,3,0)*VLOOKUP('Données projet'!$B$16,Paramètres!$A$1:$I$89,5,0)</f>
        <v>281.06831999999906</v>
      </c>
      <c r="FG152" s="14">
        <f t="shared" si="155"/>
        <v>67.192725545416479</v>
      </c>
      <c r="FH152" s="22">
        <f t="shared" si="130"/>
        <v>606.55465432493213</v>
      </c>
      <c r="FI152" s="60">
        <f t="shared" si="131"/>
        <v>899.8879876582655</v>
      </c>
      <c r="FJ152" s="60">
        <f ca="1">AVERAGE(OFFSET($FI$3,0,0,'Données projet'!$E$16+1,1))-AVERAGE(OFFSET($H$3,0,0,'Données projet'!$E$16+1,1))</f>
        <v>455.50822833641354</v>
      </c>
      <c r="FK152" s="60">
        <f t="shared" si="156"/>
        <v>261.14722581688039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297.10199999999907</v>
      </c>
      <c r="P153" s="14">
        <f t="shared" si="141"/>
        <v>70.568588566272624</v>
      </c>
      <c r="Q153" s="22">
        <f t="shared" si="108"/>
        <v>640.3596084195899</v>
      </c>
      <c r="R153" s="60">
        <f t="shared" si="109"/>
        <v>933.69294175292316</v>
      </c>
      <c r="S153" s="60">
        <f ca="1">AVERAGE(OFFSET($R$3,0,0,'Données projet'!$E$9+1,1))-AVERAGE(OFFSET($H$3,0,0,'Données projet'!$E$9+1,1))</f>
        <v>475.47920969424894</v>
      </c>
      <c r="T153" s="60">
        <f t="shared" si="142"/>
        <v>271.73544012419364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-2.8421709430404007E-13</v>
      </c>
      <c r="AJ153" s="14">
        <f>AI153*VLOOKUP('Données projet'!$B$10,Paramètres!$A$1:$I$89,3,0)*VLOOKUP('Données projet'!$B$10,Paramètres!$A$1:$I$89,5,0)</f>
        <v>-1.69961822393816E-13</v>
      </c>
      <c r="AK153" s="14" t="e">
        <f t="shared" si="143"/>
        <v>#NUM!</v>
      </c>
      <c r="AL153" s="22" t="e">
        <f t="shared" si="112"/>
        <v>#NUM!</v>
      </c>
      <c r="AM153" s="60" t="e">
        <f t="shared" si="113"/>
        <v>#NUM!</v>
      </c>
      <c r="AN153" s="60">
        <f ca="1">AVERAGE(OFFSET($AM$3,0,0,'Données projet'!$E$10+1,1))-AVERAGE(OFFSET($H$3,0,0,'Données projet'!$E$10+1,1))</f>
        <v>289.24721145176682</v>
      </c>
      <c r="AO153" s="60">
        <f t="shared" si="144"/>
        <v>229.06617320689003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8.1385332585701381E-2</v>
      </c>
      <c r="AW153" s="23">
        <f>EXP(-LN(2)/2)*AW152+(1-EXP(-LN(2)/2))/(LN(2)/2)*AQ153*AT153*VLOOKUP('Données projet'!$B$10,Paramètres!$A$1:$I$89,3,0)*0.475*44/12</f>
        <v>3.8454503137680582E-18</v>
      </c>
      <c r="AX153" s="23">
        <f t="shared" si="114"/>
        <v>8.1385332585701381E-2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5.6843418860808015E-14</v>
      </c>
      <c r="BE153" s="14">
        <f>BD153*VLOOKUP('Données projet'!$B$11,Paramètres!$A$1:$I$89,3,0)*VLOOKUP('Données projet'!$B$11,Paramètres!$A$1:$I$89,5,0)</f>
        <v>3.3992364478763198E-14</v>
      </c>
      <c r="BF153" s="14">
        <f t="shared" si="145"/>
        <v>5.790027782444094E-13</v>
      </c>
      <c r="BG153" s="22">
        <f t="shared" si="115"/>
        <v>1.0676332069095257E-12</v>
      </c>
      <c r="BH153" s="60">
        <f t="shared" si="116"/>
        <v>293.33333333333439</v>
      </c>
      <c r="BI153" s="60">
        <f ca="1">AVERAGE(OFFSET($BH$3,0,0,'Données projet'!$E$11+1,1))-AVERAGE(OFFSET($H$3,0,0,'Données projet'!$E$11+1,1))</f>
        <v>287.91374663515506</v>
      </c>
      <c r="BJ153" s="60">
        <f t="shared" si="146"/>
        <v>217.76240797006147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>
        <f>VLOOKUP(A153,'Données projet'!$A$113:$I$133,2,0)</f>
        <v>293</v>
      </c>
      <c r="BW153" s="13">
        <f>VLOOKUP(A153,'Données projet'!$A$113:$I$133,9,0)</f>
        <v>2.4</v>
      </c>
      <c r="BX153" s="13">
        <f t="array" ref="BX153">INDEX(BW:BW,MIN(IF(ISNUMBER(BW153:BW349),ROW(BW153:BW349),"")))</f>
        <v>2.4</v>
      </c>
      <c r="BY153" s="13">
        <f>IF('Données projet'!$A$114&gt;35,BY152+BX153-CG152,IF(A153&lt;'Données projet'!$A$114,$BV$205^A153,IF(A153='Données projet'!$A$114,'Données projet'!$B$114,BY152+BX153-CG152)))</f>
        <v>292.99999999999903</v>
      </c>
      <c r="BZ153" s="14">
        <f>BY153*VLOOKUP('Données projet'!$B$12,Paramètres!$A$1:$I$89,3,0)*VLOOKUP('Données projet'!$B$12,Paramètres!$A$1:$I$89,5,0)</f>
        <v>265.1063999999991</v>
      </c>
      <c r="CA153" s="14">
        <f t="shared" si="147"/>
        <v>63.809620899125136</v>
      </c>
      <c r="CB153" s="22">
        <f t="shared" si="118"/>
        <v>572.86206973264132</v>
      </c>
      <c r="CC153" s="60">
        <f t="shared" si="119"/>
        <v>866.19540306597469</v>
      </c>
      <c r="CD153" s="60">
        <f ca="1">AVERAGE(OFFSET($CC$3,0,0,'Données projet'!$E$12+1,1))-AVERAGE(OFFSET($H$3,0,0,'Données projet'!$E$12+1,1))</f>
        <v>428.8489304403459</v>
      </c>
      <c r="CE153" s="60">
        <f t="shared" si="148"/>
        <v>247.01165577562966</v>
      </c>
      <c r="CF153" s="16">
        <f>IF(ISNA(VLOOKUP(A153,'Données projet'!$A$113:$I$133,3,0)),0,VLOOKUP(A153,'Données projet'!$A$113:$I$133,3,0))</f>
        <v>13</v>
      </c>
      <c r="CG153" s="16">
        <f>IF(ISNA(VLOOKUP(A153,'Données projet'!$A$113:$I$133,4,0)),0,VLOOKUP(A153,'Données projet'!$A$113:$I$133,4,0))</f>
        <v>293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-2.6602720026858149E-14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284.88646502866419</v>
      </c>
      <c r="CZ153" s="60">
        <f t="shared" si="150"/>
        <v>190.4880882944471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>
        <f>VLOOKUP(A153,'Données projet'!$A$165:$I$185,2,0)</f>
        <v>293</v>
      </c>
      <c r="DM153" s="13">
        <f>VLOOKUP(A153,'Données projet'!$A$165:$I$185,9,0)</f>
        <v>2.4</v>
      </c>
      <c r="DN153" s="13">
        <f t="array" ref="DN153">INDEX(DM:DM,MIN(IF(ISNUMBER(DM153:DM349),ROW(DM153:DM349),"")))</f>
        <v>2.4</v>
      </c>
      <c r="DO153" s="13">
        <f>IF('Données projet'!$A$166&gt;35,DO152+DN153-DW152,IF(A153&lt;'Données projet'!$A$166,$DL$205^A153,IF(A153='Données projet'!$A$166,'Données projet'!$B$166,DO152+DN153-DW152)))</f>
        <v>292.99999999999903</v>
      </c>
      <c r="DP153" s="18">
        <f>DO153*VLOOKUP('Données projet'!$B$14,Paramètres!$A$1:$I$89,3,0)*VLOOKUP('Données projet'!$B$14,Paramètres!$A$1:$I$89,5,0)</f>
        <v>315.38519999999892</v>
      </c>
      <c r="DQ153" s="14">
        <f t="shared" si="151"/>
        <v>74.392344505779604</v>
      </c>
      <c r="DR153" s="22">
        <f t="shared" si="124"/>
        <v>678.86255668089746</v>
      </c>
      <c r="DS153" s="60">
        <f t="shared" si="125"/>
        <v>972.19589001423083</v>
      </c>
      <c r="DT153" s="60">
        <f ca="1">AVERAGE(OFFSET($DS$3,0,0,'Données projet'!$E$14+1,1))-AVERAGE(OFFSET($H$3,0,0,'Données projet'!$E$14+1,1))</f>
        <v>502.07782026233912</v>
      </c>
      <c r="DU153" s="60">
        <f t="shared" si="152"/>
        <v>285.83623046025156</v>
      </c>
      <c r="DV153" s="16">
        <f>IF(ISNA(VLOOKUP(A153,'Données projet'!$A$165:$I$185,3,0)),0,VLOOKUP(A153,'Données projet'!$A$165:$I$185,3,0))</f>
        <v>13</v>
      </c>
      <c r="DW153" s="16">
        <f>IF(ISNA(VLOOKUP(A153,'Données projet'!$A$165:$I$185,4,0)),0,VLOOKUP(A153,'Données projet'!$A$165:$I$185,4,0))</f>
        <v>293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-1.7053025658242404E-13</v>
      </c>
      <c r="EK153" s="18">
        <f>EJ153*VLOOKUP('Données projet'!$B$15,Paramètres!$A$1:$I$89,3,0)*VLOOKUP('Données projet'!$B$15,Paramètres!$A$1:$I$89,5,0)</f>
        <v>-1.4897523215040567E-13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339.58437495284466</v>
      </c>
      <c r="EP153" s="60">
        <f t="shared" si="154"/>
        <v>371.26234252426531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>
        <f>VLOOKUP(A153,'Données projet'!$A$217:$I$237,2,0)</f>
        <v>293</v>
      </c>
      <c r="FC153" s="13">
        <f>VLOOKUP(A153,'Données projet'!$A$217:$I$237,9,0)</f>
        <v>2.4</v>
      </c>
      <c r="FD153" s="13">
        <f t="array" ref="FD153">INDEX(FC:FC,MIN(IF(ISNUMBER(FC153:FC349),ROW(FC153:FC349),"")))</f>
        <v>2.4</v>
      </c>
      <c r="FE153" s="13">
        <f>IF('Données projet'!$A$218&gt;35,FE152+FD153-FM152,IF(A153&lt;'Données projet'!$A$218,$FB$205^A153,IF(A153='Données projet'!$A$218,'Données projet'!$B$218,FE152+FD153-FM152)))</f>
        <v>292.99999999999903</v>
      </c>
      <c r="FF153" s="18">
        <f>FE153*VLOOKUP('Données projet'!$B$16,Paramètres!$A$1:$I$89,3,0)*VLOOKUP('Données projet'!$B$16,Paramètres!$A$1:$I$89,5,0)</f>
        <v>283.38959999999906</v>
      </c>
      <c r="FG153" s="14">
        <f t="shared" si="155"/>
        <v>67.682826374656187</v>
      </c>
      <c r="FH153" s="22">
        <f t="shared" si="130"/>
        <v>611.45114260252456</v>
      </c>
      <c r="FI153" s="60">
        <f t="shared" si="131"/>
        <v>904.78447593585793</v>
      </c>
      <c r="FJ153" s="60">
        <f ca="1">AVERAGE(OFFSET($FI$3,0,0,'Données projet'!$E$16+1,1))-AVERAGE(OFFSET($H$3,0,0,'Données projet'!$E$16+1,1))</f>
        <v>455.50822833641354</v>
      </c>
      <c r="FK153" s="60">
        <f t="shared" si="156"/>
        <v>261.14722581688039</v>
      </c>
      <c r="FL153" s="16">
        <f>IF(ISNA(VLOOKUP(A153,'Données projet'!$A$217:$I$237,3,0)),0,VLOOKUP(A153,'Données projet'!$A$217:$I$237,3,0))</f>
        <v>13</v>
      </c>
      <c r="FM153" s="16">
        <f>IF(ISNA(VLOOKUP(A153,'Données projet'!$A$217:$I$237,4,0)),0,VLOOKUP(A153,'Données projet'!$A$217:$I$237,4,0))</f>
        <v>293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-9.7986685432260874E-13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475.47920969424894</v>
      </c>
      <c r="T154" s="60">
        <f t="shared" si="142"/>
        <v>271.73544012419364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-2.8421709430404007E-13</v>
      </c>
      <c r="AJ154" s="14">
        <f>AI154*VLOOKUP('Données projet'!$B$10,Paramètres!$A$1:$I$89,3,0)*VLOOKUP('Données projet'!$B$10,Paramètres!$A$1:$I$89,5,0)</f>
        <v>-1.69961822393816E-13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289.24721145176682</v>
      </c>
      <c r="AO154" s="60">
        <f t="shared" si="144"/>
        <v>229.06617320689003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7.9159846386276739E-2</v>
      </c>
      <c r="AW154" s="23">
        <f>EXP(-LN(2)/2)*AW153+(1-EXP(-LN(2)/2))/(LN(2)/2)*AQ154*AT154*VLOOKUP('Données projet'!$B$10,Paramètres!$A$1:$I$89,3,0)*0.475*44/12</f>
        <v>2.7191439935813309E-18</v>
      </c>
      <c r="AX154" s="23">
        <f t="shared" ref="AX154:AX203" si="166">SUM(AU154:AW154)</f>
        <v>7.9159846386276739E-2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5.6843418860808015E-14</v>
      </c>
      <c r="BE154" s="14">
        <f>BD154*VLOOKUP('Données projet'!$B$11,Paramètres!$A$1:$I$89,3,0)*VLOOKUP('Données projet'!$B$11,Paramètres!$A$1:$I$89,5,0)</f>
        <v>3.3992364478763198E-14</v>
      </c>
      <c r="BF154" s="14">
        <f t="shared" ref="BF154:BF203" si="167">EXP(-1.0587+0.8836*LN(BE154)+0.284)</f>
        <v>5.790027782444094E-13</v>
      </c>
      <c r="BG154" s="22">
        <f t="shared" ref="BG154:BG203" si="168">(BE154+BF154)*0.475*44/12</f>
        <v>1.0676332069095257E-12</v>
      </c>
      <c r="BH154" s="60">
        <f t="shared" si="116"/>
        <v>293.33333333333439</v>
      </c>
      <c r="BI154" s="60">
        <f ca="1">AVERAGE(OFFSET($BH$3,0,0,'Données projet'!$E$11+1,1))-AVERAGE(OFFSET($H$3,0,0,'Données projet'!$E$11+1,1))</f>
        <v>287.91374663515506</v>
      </c>
      <c r="BJ154" s="60">
        <f t="shared" si="146"/>
        <v>217.76240797006147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-9.6633812063373625E-13</v>
      </c>
      <c r="BZ154" s="14">
        <f>BY154*VLOOKUP('Données projet'!$B$12,Paramètres!$A$1:$I$89,3,0)*VLOOKUP('Données projet'!$B$12,Paramètres!$A$1:$I$89,5,0)</f>
        <v>-8.7434273154940449E-13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428.8489304403459</v>
      </c>
      <c r="CE154" s="60">
        <f t="shared" si="148"/>
        <v>247.01165577562966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-2.6602720026858149E-14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284.88646502866419</v>
      </c>
      <c r="CZ154" s="60">
        <f t="shared" si="150"/>
        <v>190.4880882944471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-9.6633812063373625E-13</v>
      </c>
      <c r="DP154" s="18">
        <f>DO154*VLOOKUP('Données projet'!$B$14,Paramètres!$A$1:$I$89,3,0)*VLOOKUP('Données projet'!$B$14,Paramètres!$A$1:$I$89,5,0)</f>
        <v>-1.0401663530501537E-12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502.07782026233912</v>
      </c>
      <c r="DU154" s="60">
        <f t="shared" si="152"/>
        <v>285.83623046025156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-1.7053025658242404E-13</v>
      </c>
      <c r="EK154" s="18">
        <f>EJ154*VLOOKUP('Données projet'!$B$15,Paramètres!$A$1:$I$89,3,0)*VLOOKUP('Données projet'!$B$15,Paramètres!$A$1:$I$89,5,0)</f>
        <v>-1.4897523215040567E-13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339.58437495284466</v>
      </c>
      <c r="EP154" s="60">
        <f t="shared" si="154"/>
        <v>371.26234252426531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-9.6633812063373625E-13</v>
      </c>
      <c r="FF154" s="18">
        <f>FE154*VLOOKUP('Données projet'!$B$16,Paramètres!$A$1:$I$89,3,0)*VLOOKUP('Données projet'!$B$16,Paramètres!$A$1:$I$89,5,0)</f>
        <v>-9.3464223027694966E-13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0" t="e">
        <f t="shared" si="131"/>
        <v>#NUM!</v>
      </c>
      <c r="FJ154" s="60">
        <f ca="1">AVERAGE(OFFSET($FI$3,0,0,'Données projet'!$E$16+1,1))-AVERAGE(OFFSET($H$3,0,0,'Données projet'!$E$16+1,1))</f>
        <v>455.50822833641354</v>
      </c>
      <c r="FK154" s="60">
        <f t="shared" si="156"/>
        <v>261.14722581688039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-9.7986685432260874E-13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475.47920969424894</v>
      </c>
      <c r="T155" s="60">
        <f t="shared" si="142"/>
        <v>271.73544012419364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-2.8421709430404007E-13</v>
      </c>
      <c r="AJ155" s="14">
        <f>AI155*VLOOKUP('Données projet'!$B$10,Paramètres!$A$1:$I$89,3,0)*VLOOKUP('Données projet'!$B$10,Paramètres!$A$1:$I$89,5,0)</f>
        <v>-1.69961822393816E-13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289.24721145176682</v>
      </c>
      <c r="AO155" s="60">
        <f t="shared" si="144"/>
        <v>229.06617320689003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7.6995216224008609E-2</v>
      </c>
      <c r="AW155" s="23">
        <f>EXP(-LN(2)/2)*AW154+(1-EXP(-LN(2)/2))/(LN(2)/2)*AQ155*AT155*VLOOKUP('Données projet'!$B$10,Paramètres!$A$1:$I$89,3,0)*0.475*44/12</f>
        <v>1.9227251568840291E-18</v>
      </c>
      <c r="AX155" s="23">
        <f t="shared" si="166"/>
        <v>7.6995216224008609E-2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5.6843418860808015E-14</v>
      </c>
      <c r="BE155" s="14">
        <f>BD155*VLOOKUP('Données projet'!$B$11,Paramètres!$A$1:$I$89,3,0)*VLOOKUP('Données projet'!$B$11,Paramètres!$A$1:$I$89,5,0)</f>
        <v>3.3992364478763198E-14</v>
      </c>
      <c r="BF155" s="14">
        <f t="shared" si="167"/>
        <v>5.790027782444094E-13</v>
      </c>
      <c r="BG155" s="22">
        <f t="shared" si="168"/>
        <v>1.0676332069095257E-12</v>
      </c>
      <c r="BH155" s="60">
        <f t="shared" si="116"/>
        <v>293.33333333333439</v>
      </c>
      <c r="BI155" s="60">
        <f ca="1">AVERAGE(OFFSET($BH$3,0,0,'Données projet'!$E$11+1,1))-AVERAGE(OFFSET($H$3,0,0,'Données projet'!$E$11+1,1))</f>
        <v>287.91374663515506</v>
      </c>
      <c r="BJ155" s="60">
        <f t="shared" si="146"/>
        <v>217.76240797006147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-9.6633812063373625E-13</v>
      </c>
      <c r="BZ155" s="14">
        <f>BY155*VLOOKUP('Données projet'!$B$12,Paramètres!$A$1:$I$89,3,0)*VLOOKUP('Données projet'!$B$12,Paramètres!$A$1:$I$89,5,0)</f>
        <v>-8.7434273154940449E-13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428.8489304403459</v>
      </c>
      <c r="CE155" s="60">
        <f t="shared" si="148"/>
        <v>247.01165577562966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-2.6602720026858149E-14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284.88646502866419</v>
      </c>
      <c r="CZ155" s="60">
        <f t="shared" si="150"/>
        <v>190.4880882944471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-9.6633812063373625E-13</v>
      </c>
      <c r="DP155" s="18">
        <f>DO155*VLOOKUP('Données projet'!$B$14,Paramètres!$A$1:$I$89,3,0)*VLOOKUP('Données projet'!$B$14,Paramètres!$A$1:$I$89,5,0)</f>
        <v>-1.0401663530501537E-12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502.07782026233912</v>
      </c>
      <c r="DU155" s="60">
        <f t="shared" si="152"/>
        <v>285.83623046025156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-1.7053025658242404E-13</v>
      </c>
      <c r="EK155" s="18">
        <f>EJ155*VLOOKUP('Données projet'!$B$15,Paramètres!$A$1:$I$89,3,0)*VLOOKUP('Données projet'!$B$15,Paramètres!$A$1:$I$89,5,0)</f>
        <v>-1.4897523215040567E-13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339.58437495284466</v>
      </c>
      <c r="EP155" s="60">
        <f t="shared" si="154"/>
        <v>371.26234252426531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-9.6633812063373625E-13</v>
      </c>
      <c r="FF155" s="18">
        <f>FE155*VLOOKUP('Données projet'!$B$16,Paramètres!$A$1:$I$89,3,0)*VLOOKUP('Données projet'!$B$16,Paramètres!$A$1:$I$89,5,0)</f>
        <v>-9.3464223027694966E-13</v>
      </c>
      <c r="FG155" s="14" t="e">
        <f t="shared" si="182"/>
        <v>#NUM!</v>
      </c>
      <c r="FH155" s="22" t="e">
        <f t="shared" si="183"/>
        <v>#NUM!</v>
      </c>
      <c r="FI155" s="60" t="e">
        <f t="shared" si="131"/>
        <v>#NUM!</v>
      </c>
      <c r="FJ155" s="60">
        <f ca="1">AVERAGE(OFFSET($FI$3,0,0,'Données projet'!$E$16+1,1))-AVERAGE(OFFSET($H$3,0,0,'Données projet'!$E$16+1,1))</f>
        <v>455.50822833641354</v>
      </c>
      <c r="FK155" s="60">
        <f t="shared" si="156"/>
        <v>261.14722581688039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-9.7986685432260874E-13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475.47920969424894</v>
      </c>
      <c r="T156" s="60">
        <f t="shared" si="142"/>
        <v>271.73544012419364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-2.8421709430404007E-13</v>
      </c>
      <c r="AJ156" s="14">
        <f>AI156*VLOOKUP('Données projet'!$B$10,Paramètres!$A$1:$I$89,3,0)*VLOOKUP('Données projet'!$B$10,Paramètres!$A$1:$I$89,5,0)</f>
        <v>-1.69961822393816E-13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289.24721145176682</v>
      </c>
      <c r="AO156" s="60">
        <f t="shared" si="144"/>
        <v>229.06617320689003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7.4889777987360642E-2</v>
      </c>
      <c r="AW156" s="23">
        <f>EXP(-LN(2)/2)*AW155+(1-EXP(-LN(2)/2))/(LN(2)/2)*AQ156*AT156*VLOOKUP('Données projet'!$B$10,Paramètres!$A$1:$I$89,3,0)*0.475*44/12</f>
        <v>1.3595719967906655E-18</v>
      </c>
      <c r="AX156" s="23">
        <f t="shared" si="166"/>
        <v>7.4889777987360642E-2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5.6843418860808015E-14</v>
      </c>
      <c r="BE156" s="14">
        <f>BD156*VLOOKUP('Données projet'!$B$11,Paramètres!$A$1:$I$89,3,0)*VLOOKUP('Données projet'!$B$11,Paramètres!$A$1:$I$89,5,0)</f>
        <v>3.3992364478763198E-14</v>
      </c>
      <c r="BF156" s="14">
        <f t="shared" si="167"/>
        <v>5.790027782444094E-13</v>
      </c>
      <c r="BG156" s="22">
        <f t="shared" si="168"/>
        <v>1.0676332069095257E-12</v>
      </c>
      <c r="BH156" s="60">
        <f t="shared" si="116"/>
        <v>293.33333333333439</v>
      </c>
      <c r="BI156" s="60">
        <f ca="1">AVERAGE(OFFSET($BH$3,0,0,'Données projet'!$E$11+1,1))-AVERAGE(OFFSET($H$3,0,0,'Données projet'!$E$11+1,1))</f>
        <v>287.91374663515506</v>
      </c>
      <c r="BJ156" s="60">
        <f t="shared" si="146"/>
        <v>217.76240797006147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-9.6633812063373625E-13</v>
      </c>
      <c r="BZ156" s="14">
        <f>BY156*VLOOKUP('Données projet'!$B$12,Paramètres!$A$1:$I$89,3,0)*VLOOKUP('Données projet'!$B$12,Paramètres!$A$1:$I$89,5,0)</f>
        <v>-8.7434273154940449E-13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428.8489304403459</v>
      </c>
      <c r="CE156" s="60">
        <f t="shared" si="148"/>
        <v>247.01165577562966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-2.6602720026858149E-14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284.88646502866419</v>
      </c>
      <c r="CZ156" s="60">
        <f t="shared" si="150"/>
        <v>190.4880882944471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-9.6633812063373625E-13</v>
      </c>
      <c r="DP156" s="18">
        <f>DO156*VLOOKUP('Données projet'!$B$14,Paramètres!$A$1:$I$89,3,0)*VLOOKUP('Données projet'!$B$14,Paramètres!$A$1:$I$89,5,0)</f>
        <v>-1.0401663530501537E-12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502.07782026233912</v>
      </c>
      <c r="DU156" s="60">
        <f t="shared" si="152"/>
        <v>285.83623046025156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-1.7053025658242404E-13</v>
      </c>
      <c r="EK156" s="18">
        <f>EJ156*VLOOKUP('Données projet'!$B$15,Paramètres!$A$1:$I$89,3,0)*VLOOKUP('Données projet'!$B$15,Paramètres!$A$1:$I$89,5,0)</f>
        <v>-1.4897523215040567E-13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339.58437495284466</v>
      </c>
      <c r="EP156" s="60">
        <f t="shared" si="154"/>
        <v>371.26234252426531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-9.6633812063373625E-13</v>
      </c>
      <c r="FF156" s="18">
        <f>FE156*VLOOKUP('Données projet'!$B$16,Paramètres!$A$1:$I$89,3,0)*VLOOKUP('Données projet'!$B$16,Paramètres!$A$1:$I$89,5,0)</f>
        <v>-9.3464223027694966E-13</v>
      </c>
      <c r="FG156" s="14" t="e">
        <f t="shared" si="182"/>
        <v>#NUM!</v>
      </c>
      <c r="FH156" s="22" t="e">
        <f t="shared" si="183"/>
        <v>#NUM!</v>
      </c>
      <c r="FI156" s="60" t="e">
        <f t="shared" si="131"/>
        <v>#NUM!</v>
      </c>
      <c r="FJ156" s="60">
        <f ca="1">AVERAGE(OFFSET($FI$3,0,0,'Données projet'!$E$16+1,1))-AVERAGE(OFFSET($H$3,0,0,'Données projet'!$E$16+1,1))</f>
        <v>455.50822833641354</v>
      </c>
      <c r="FK156" s="60">
        <f t="shared" si="156"/>
        <v>261.14722581688039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-9.7986685432260874E-13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475.47920969424894</v>
      </c>
      <c r="T157" s="60">
        <f t="shared" si="142"/>
        <v>271.73544012419364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-2.8421709430404007E-13</v>
      </c>
      <c r="AJ157" s="14">
        <f>AI157*VLOOKUP('Données projet'!$B$10,Paramètres!$A$1:$I$89,3,0)*VLOOKUP('Données projet'!$B$10,Paramètres!$A$1:$I$89,5,0)</f>
        <v>-1.69961822393816E-13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289.24721145176682</v>
      </c>
      <c r="AO157" s="60">
        <f t="shared" si="144"/>
        <v>229.06617320689003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7.2841913070014003E-2</v>
      </c>
      <c r="AW157" s="23">
        <f>EXP(-LN(2)/2)*AW156+(1-EXP(-LN(2)/2))/(LN(2)/2)*AQ157*AT157*VLOOKUP('Données projet'!$B$10,Paramètres!$A$1:$I$89,3,0)*0.475*44/12</f>
        <v>9.6136257844201456E-19</v>
      </c>
      <c r="AX157" s="23">
        <f t="shared" si="166"/>
        <v>7.2841913070014003E-2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5.6843418860808015E-14</v>
      </c>
      <c r="BE157" s="14">
        <f>BD157*VLOOKUP('Données projet'!$B$11,Paramètres!$A$1:$I$89,3,0)*VLOOKUP('Données projet'!$B$11,Paramètres!$A$1:$I$89,5,0)</f>
        <v>3.3992364478763198E-14</v>
      </c>
      <c r="BF157" s="14">
        <f t="shared" si="167"/>
        <v>5.790027782444094E-13</v>
      </c>
      <c r="BG157" s="22">
        <f t="shared" si="168"/>
        <v>1.0676332069095257E-12</v>
      </c>
      <c r="BH157" s="60">
        <f t="shared" si="116"/>
        <v>293.33333333333439</v>
      </c>
      <c r="BI157" s="60">
        <f ca="1">AVERAGE(OFFSET($BH$3,0,0,'Données projet'!$E$11+1,1))-AVERAGE(OFFSET($H$3,0,0,'Données projet'!$E$11+1,1))</f>
        <v>287.91374663515506</v>
      </c>
      <c r="BJ157" s="60">
        <f t="shared" si="146"/>
        <v>217.76240797006147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-9.6633812063373625E-13</v>
      </c>
      <c r="BZ157" s="14">
        <f>BY157*VLOOKUP('Données projet'!$B$12,Paramètres!$A$1:$I$89,3,0)*VLOOKUP('Données projet'!$B$12,Paramètres!$A$1:$I$89,5,0)</f>
        <v>-8.7434273154940449E-13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428.8489304403459</v>
      </c>
      <c r="CE157" s="60">
        <f t="shared" si="148"/>
        <v>247.01165577562966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-2.6602720026858149E-14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284.88646502866419</v>
      </c>
      <c r="CZ157" s="60">
        <f t="shared" si="150"/>
        <v>190.4880882944471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-9.6633812063373625E-13</v>
      </c>
      <c r="DP157" s="18">
        <f>DO157*VLOOKUP('Données projet'!$B$14,Paramètres!$A$1:$I$89,3,0)*VLOOKUP('Données projet'!$B$14,Paramètres!$A$1:$I$89,5,0)</f>
        <v>-1.0401663530501537E-12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502.07782026233912</v>
      </c>
      <c r="DU157" s="60">
        <f t="shared" si="152"/>
        <v>285.83623046025156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-1.7053025658242404E-13</v>
      </c>
      <c r="EK157" s="18">
        <f>EJ157*VLOOKUP('Données projet'!$B$15,Paramètres!$A$1:$I$89,3,0)*VLOOKUP('Données projet'!$B$15,Paramètres!$A$1:$I$89,5,0)</f>
        <v>-1.4897523215040567E-13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339.58437495284466</v>
      </c>
      <c r="EP157" s="60">
        <f t="shared" si="154"/>
        <v>371.26234252426531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-9.6633812063373625E-13</v>
      </c>
      <c r="FF157" s="18">
        <f>FE157*VLOOKUP('Données projet'!$B$16,Paramètres!$A$1:$I$89,3,0)*VLOOKUP('Données projet'!$B$16,Paramètres!$A$1:$I$89,5,0)</f>
        <v>-9.3464223027694966E-13</v>
      </c>
      <c r="FG157" s="14" t="e">
        <f t="shared" si="182"/>
        <v>#NUM!</v>
      </c>
      <c r="FH157" s="22" t="e">
        <f t="shared" si="183"/>
        <v>#NUM!</v>
      </c>
      <c r="FI157" s="60" t="e">
        <f t="shared" si="131"/>
        <v>#NUM!</v>
      </c>
      <c r="FJ157" s="60">
        <f ca="1">AVERAGE(OFFSET($FI$3,0,0,'Données projet'!$E$16+1,1))-AVERAGE(OFFSET($H$3,0,0,'Données projet'!$E$16+1,1))</f>
        <v>455.50822833641354</v>
      </c>
      <c r="FK157" s="60">
        <f t="shared" si="156"/>
        <v>261.14722581688039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-9.7986685432260874E-13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475.47920969424894</v>
      </c>
      <c r="T158" s="60">
        <f t="shared" si="142"/>
        <v>271.73544012419364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-2.8421709430404007E-13</v>
      </c>
      <c r="AJ158" s="14">
        <f>AI158*VLOOKUP('Données projet'!$B$10,Paramètres!$A$1:$I$89,3,0)*VLOOKUP('Données projet'!$B$10,Paramètres!$A$1:$I$89,5,0)</f>
        <v>-1.69961822393816E-13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289.24721145176682</v>
      </c>
      <c r="AO158" s="60">
        <f t="shared" si="144"/>
        <v>229.06617320689003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7.0850047126524748E-2</v>
      </c>
      <c r="AW158" s="23">
        <f>EXP(-LN(2)/2)*AW157+(1-EXP(-LN(2)/2))/(LN(2)/2)*AQ158*AT158*VLOOKUP('Données projet'!$B$10,Paramètres!$A$1:$I$89,3,0)*0.475*44/12</f>
        <v>6.7978599839533273E-19</v>
      </c>
      <c r="AX158" s="23">
        <f t="shared" si="166"/>
        <v>7.0850047126524748E-2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5.6843418860808015E-14</v>
      </c>
      <c r="BE158" s="14">
        <f>BD158*VLOOKUP('Données projet'!$B$11,Paramètres!$A$1:$I$89,3,0)*VLOOKUP('Données projet'!$B$11,Paramètres!$A$1:$I$89,5,0)</f>
        <v>3.3992364478763198E-14</v>
      </c>
      <c r="BF158" s="14">
        <f t="shared" si="167"/>
        <v>5.790027782444094E-13</v>
      </c>
      <c r="BG158" s="22">
        <f t="shared" si="168"/>
        <v>1.0676332069095257E-12</v>
      </c>
      <c r="BH158" s="60">
        <f t="shared" si="116"/>
        <v>293.33333333333439</v>
      </c>
      <c r="BI158" s="60">
        <f ca="1">AVERAGE(OFFSET($BH$3,0,0,'Données projet'!$E$11+1,1))-AVERAGE(OFFSET($H$3,0,0,'Données projet'!$E$11+1,1))</f>
        <v>287.91374663515506</v>
      </c>
      <c r="BJ158" s="60">
        <f t="shared" si="146"/>
        <v>217.76240797006147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-9.6633812063373625E-13</v>
      </c>
      <c r="BZ158" s="14">
        <f>BY158*VLOOKUP('Données projet'!$B$12,Paramètres!$A$1:$I$89,3,0)*VLOOKUP('Données projet'!$B$12,Paramètres!$A$1:$I$89,5,0)</f>
        <v>-8.7434273154940449E-13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428.8489304403459</v>
      </c>
      <c r="CE158" s="60">
        <f t="shared" si="148"/>
        <v>247.01165577562966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-2.6602720026858149E-14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284.88646502866419</v>
      </c>
      <c r="CZ158" s="60">
        <f t="shared" si="150"/>
        <v>190.4880882944471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-9.6633812063373625E-13</v>
      </c>
      <c r="DP158" s="18">
        <f>DO158*VLOOKUP('Données projet'!$B$14,Paramètres!$A$1:$I$89,3,0)*VLOOKUP('Données projet'!$B$14,Paramètres!$A$1:$I$89,5,0)</f>
        <v>-1.0401663530501537E-12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502.07782026233912</v>
      </c>
      <c r="DU158" s="60">
        <f t="shared" si="152"/>
        <v>285.83623046025156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-1.7053025658242404E-13</v>
      </c>
      <c r="EK158" s="18">
        <f>EJ158*VLOOKUP('Données projet'!$B$15,Paramètres!$A$1:$I$89,3,0)*VLOOKUP('Données projet'!$B$15,Paramètres!$A$1:$I$89,5,0)</f>
        <v>-1.4897523215040567E-13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339.58437495284466</v>
      </c>
      <c r="EP158" s="60">
        <f t="shared" si="154"/>
        <v>371.26234252426531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-9.6633812063373625E-13</v>
      </c>
      <c r="FF158" s="18">
        <f>FE158*VLOOKUP('Données projet'!$B$16,Paramètres!$A$1:$I$89,3,0)*VLOOKUP('Données projet'!$B$16,Paramètres!$A$1:$I$89,5,0)</f>
        <v>-9.3464223027694966E-13</v>
      </c>
      <c r="FG158" s="14" t="e">
        <f t="shared" si="182"/>
        <v>#NUM!</v>
      </c>
      <c r="FH158" s="22" t="e">
        <f t="shared" si="183"/>
        <v>#NUM!</v>
      </c>
      <c r="FI158" s="60" t="e">
        <f t="shared" si="131"/>
        <v>#NUM!</v>
      </c>
      <c r="FJ158" s="60">
        <f ca="1">AVERAGE(OFFSET($FI$3,0,0,'Données projet'!$E$16+1,1))-AVERAGE(OFFSET($H$3,0,0,'Données projet'!$E$16+1,1))</f>
        <v>455.50822833641354</v>
      </c>
      <c r="FK158" s="60">
        <f t="shared" si="156"/>
        <v>261.14722581688039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-9.7986685432260874E-13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475.47920969424894</v>
      </c>
      <c r="T159" s="60">
        <f t="shared" si="142"/>
        <v>271.73544012419364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-2.8421709430404007E-13</v>
      </c>
      <c r="AJ159" s="14">
        <f>AI159*VLOOKUP('Données projet'!$B$10,Paramètres!$A$1:$I$89,3,0)*VLOOKUP('Données projet'!$B$10,Paramètres!$A$1:$I$89,5,0)</f>
        <v>-1.69961822393816E-13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289.24721145176682</v>
      </c>
      <c r="AO159" s="60">
        <f t="shared" si="144"/>
        <v>229.06617320689003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6.8912648862007875E-2</v>
      </c>
      <c r="AW159" s="23">
        <f>EXP(-LN(2)/2)*AW158+(1-EXP(-LN(2)/2))/(LN(2)/2)*AQ159*AT159*VLOOKUP('Données projet'!$B$10,Paramètres!$A$1:$I$89,3,0)*0.475*44/12</f>
        <v>4.8068128922100728E-19</v>
      </c>
      <c r="AX159" s="23">
        <f t="shared" si="166"/>
        <v>6.8912648862007875E-2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5.6843418860808015E-14</v>
      </c>
      <c r="BE159" s="14">
        <f>BD159*VLOOKUP('Données projet'!$B$11,Paramètres!$A$1:$I$89,3,0)*VLOOKUP('Données projet'!$B$11,Paramètres!$A$1:$I$89,5,0)</f>
        <v>3.3992364478763198E-14</v>
      </c>
      <c r="BF159" s="14">
        <f t="shared" si="167"/>
        <v>5.790027782444094E-13</v>
      </c>
      <c r="BG159" s="22">
        <f t="shared" si="168"/>
        <v>1.0676332069095257E-12</v>
      </c>
      <c r="BH159" s="60">
        <f t="shared" si="116"/>
        <v>293.33333333333439</v>
      </c>
      <c r="BI159" s="60">
        <f ca="1">AVERAGE(OFFSET($BH$3,0,0,'Données projet'!$E$11+1,1))-AVERAGE(OFFSET($H$3,0,0,'Données projet'!$E$11+1,1))</f>
        <v>287.91374663515506</v>
      </c>
      <c r="BJ159" s="60">
        <f t="shared" si="146"/>
        <v>217.76240797006147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-9.6633812063373625E-13</v>
      </c>
      <c r="BZ159" s="14">
        <f>BY159*VLOOKUP('Données projet'!$B$12,Paramètres!$A$1:$I$89,3,0)*VLOOKUP('Données projet'!$B$12,Paramètres!$A$1:$I$89,5,0)</f>
        <v>-8.7434273154940449E-13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428.8489304403459</v>
      </c>
      <c r="CE159" s="60">
        <f t="shared" si="148"/>
        <v>247.01165577562966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-2.6602720026858149E-14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284.88646502866419</v>
      </c>
      <c r="CZ159" s="60">
        <f t="shared" si="150"/>
        <v>190.4880882944471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-9.6633812063373625E-13</v>
      </c>
      <c r="DP159" s="18">
        <f>DO159*VLOOKUP('Données projet'!$B$14,Paramètres!$A$1:$I$89,3,0)*VLOOKUP('Données projet'!$B$14,Paramètres!$A$1:$I$89,5,0)</f>
        <v>-1.0401663530501537E-12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502.07782026233912</v>
      </c>
      <c r="DU159" s="60">
        <f t="shared" si="152"/>
        <v>285.83623046025156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-1.7053025658242404E-13</v>
      </c>
      <c r="EK159" s="18">
        <f>EJ159*VLOOKUP('Données projet'!$B$15,Paramètres!$A$1:$I$89,3,0)*VLOOKUP('Données projet'!$B$15,Paramètres!$A$1:$I$89,5,0)</f>
        <v>-1.4897523215040567E-13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339.58437495284466</v>
      </c>
      <c r="EP159" s="60">
        <f t="shared" si="154"/>
        <v>371.26234252426531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-9.6633812063373625E-13</v>
      </c>
      <c r="FF159" s="18">
        <f>FE159*VLOOKUP('Données projet'!$B$16,Paramètres!$A$1:$I$89,3,0)*VLOOKUP('Données projet'!$B$16,Paramètres!$A$1:$I$89,5,0)</f>
        <v>-9.3464223027694966E-13</v>
      </c>
      <c r="FG159" s="14" t="e">
        <f t="shared" si="182"/>
        <v>#NUM!</v>
      </c>
      <c r="FH159" s="22" t="e">
        <f t="shared" si="183"/>
        <v>#NUM!</v>
      </c>
      <c r="FI159" s="60" t="e">
        <f t="shared" si="131"/>
        <v>#NUM!</v>
      </c>
      <c r="FJ159" s="60">
        <f ca="1">AVERAGE(OFFSET($FI$3,0,0,'Données projet'!$E$16+1,1))-AVERAGE(OFFSET($H$3,0,0,'Données projet'!$E$16+1,1))</f>
        <v>455.50822833641354</v>
      </c>
      <c r="FK159" s="60">
        <f t="shared" si="156"/>
        <v>261.14722581688039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-9.7986685432260874E-13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475.47920969424894</v>
      </c>
      <c r="T160" s="60">
        <f t="shared" si="142"/>
        <v>271.73544012419364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-2.8421709430404007E-13</v>
      </c>
      <c r="AJ160" s="14">
        <f>AI160*VLOOKUP('Données projet'!$B$10,Paramètres!$A$1:$I$89,3,0)*VLOOKUP('Données projet'!$B$10,Paramètres!$A$1:$I$89,5,0)</f>
        <v>-1.69961822393816E-13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289.24721145176682</v>
      </c>
      <c r="AO160" s="60">
        <f t="shared" si="144"/>
        <v>229.06617320689003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6.7028228854917563E-2</v>
      </c>
      <c r="AW160" s="23">
        <f>EXP(-LN(2)/2)*AW159+(1-EXP(-LN(2)/2))/(LN(2)/2)*AQ160*AT160*VLOOKUP('Données projet'!$B$10,Paramètres!$A$1:$I$89,3,0)*0.475*44/12</f>
        <v>3.3989299919766636E-19</v>
      </c>
      <c r="AX160" s="23">
        <f t="shared" si="166"/>
        <v>6.7028228854917563E-2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5.6843418860808015E-14</v>
      </c>
      <c r="BE160" s="14">
        <f>BD160*VLOOKUP('Données projet'!$B$11,Paramètres!$A$1:$I$89,3,0)*VLOOKUP('Données projet'!$B$11,Paramètres!$A$1:$I$89,5,0)</f>
        <v>3.3992364478763198E-14</v>
      </c>
      <c r="BF160" s="14">
        <f t="shared" si="167"/>
        <v>5.790027782444094E-13</v>
      </c>
      <c r="BG160" s="22">
        <f t="shared" si="168"/>
        <v>1.0676332069095257E-12</v>
      </c>
      <c r="BH160" s="60">
        <f t="shared" si="116"/>
        <v>293.33333333333439</v>
      </c>
      <c r="BI160" s="60">
        <f ca="1">AVERAGE(OFFSET($BH$3,0,0,'Données projet'!$E$11+1,1))-AVERAGE(OFFSET($H$3,0,0,'Données projet'!$E$11+1,1))</f>
        <v>287.91374663515506</v>
      </c>
      <c r="BJ160" s="60">
        <f t="shared" si="146"/>
        <v>217.76240797006147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-9.6633812063373625E-13</v>
      </c>
      <c r="BZ160" s="14">
        <f>BY160*VLOOKUP('Données projet'!$B$12,Paramètres!$A$1:$I$89,3,0)*VLOOKUP('Données projet'!$B$12,Paramètres!$A$1:$I$89,5,0)</f>
        <v>-8.7434273154940449E-13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428.8489304403459</v>
      </c>
      <c r="CE160" s="60">
        <f t="shared" si="148"/>
        <v>247.01165577562966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-2.6602720026858149E-14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284.88646502866419</v>
      </c>
      <c r="CZ160" s="60">
        <f t="shared" si="150"/>
        <v>190.4880882944471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-9.6633812063373625E-13</v>
      </c>
      <c r="DP160" s="18">
        <f>DO160*VLOOKUP('Données projet'!$B$14,Paramètres!$A$1:$I$89,3,0)*VLOOKUP('Données projet'!$B$14,Paramètres!$A$1:$I$89,5,0)</f>
        <v>-1.0401663530501537E-12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502.07782026233912</v>
      </c>
      <c r="DU160" s="60">
        <f t="shared" si="152"/>
        <v>285.83623046025156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-1.7053025658242404E-13</v>
      </c>
      <c r="EK160" s="18">
        <f>EJ160*VLOOKUP('Données projet'!$B$15,Paramètres!$A$1:$I$89,3,0)*VLOOKUP('Données projet'!$B$15,Paramètres!$A$1:$I$89,5,0)</f>
        <v>-1.4897523215040567E-13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339.58437495284466</v>
      </c>
      <c r="EP160" s="60">
        <f t="shared" si="154"/>
        <v>371.26234252426531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-9.6633812063373625E-13</v>
      </c>
      <c r="FF160" s="18">
        <f>FE160*VLOOKUP('Données projet'!$B$16,Paramètres!$A$1:$I$89,3,0)*VLOOKUP('Données projet'!$B$16,Paramètres!$A$1:$I$89,5,0)</f>
        <v>-9.3464223027694966E-13</v>
      </c>
      <c r="FG160" s="14" t="e">
        <f t="shared" si="182"/>
        <v>#NUM!</v>
      </c>
      <c r="FH160" s="22" t="e">
        <f t="shared" si="183"/>
        <v>#NUM!</v>
      </c>
      <c r="FI160" s="60" t="e">
        <f t="shared" si="131"/>
        <v>#NUM!</v>
      </c>
      <c r="FJ160" s="60">
        <f ca="1">AVERAGE(OFFSET($FI$3,0,0,'Données projet'!$E$16+1,1))-AVERAGE(OFFSET($H$3,0,0,'Données projet'!$E$16+1,1))</f>
        <v>455.50822833641354</v>
      </c>
      <c r="FK160" s="60">
        <f t="shared" si="156"/>
        <v>261.14722581688039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-9.7986685432260874E-13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475.47920969424894</v>
      </c>
      <c r="T161" s="60">
        <f t="shared" si="142"/>
        <v>271.73544012419364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-2.8421709430404007E-13</v>
      </c>
      <c r="AJ161" s="14">
        <f>AI161*VLOOKUP('Données projet'!$B$10,Paramètres!$A$1:$I$89,3,0)*VLOOKUP('Données projet'!$B$10,Paramètres!$A$1:$I$89,5,0)</f>
        <v>-1.69961822393816E-13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289.24721145176682</v>
      </c>
      <c r="AO161" s="60">
        <f t="shared" si="144"/>
        <v>229.06617320689003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6.519533841201848E-2</v>
      </c>
      <c r="AW161" s="23">
        <f>EXP(-LN(2)/2)*AW160+(1-EXP(-LN(2)/2))/(LN(2)/2)*AQ161*AT161*VLOOKUP('Données projet'!$B$10,Paramètres!$A$1:$I$89,3,0)*0.475*44/12</f>
        <v>2.4034064461050364E-19</v>
      </c>
      <c r="AX161" s="23">
        <f t="shared" si="166"/>
        <v>6.519533841201848E-2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5.6843418860808015E-14</v>
      </c>
      <c r="BE161" s="14">
        <f>BD161*VLOOKUP('Données projet'!$B$11,Paramètres!$A$1:$I$89,3,0)*VLOOKUP('Données projet'!$B$11,Paramètres!$A$1:$I$89,5,0)</f>
        <v>3.3992364478763198E-14</v>
      </c>
      <c r="BF161" s="14">
        <f t="shared" si="167"/>
        <v>5.790027782444094E-13</v>
      </c>
      <c r="BG161" s="22">
        <f t="shared" si="168"/>
        <v>1.0676332069095257E-12</v>
      </c>
      <c r="BH161" s="60">
        <f t="shared" si="116"/>
        <v>293.33333333333439</v>
      </c>
      <c r="BI161" s="60">
        <f ca="1">AVERAGE(OFFSET($BH$3,0,0,'Données projet'!$E$11+1,1))-AVERAGE(OFFSET($H$3,0,0,'Données projet'!$E$11+1,1))</f>
        <v>287.91374663515506</v>
      </c>
      <c r="BJ161" s="60">
        <f t="shared" si="146"/>
        <v>217.76240797006147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-9.6633812063373625E-13</v>
      </c>
      <c r="BZ161" s="14">
        <f>BY161*VLOOKUP('Données projet'!$B$12,Paramètres!$A$1:$I$89,3,0)*VLOOKUP('Données projet'!$B$12,Paramètres!$A$1:$I$89,5,0)</f>
        <v>-8.7434273154940449E-13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428.8489304403459</v>
      </c>
      <c r="CE161" s="60">
        <f t="shared" si="148"/>
        <v>247.01165577562966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-2.6602720026858149E-14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284.88646502866419</v>
      </c>
      <c r="CZ161" s="60">
        <f t="shared" si="150"/>
        <v>190.4880882944471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-9.6633812063373625E-13</v>
      </c>
      <c r="DP161" s="18">
        <f>DO161*VLOOKUP('Données projet'!$B$14,Paramètres!$A$1:$I$89,3,0)*VLOOKUP('Données projet'!$B$14,Paramètres!$A$1:$I$89,5,0)</f>
        <v>-1.0401663530501537E-12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502.07782026233912</v>
      </c>
      <c r="DU161" s="60">
        <f t="shared" si="152"/>
        <v>285.83623046025156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-1.7053025658242404E-13</v>
      </c>
      <c r="EK161" s="18">
        <f>EJ161*VLOOKUP('Données projet'!$B$15,Paramètres!$A$1:$I$89,3,0)*VLOOKUP('Données projet'!$B$15,Paramètres!$A$1:$I$89,5,0)</f>
        <v>-1.4897523215040567E-13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339.58437495284466</v>
      </c>
      <c r="EP161" s="60">
        <f t="shared" si="154"/>
        <v>371.26234252426531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-9.6633812063373625E-13</v>
      </c>
      <c r="FF161" s="18">
        <f>FE161*VLOOKUP('Données projet'!$B$16,Paramètres!$A$1:$I$89,3,0)*VLOOKUP('Données projet'!$B$16,Paramètres!$A$1:$I$89,5,0)</f>
        <v>-9.3464223027694966E-13</v>
      </c>
      <c r="FG161" s="14" t="e">
        <f t="shared" si="182"/>
        <v>#NUM!</v>
      </c>
      <c r="FH161" s="22" t="e">
        <f t="shared" si="183"/>
        <v>#NUM!</v>
      </c>
      <c r="FI161" s="60" t="e">
        <f t="shared" si="131"/>
        <v>#NUM!</v>
      </c>
      <c r="FJ161" s="60">
        <f ca="1">AVERAGE(OFFSET($FI$3,0,0,'Données projet'!$E$16+1,1))-AVERAGE(OFFSET($H$3,0,0,'Données projet'!$E$16+1,1))</f>
        <v>455.50822833641354</v>
      </c>
      <c r="FK161" s="60">
        <f t="shared" si="156"/>
        <v>261.14722581688039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-9.7986685432260874E-13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475.47920969424894</v>
      </c>
      <c r="T162" s="60">
        <f t="shared" si="142"/>
        <v>271.73544012419364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-2.8421709430404007E-13</v>
      </c>
      <c r="AJ162" s="14">
        <f>AI162*VLOOKUP('Données projet'!$B$10,Paramètres!$A$1:$I$89,3,0)*VLOOKUP('Données projet'!$B$10,Paramètres!$A$1:$I$89,5,0)</f>
        <v>-1.69961822393816E-13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289.24721145176682</v>
      </c>
      <c r="AO162" s="60">
        <f t="shared" si="144"/>
        <v>229.06617320689003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6.3412568454668E-2</v>
      </c>
      <c r="AW162" s="23">
        <f>EXP(-LN(2)/2)*AW161+(1-EXP(-LN(2)/2))/(LN(2)/2)*AQ162*AT162*VLOOKUP('Données projet'!$B$10,Paramètres!$A$1:$I$89,3,0)*0.475*44/12</f>
        <v>1.6994649959883318E-19</v>
      </c>
      <c r="AX162" s="23">
        <f t="shared" si="166"/>
        <v>6.3412568454668E-2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5.6843418860808015E-14</v>
      </c>
      <c r="BE162" s="14">
        <f>BD162*VLOOKUP('Données projet'!$B$11,Paramètres!$A$1:$I$89,3,0)*VLOOKUP('Données projet'!$B$11,Paramètres!$A$1:$I$89,5,0)</f>
        <v>3.3992364478763198E-14</v>
      </c>
      <c r="BF162" s="14">
        <f t="shared" si="167"/>
        <v>5.790027782444094E-13</v>
      </c>
      <c r="BG162" s="22">
        <f t="shared" si="168"/>
        <v>1.0676332069095257E-12</v>
      </c>
      <c r="BH162" s="60">
        <f t="shared" si="116"/>
        <v>293.33333333333439</v>
      </c>
      <c r="BI162" s="60">
        <f ca="1">AVERAGE(OFFSET($BH$3,0,0,'Données projet'!$E$11+1,1))-AVERAGE(OFFSET($H$3,0,0,'Données projet'!$E$11+1,1))</f>
        <v>287.91374663515506</v>
      </c>
      <c r="BJ162" s="60">
        <f t="shared" si="146"/>
        <v>217.76240797006147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-9.6633812063373625E-13</v>
      </c>
      <c r="BZ162" s="14">
        <f>BY162*VLOOKUP('Données projet'!$B$12,Paramètres!$A$1:$I$89,3,0)*VLOOKUP('Données projet'!$B$12,Paramètres!$A$1:$I$89,5,0)</f>
        <v>-8.7434273154940449E-13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428.8489304403459</v>
      </c>
      <c r="CE162" s="60">
        <f t="shared" si="148"/>
        <v>247.01165577562966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-2.6602720026858149E-14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284.88646502866419</v>
      </c>
      <c r="CZ162" s="60">
        <f t="shared" si="150"/>
        <v>190.4880882944471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-9.6633812063373625E-13</v>
      </c>
      <c r="DP162" s="18">
        <f>DO162*VLOOKUP('Données projet'!$B$14,Paramètres!$A$1:$I$89,3,0)*VLOOKUP('Données projet'!$B$14,Paramètres!$A$1:$I$89,5,0)</f>
        <v>-1.0401663530501537E-12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502.07782026233912</v>
      </c>
      <c r="DU162" s="60">
        <f t="shared" si="152"/>
        <v>285.83623046025156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-1.7053025658242404E-13</v>
      </c>
      <c r="EK162" s="18">
        <f>EJ162*VLOOKUP('Données projet'!$B$15,Paramètres!$A$1:$I$89,3,0)*VLOOKUP('Données projet'!$B$15,Paramètres!$A$1:$I$89,5,0)</f>
        <v>-1.4897523215040567E-13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339.58437495284466</v>
      </c>
      <c r="EP162" s="60">
        <f t="shared" si="154"/>
        <v>371.26234252426531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-9.6633812063373625E-13</v>
      </c>
      <c r="FF162" s="18">
        <f>FE162*VLOOKUP('Données projet'!$B$16,Paramètres!$A$1:$I$89,3,0)*VLOOKUP('Données projet'!$B$16,Paramètres!$A$1:$I$89,5,0)</f>
        <v>-9.3464223027694966E-13</v>
      </c>
      <c r="FG162" s="14" t="e">
        <f t="shared" si="182"/>
        <v>#NUM!</v>
      </c>
      <c r="FH162" s="22" t="e">
        <f t="shared" si="183"/>
        <v>#NUM!</v>
      </c>
      <c r="FI162" s="60" t="e">
        <f t="shared" si="131"/>
        <v>#NUM!</v>
      </c>
      <c r="FJ162" s="60">
        <f ca="1">AVERAGE(OFFSET($FI$3,0,0,'Données projet'!$E$16+1,1))-AVERAGE(OFFSET($H$3,0,0,'Données projet'!$E$16+1,1))</f>
        <v>455.50822833641354</v>
      </c>
      <c r="FK162" s="60">
        <f t="shared" si="156"/>
        <v>261.14722581688039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-9.7986685432260874E-13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475.47920969424894</v>
      </c>
      <c r="T163" s="60">
        <f t="shared" si="142"/>
        <v>271.73544012419364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-2.8421709430404007E-13</v>
      </c>
      <c r="AJ163" s="14">
        <f>AI163*VLOOKUP('Données projet'!$B$10,Paramètres!$A$1:$I$89,3,0)*VLOOKUP('Données projet'!$B$10,Paramètres!$A$1:$I$89,5,0)</f>
        <v>-1.69961822393816E-13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289.24721145176682</v>
      </c>
      <c r="AO163" s="60">
        <f t="shared" si="144"/>
        <v>229.06617320689003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6.1678548435553059E-2</v>
      </c>
      <c r="AW163" s="23">
        <f>EXP(-LN(2)/2)*AW162+(1-EXP(-LN(2)/2))/(LN(2)/2)*AQ163*AT163*VLOOKUP('Données projet'!$B$10,Paramètres!$A$1:$I$89,3,0)*0.475*44/12</f>
        <v>1.2017032230525182E-19</v>
      </c>
      <c r="AX163" s="23">
        <f t="shared" si="166"/>
        <v>6.1678548435553059E-2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5.6843418860808015E-14</v>
      </c>
      <c r="BE163" s="14">
        <f>BD163*VLOOKUP('Données projet'!$B$11,Paramètres!$A$1:$I$89,3,0)*VLOOKUP('Données projet'!$B$11,Paramètres!$A$1:$I$89,5,0)</f>
        <v>3.3992364478763198E-14</v>
      </c>
      <c r="BF163" s="14">
        <f t="shared" si="167"/>
        <v>5.790027782444094E-13</v>
      </c>
      <c r="BG163" s="22">
        <f t="shared" si="168"/>
        <v>1.0676332069095257E-12</v>
      </c>
      <c r="BH163" s="60">
        <f t="shared" si="116"/>
        <v>293.33333333333439</v>
      </c>
      <c r="BI163" s="60">
        <f ca="1">AVERAGE(OFFSET($BH$3,0,0,'Données projet'!$E$11+1,1))-AVERAGE(OFFSET($H$3,0,0,'Données projet'!$E$11+1,1))</f>
        <v>287.91374663515506</v>
      </c>
      <c r="BJ163" s="60">
        <f t="shared" si="146"/>
        <v>217.76240797006147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-9.6633812063373625E-13</v>
      </c>
      <c r="BZ163" s="14">
        <f>BY163*VLOOKUP('Données projet'!$B$12,Paramètres!$A$1:$I$89,3,0)*VLOOKUP('Données projet'!$B$12,Paramètres!$A$1:$I$89,5,0)</f>
        <v>-8.7434273154940449E-13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428.8489304403459</v>
      </c>
      <c r="CE163" s="60">
        <f t="shared" si="148"/>
        <v>247.01165577562966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-2.6602720026858149E-14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284.88646502866419</v>
      </c>
      <c r="CZ163" s="60">
        <f t="shared" si="150"/>
        <v>190.4880882944471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-9.6633812063373625E-13</v>
      </c>
      <c r="DP163" s="18">
        <f>DO163*VLOOKUP('Données projet'!$B$14,Paramètres!$A$1:$I$89,3,0)*VLOOKUP('Données projet'!$B$14,Paramètres!$A$1:$I$89,5,0)</f>
        <v>-1.0401663530501537E-12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502.07782026233912</v>
      </c>
      <c r="DU163" s="60">
        <f t="shared" si="152"/>
        <v>285.83623046025156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-1.7053025658242404E-13</v>
      </c>
      <c r="EK163" s="18">
        <f>EJ163*VLOOKUP('Données projet'!$B$15,Paramètres!$A$1:$I$89,3,0)*VLOOKUP('Données projet'!$B$15,Paramètres!$A$1:$I$89,5,0)</f>
        <v>-1.4897523215040567E-13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339.58437495284466</v>
      </c>
      <c r="EP163" s="60">
        <f t="shared" si="154"/>
        <v>371.26234252426531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-9.6633812063373625E-13</v>
      </c>
      <c r="FF163" s="18">
        <f>FE163*VLOOKUP('Données projet'!$B$16,Paramètres!$A$1:$I$89,3,0)*VLOOKUP('Données projet'!$B$16,Paramètres!$A$1:$I$89,5,0)</f>
        <v>-9.3464223027694966E-13</v>
      </c>
      <c r="FG163" s="14" t="e">
        <f t="shared" si="182"/>
        <v>#NUM!</v>
      </c>
      <c r="FH163" s="22" t="e">
        <f t="shared" si="183"/>
        <v>#NUM!</v>
      </c>
      <c r="FI163" s="60" t="e">
        <f t="shared" si="131"/>
        <v>#NUM!</v>
      </c>
      <c r="FJ163" s="60">
        <f ca="1">AVERAGE(OFFSET($FI$3,0,0,'Données projet'!$E$16+1,1))-AVERAGE(OFFSET($H$3,0,0,'Données projet'!$E$16+1,1))</f>
        <v>455.50822833641354</v>
      </c>
      <c r="FK163" s="60">
        <f t="shared" si="156"/>
        <v>261.14722581688039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-9.7986685432260874E-13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475.47920969424894</v>
      </c>
      <c r="T164" s="60">
        <f t="shared" si="142"/>
        <v>271.73544012419364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-2.8421709430404007E-13</v>
      </c>
      <c r="AJ164" s="14">
        <f>AI164*VLOOKUP('Données projet'!$B$10,Paramètres!$A$1:$I$89,3,0)*VLOOKUP('Données projet'!$B$10,Paramètres!$A$1:$I$89,5,0)</f>
        <v>-1.69961822393816E-13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289.24721145176682</v>
      </c>
      <c r="AO164" s="60">
        <f t="shared" si="144"/>
        <v>229.06617320689003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5.9991945285048968E-2</v>
      </c>
      <c r="AW164" s="23">
        <f>EXP(-LN(2)/2)*AW163+(1-EXP(-LN(2)/2))/(LN(2)/2)*AQ164*AT164*VLOOKUP('Données projet'!$B$10,Paramètres!$A$1:$I$89,3,0)*0.475*44/12</f>
        <v>8.4973249799416591E-20</v>
      </c>
      <c r="AX164" s="23">
        <f t="shared" si="166"/>
        <v>5.9991945285048968E-2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5.6843418860808015E-14</v>
      </c>
      <c r="BE164" s="14">
        <f>BD164*VLOOKUP('Données projet'!$B$11,Paramètres!$A$1:$I$89,3,0)*VLOOKUP('Données projet'!$B$11,Paramètres!$A$1:$I$89,5,0)</f>
        <v>3.3992364478763198E-14</v>
      </c>
      <c r="BF164" s="14">
        <f t="shared" si="167"/>
        <v>5.790027782444094E-13</v>
      </c>
      <c r="BG164" s="22">
        <f t="shared" si="168"/>
        <v>1.0676332069095257E-12</v>
      </c>
      <c r="BH164" s="60">
        <f t="shared" si="116"/>
        <v>293.33333333333439</v>
      </c>
      <c r="BI164" s="60">
        <f ca="1">AVERAGE(OFFSET($BH$3,0,0,'Données projet'!$E$11+1,1))-AVERAGE(OFFSET($H$3,0,0,'Données projet'!$E$11+1,1))</f>
        <v>287.91374663515506</v>
      </c>
      <c r="BJ164" s="60">
        <f t="shared" si="146"/>
        <v>217.76240797006147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-9.6633812063373625E-13</v>
      </c>
      <c r="BZ164" s="14">
        <f>BY164*VLOOKUP('Données projet'!$B$12,Paramètres!$A$1:$I$89,3,0)*VLOOKUP('Données projet'!$B$12,Paramètres!$A$1:$I$89,5,0)</f>
        <v>-8.7434273154940449E-13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428.8489304403459</v>
      </c>
      <c r="CE164" s="60">
        <f t="shared" si="148"/>
        <v>247.01165577562966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-2.6602720026858149E-14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284.88646502866419</v>
      </c>
      <c r="CZ164" s="60">
        <f t="shared" si="150"/>
        <v>190.4880882944471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-9.6633812063373625E-13</v>
      </c>
      <c r="DP164" s="18">
        <f>DO164*VLOOKUP('Données projet'!$B$14,Paramètres!$A$1:$I$89,3,0)*VLOOKUP('Données projet'!$B$14,Paramètres!$A$1:$I$89,5,0)</f>
        <v>-1.0401663530501537E-12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502.07782026233912</v>
      </c>
      <c r="DU164" s="60">
        <f t="shared" si="152"/>
        <v>285.83623046025156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-1.7053025658242404E-13</v>
      </c>
      <c r="EK164" s="18">
        <f>EJ164*VLOOKUP('Données projet'!$B$15,Paramètres!$A$1:$I$89,3,0)*VLOOKUP('Données projet'!$B$15,Paramètres!$A$1:$I$89,5,0)</f>
        <v>-1.4897523215040567E-13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339.58437495284466</v>
      </c>
      <c r="EP164" s="60">
        <f t="shared" si="154"/>
        <v>371.26234252426531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-9.6633812063373625E-13</v>
      </c>
      <c r="FF164" s="18">
        <f>FE164*VLOOKUP('Données projet'!$B$16,Paramètres!$A$1:$I$89,3,0)*VLOOKUP('Données projet'!$B$16,Paramètres!$A$1:$I$89,5,0)</f>
        <v>-9.3464223027694966E-13</v>
      </c>
      <c r="FG164" s="14" t="e">
        <f t="shared" si="182"/>
        <v>#NUM!</v>
      </c>
      <c r="FH164" s="22" t="e">
        <f t="shared" si="183"/>
        <v>#NUM!</v>
      </c>
      <c r="FI164" s="60" t="e">
        <f t="shared" si="131"/>
        <v>#NUM!</v>
      </c>
      <c r="FJ164" s="60">
        <f ca="1">AVERAGE(OFFSET($FI$3,0,0,'Données projet'!$E$16+1,1))-AVERAGE(OFFSET($H$3,0,0,'Données projet'!$E$16+1,1))</f>
        <v>455.50822833641354</v>
      </c>
      <c r="FK164" s="60">
        <f t="shared" si="156"/>
        <v>261.14722581688039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-9.7986685432260874E-13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475.47920969424894</v>
      </c>
      <c r="T165" s="60">
        <f t="shared" si="142"/>
        <v>271.73544012419364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-2.8421709430404007E-13</v>
      </c>
      <c r="AJ165" s="14">
        <f>AI165*VLOOKUP('Données projet'!$B$10,Paramètres!$A$1:$I$89,3,0)*VLOOKUP('Données projet'!$B$10,Paramètres!$A$1:$I$89,5,0)</f>
        <v>-1.69961822393816E-13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289.24721145176682</v>
      </c>
      <c r="AO165" s="60">
        <f t="shared" si="144"/>
        <v>229.06617320689003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5.8351462386390017E-2</v>
      </c>
      <c r="AW165" s="23">
        <f>EXP(-LN(2)/2)*AW164+(1-EXP(-LN(2)/2))/(LN(2)/2)*AQ165*AT165*VLOOKUP('Données projet'!$B$10,Paramètres!$A$1:$I$89,3,0)*0.475*44/12</f>
        <v>6.008516115262591E-20</v>
      </c>
      <c r="AX165" s="23">
        <f t="shared" si="166"/>
        <v>5.8351462386390017E-2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5.6843418860808015E-14</v>
      </c>
      <c r="BE165" s="14">
        <f>BD165*VLOOKUP('Données projet'!$B$11,Paramètres!$A$1:$I$89,3,0)*VLOOKUP('Données projet'!$B$11,Paramètres!$A$1:$I$89,5,0)</f>
        <v>3.3992364478763198E-14</v>
      </c>
      <c r="BF165" s="14">
        <f t="shared" si="167"/>
        <v>5.790027782444094E-13</v>
      </c>
      <c r="BG165" s="22">
        <f t="shared" si="168"/>
        <v>1.0676332069095257E-12</v>
      </c>
      <c r="BH165" s="60">
        <f t="shared" si="116"/>
        <v>293.33333333333439</v>
      </c>
      <c r="BI165" s="60">
        <f ca="1">AVERAGE(OFFSET($BH$3,0,0,'Données projet'!$E$11+1,1))-AVERAGE(OFFSET($H$3,0,0,'Données projet'!$E$11+1,1))</f>
        <v>287.91374663515506</v>
      </c>
      <c r="BJ165" s="60">
        <f t="shared" si="146"/>
        <v>217.76240797006147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-9.6633812063373625E-13</v>
      </c>
      <c r="BZ165" s="14">
        <f>BY165*VLOOKUP('Données projet'!$B$12,Paramètres!$A$1:$I$89,3,0)*VLOOKUP('Données projet'!$B$12,Paramètres!$A$1:$I$89,5,0)</f>
        <v>-8.7434273154940449E-13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428.8489304403459</v>
      </c>
      <c r="CE165" s="60">
        <f t="shared" si="148"/>
        <v>247.01165577562966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-2.6602720026858149E-14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284.88646502866419</v>
      </c>
      <c r="CZ165" s="60">
        <f t="shared" si="150"/>
        <v>190.4880882944471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-9.6633812063373625E-13</v>
      </c>
      <c r="DP165" s="18">
        <f>DO165*VLOOKUP('Données projet'!$B$14,Paramètres!$A$1:$I$89,3,0)*VLOOKUP('Données projet'!$B$14,Paramètres!$A$1:$I$89,5,0)</f>
        <v>-1.0401663530501537E-12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502.07782026233912</v>
      </c>
      <c r="DU165" s="60">
        <f t="shared" si="152"/>
        <v>285.83623046025156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-1.7053025658242404E-13</v>
      </c>
      <c r="EK165" s="18">
        <f>EJ165*VLOOKUP('Données projet'!$B$15,Paramètres!$A$1:$I$89,3,0)*VLOOKUP('Données projet'!$B$15,Paramètres!$A$1:$I$89,5,0)</f>
        <v>-1.4897523215040567E-13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339.58437495284466</v>
      </c>
      <c r="EP165" s="60">
        <f t="shared" si="154"/>
        <v>371.26234252426531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-9.6633812063373625E-13</v>
      </c>
      <c r="FF165" s="18">
        <f>FE165*VLOOKUP('Données projet'!$B$16,Paramètres!$A$1:$I$89,3,0)*VLOOKUP('Données projet'!$B$16,Paramètres!$A$1:$I$89,5,0)</f>
        <v>-9.3464223027694966E-13</v>
      </c>
      <c r="FG165" s="14" t="e">
        <f t="shared" si="182"/>
        <v>#NUM!</v>
      </c>
      <c r="FH165" s="22" t="e">
        <f t="shared" si="183"/>
        <v>#NUM!</v>
      </c>
      <c r="FI165" s="60" t="e">
        <f t="shared" si="131"/>
        <v>#NUM!</v>
      </c>
      <c r="FJ165" s="60">
        <f ca="1">AVERAGE(OFFSET($FI$3,0,0,'Données projet'!$E$16+1,1))-AVERAGE(OFFSET($H$3,0,0,'Données projet'!$E$16+1,1))</f>
        <v>455.50822833641354</v>
      </c>
      <c r="FK165" s="60">
        <f t="shared" si="156"/>
        <v>261.14722581688039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-9.7986685432260874E-13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475.47920969424894</v>
      </c>
      <c r="T166" s="60">
        <f t="shared" si="142"/>
        <v>271.73544012419364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-2.8421709430404007E-13</v>
      </c>
      <c r="AJ166" s="14">
        <f>AI166*VLOOKUP('Données projet'!$B$10,Paramètres!$A$1:$I$89,3,0)*VLOOKUP('Données projet'!$B$10,Paramètres!$A$1:$I$89,5,0)</f>
        <v>-1.69961822393816E-13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289.24721145176682</v>
      </c>
      <c r="AO166" s="60">
        <f t="shared" si="144"/>
        <v>229.06617320689003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5.675583857886414E-2</v>
      </c>
      <c r="AW166" s="23">
        <f>EXP(-LN(2)/2)*AW165+(1-EXP(-LN(2)/2))/(LN(2)/2)*AQ166*AT166*VLOOKUP('Données projet'!$B$10,Paramètres!$A$1:$I$89,3,0)*0.475*44/12</f>
        <v>4.2486624899708296E-20</v>
      </c>
      <c r="AX166" s="23">
        <f t="shared" si="166"/>
        <v>5.675583857886414E-2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5.6843418860808015E-14</v>
      </c>
      <c r="BE166" s="14">
        <f>BD166*VLOOKUP('Données projet'!$B$11,Paramètres!$A$1:$I$89,3,0)*VLOOKUP('Données projet'!$B$11,Paramètres!$A$1:$I$89,5,0)</f>
        <v>3.3992364478763198E-14</v>
      </c>
      <c r="BF166" s="14">
        <f t="shared" si="167"/>
        <v>5.790027782444094E-13</v>
      </c>
      <c r="BG166" s="22">
        <f t="shared" si="168"/>
        <v>1.0676332069095257E-12</v>
      </c>
      <c r="BH166" s="60">
        <f t="shared" si="116"/>
        <v>293.33333333333439</v>
      </c>
      <c r="BI166" s="60">
        <f ca="1">AVERAGE(OFFSET($BH$3,0,0,'Données projet'!$E$11+1,1))-AVERAGE(OFFSET($H$3,0,0,'Données projet'!$E$11+1,1))</f>
        <v>287.91374663515506</v>
      </c>
      <c r="BJ166" s="60">
        <f t="shared" si="146"/>
        <v>217.76240797006147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-9.6633812063373625E-13</v>
      </c>
      <c r="BZ166" s="14">
        <f>BY166*VLOOKUP('Données projet'!$B$12,Paramètres!$A$1:$I$89,3,0)*VLOOKUP('Données projet'!$B$12,Paramètres!$A$1:$I$89,5,0)</f>
        <v>-8.7434273154940449E-13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428.8489304403459</v>
      </c>
      <c r="CE166" s="60">
        <f t="shared" si="148"/>
        <v>247.01165577562966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-2.6602720026858149E-14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284.88646502866419</v>
      </c>
      <c r="CZ166" s="60">
        <f t="shared" si="150"/>
        <v>190.4880882944471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-9.6633812063373625E-13</v>
      </c>
      <c r="DP166" s="18">
        <f>DO166*VLOOKUP('Données projet'!$B$14,Paramètres!$A$1:$I$89,3,0)*VLOOKUP('Données projet'!$B$14,Paramètres!$A$1:$I$89,5,0)</f>
        <v>-1.0401663530501537E-12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502.07782026233912</v>
      </c>
      <c r="DU166" s="60">
        <f t="shared" si="152"/>
        <v>285.83623046025156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-1.7053025658242404E-13</v>
      </c>
      <c r="EK166" s="18">
        <f>EJ166*VLOOKUP('Données projet'!$B$15,Paramètres!$A$1:$I$89,3,0)*VLOOKUP('Données projet'!$B$15,Paramètres!$A$1:$I$89,5,0)</f>
        <v>-1.4897523215040567E-13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339.58437495284466</v>
      </c>
      <c r="EP166" s="60">
        <f t="shared" si="154"/>
        <v>371.26234252426531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-9.6633812063373625E-13</v>
      </c>
      <c r="FF166" s="18">
        <f>FE166*VLOOKUP('Données projet'!$B$16,Paramètres!$A$1:$I$89,3,0)*VLOOKUP('Données projet'!$B$16,Paramètres!$A$1:$I$89,5,0)</f>
        <v>-9.3464223027694966E-13</v>
      </c>
      <c r="FG166" s="14" t="e">
        <f t="shared" si="182"/>
        <v>#NUM!</v>
      </c>
      <c r="FH166" s="22" t="e">
        <f t="shared" si="183"/>
        <v>#NUM!</v>
      </c>
      <c r="FI166" s="60" t="e">
        <f t="shared" si="131"/>
        <v>#NUM!</v>
      </c>
      <c r="FJ166" s="60">
        <f ca="1">AVERAGE(OFFSET($FI$3,0,0,'Données projet'!$E$16+1,1))-AVERAGE(OFFSET($H$3,0,0,'Données projet'!$E$16+1,1))</f>
        <v>455.50822833641354</v>
      </c>
      <c r="FK166" s="60">
        <f t="shared" si="156"/>
        <v>261.14722581688039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-9.7986685432260874E-13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475.47920969424894</v>
      </c>
      <c r="T167" s="60">
        <f t="shared" si="142"/>
        <v>271.73544012419364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-2.8421709430404007E-13</v>
      </c>
      <c r="AJ167" s="14">
        <f>AI167*VLOOKUP('Données projet'!$B$10,Paramètres!$A$1:$I$89,3,0)*VLOOKUP('Données projet'!$B$10,Paramètres!$A$1:$I$89,5,0)</f>
        <v>-1.69961822393816E-13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289.24721145176682</v>
      </c>
      <c r="AO167" s="60">
        <f t="shared" si="144"/>
        <v>229.06617320689003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5.5203847188265265E-2</v>
      </c>
      <c r="AW167" s="23">
        <f>EXP(-LN(2)/2)*AW166+(1-EXP(-LN(2)/2))/(LN(2)/2)*AQ167*AT167*VLOOKUP('Données projet'!$B$10,Paramètres!$A$1:$I$89,3,0)*0.475*44/12</f>
        <v>3.0042580576312955E-20</v>
      </c>
      <c r="AX167" s="23">
        <f t="shared" si="166"/>
        <v>5.5203847188265265E-2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5.6843418860808015E-14</v>
      </c>
      <c r="BE167" s="14">
        <f>BD167*VLOOKUP('Données projet'!$B$11,Paramètres!$A$1:$I$89,3,0)*VLOOKUP('Données projet'!$B$11,Paramètres!$A$1:$I$89,5,0)</f>
        <v>3.3992364478763198E-14</v>
      </c>
      <c r="BF167" s="14">
        <f t="shared" si="167"/>
        <v>5.790027782444094E-13</v>
      </c>
      <c r="BG167" s="22">
        <f t="shared" si="168"/>
        <v>1.0676332069095257E-12</v>
      </c>
      <c r="BH167" s="60">
        <f t="shared" si="116"/>
        <v>293.33333333333439</v>
      </c>
      <c r="BI167" s="60">
        <f ca="1">AVERAGE(OFFSET($BH$3,0,0,'Données projet'!$E$11+1,1))-AVERAGE(OFFSET($H$3,0,0,'Données projet'!$E$11+1,1))</f>
        <v>287.91374663515506</v>
      </c>
      <c r="BJ167" s="60">
        <f t="shared" si="146"/>
        <v>217.76240797006147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-9.6633812063373625E-13</v>
      </c>
      <c r="BZ167" s="14">
        <f>BY167*VLOOKUP('Données projet'!$B$12,Paramètres!$A$1:$I$89,3,0)*VLOOKUP('Données projet'!$B$12,Paramètres!$A$1:$I$89,5,0)</f>
        <v>-8.7434273154940449E-13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428.8489304403459</v>
      </c>
      <c r="CE167" s="60">
        <f t="shared" si="148"/>
        <v>247.01165577562966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-2.6602720026858149E-14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284.88646502866419</v>
      </c>
      <c r="CZ167" s="60">
        <f t="shared" si="150"/>
        <v>190.4880882944471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-9.6633812063373625E-13</v>
      </c>
      <c r="DP167" s="18">
        <f>DO167*VLOOKUP('Données projet'!$B$14,Paramètres!$A$1:$I$89,3,0)*VLOOKUP('Données projet'!$B$14,Paramètres!$A$1:$I$89,5,0)</f>
        <v>-1.0401663530501537E-12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502.07782026233912</v>
      </c>
      <c r="DU167" s="60">
        <f t="shared" si="152"/>
        <v>285.83623046025156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-1.7053025658242404E-13</v>
      </c>
      <c r="EK167" s="18">
        <f>EJ167*VLOOKUP('Données projet'!$B$15,Paramètres!$A$1:$I$89,3,0)*VLOOKUP('Données projet'!$B$15,Paramètres!$A$1:$I$89,5,0)</f>
        <v>-1.4897523215040567E-13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339.58437495284466</v>
      </c>
      <c r="EP167" s="60">
        <f t="shared" si="154"/>
        <v>371.26234252426531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-9.6633812063373625E-13</v>
      </c>
      <c r="FF167" s="18">
        <f>FE167*VLOOKUP('Données projet'!$B$16,Paramètres!$A$1:$I$89,3,0)*VLOOKUP('Données projet'!$B$16,Paramètres!$A$1:$I$89,5,0)</f>
        <v>-9.3464223027694966E-13</v>
      </c>
      <c r="FG167" s="14" t="e">
        <f t="shared" si="182"/>
        <v>#NUM!</v>
      </c>
      <c r="FH167" s="22" t="e">
        <f t="shared" si="183"/>
        <v>#NUM!</v>
      </c>
      <c r="FI167" s="60" t="e">
        <f t="shared" si="131"/>
        <v>#NUM!</v>
      </c>
      <c r="FJ167" s="60">
        <f ca="1">AVERAGE(OFFSET($FI$3,0,0,'Données projet'!$E$16+1,1))-AVERAGE(OFFSET($H$3,0,0,'Données projet'!$E$16+1,1))</f>
        <v>455.50822833641354</v>
      </c>
      <c r="FK167" s="60">
        <f t="shared" si="156"/>
        <v>261.14722581688039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-9.7986685432260874E-13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475.47920969424894</v>
      </c>
      <c r="T168" s="60">
        <f t="shared" si="142"/>
        <v>271.73544012419364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-2.8421709430404007E-13</v>
      </c>
      <c r="AJ168" s="14">
        <f>AI168*VLOOKUP('Données projet'!$B$10,Paramètres!$A$1:$I$89,3,0)*VLOOKUP('Données projet'!$B$10,Paramètres!$A$1:$I$89,5,0)</f>
        <v>-1.69961822393816E-13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289.24721145176682</v>
      </c>
      <c r="AO168" s="60">
        <f t="shared" si="144"/>
        <v>229.06617320689003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5.3694295083858E-2</v>
      </c>
      <c r="AW168" s="23">
        <f>EXP(-LN(2)/2)*AW167+(1-EXP(-LN(2)/2))/(LN(2)/2)*AQ168*AT168*VLOOKUP('Données projet'!$B$10,Paramètres!$A$1:$I$89,3,0)*0.475*44/12</f>
        <v>2.1243312449854148E-20</v>
      </c>
      <c r="AX168" s="23">
        <f t="shared" si="166"/>
        <v>5.3694295083858E-2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5.6843418860808015E-14</v>
      </c>
      <c r="BE168" s="14">
        <f>BD168*VLOOKUP('Données projet'!$B$11,Paramètres!$A$1:$I$89,3,0)*VLOOKUP('Données projet'!$B$11,Paramètres!$A$1:$I$89,5,0)</f>
        <v>3.3992364478763198E-14</v>
      </c>
      <c r="BF168" s="14">
        <f t="shared" si="167"/>
        <v>5.790027782444094E-13</v>
      </c>
      <c r="BG168" s="22">
        <f t="shared" si="168"/>
        <v>1.0676332069095257E-12</v>
      </c>
      <c r="BH168" s="60">
        <f t="shared" si="116"/>
        <v>293.33333333333439</v>
      </c>
      <c r="BI168" s="60">
        <f ca="1">AVERAGE(OFFSET($BH$3,0,0,'Données projet'!$E$11+1,1))-AVERAGE(OFFSET($H$3,0,0,'Données projet'!$E$11+1,1))</f>
        <v>287.91374663515506</v>
      </c>
      <c r="BJ168" s="60">
        <f t="shared" si="146"/>
        <v>217.76240797006147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-9.6633812063373625E-13</v>
      </c>
      <c r="BZ168" s="14">
        <f>BY168*VLOOKUP('Données projet'!$B$12,Paramètres!$A$1:$I$89,3,0)*VLOOKUP('Données projet'!$B$12,Paramètres!$A$1:$I$89,5,0)</f>
        <v>-8.7434273154940449E-13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428.8489304403459</v>
      </c>
      <c r="CE168" s="60">
        <f t="shared" si="148"/>
        <v>247.01165577562966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-2.6602720026858149E-14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284.88646502866419</v>
      </c>
      <c r="CZ168" s="60">
        <f t="shared" si="150"/>
        <v>190.4880882944471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-9.6633812063373625E-13</v>
      </c>
      <c r="DP168" s="18">
        <f>DO168*VLOOKUP('Données projet'!$B$14,Paramètres!$A$1:$I$89,3,0)*VLOOKUP('Données projet'!$B$14,Paramètres!$A$1:$I$89,5,0)</f>
        <v>-1.0401663530501537E-12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502.07782026233912</v>
      </c>
      <c r="DU168" s="60">
        <f t="shared" si="152"/>
        <v>285.83623046025156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-1.7053025658242404E-13</v>
      </c>
      <c r="EK168" s="18">
        <f>EJ168*VLOOKUP('Données projet'!$B$15,Paramètres!$A$1:$I$89,3,0)*VLOOKUP('Données projet'!$B$15,Paramètres!$A$1:$I$89,5,0)</f>
        <v>-1.4897523215040567E-13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339.58437495284466</v>
      </c>
      <c r="EP168" s="60">
        <f t="shared" si="154"/>
        <v>371.26234252426531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-9.6633812063373625E-13</v>
      </c>
      <c r="FF168" s="18">
        <f>FE168*VLOOKUP('Données projet'!$B$16,Paramètres!$A$1:$I$89,3,0)*VLOOKUP('Données projet'!$B$16,Paramètres!$A$1:$I$89,5,0)</f>
        <v>-9.3464223027694966E-13</v>
      </c>
      <c r="FG168" s="14" t="e">
        <f t="shared" si="182"/>
        <v>#NUM!</v>
      </c>
      <c r="FH168" s="22" t="e">
        <f t="shared" si="183"/>
        <v>#NUM!</v>
      </c>
      <c r="FI168" s="60" t="e">
        <f t="shared" si="131"/>
        <v>#NUM!</v>
      </c>
      <c r="FJ168" s="60">
        <f ca="1">AVERAGE(OFFSET($FI$3,0,0,'Données projet'!$E$16+1,1))-AVERAGE(OFFSET($H$3,0,0,'Données projet'!$E$16+1,1))</f>
        <v>455.50822833641354</v>
      </c>
      <c r="FK168" s="60">
        <f t="shared" si="156"/>
        <v>261.14722581688039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-9.7986685432260874E-13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475.47920969424894</v>
      </c>
      <c r="T169" s="60">
        <f t="shared" si="142"/>
        <v>271.73544012419364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-2.8421709430404007E-13</v>
      </c>
      <c r="AJ169" s="14">
        <f>AI169*VLOOKUP('Données projet'!$B$10,Paramètres!$A$1:$I$89,3,0)*VLOOKUP('Données projet'!$B$10,Paramètres!$A$1:$I$89,5,0)</f>
        <v>-1.69961822393816E-13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289.24721145176682</v>
      </c>
      <c r="AO169" s="60">
        <f t="shared" si="144"/>
        <v>229.06617320689003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5.2226021761129643E-2</v>
      </c>
      <c r="AW169" s="23">
        <f>EXP(-LN(2)/2)*AW168+(1-EXP(-LN(2)/2))/(LN(2)/2)*AQ169*AT169*VLOOKUP('Données projet'!$B$10,Paramètres!$A$1:$I$89,3,0)*0.475*44/12</f>
        <v>1.5021290288156477E-20</v>
      </c>
      <c r="AX169" s="23">
        <f t="shared" si="166"/>
        <v>5.2226021761129643E-2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5.6843418860808015E-14</v>
      </c>
      <c r="BE169" s="14">
        <f>BD169*VLOOKUP('Données projet'!$B$11,Paramètres!$A$1:$I$89,3,0)*VLOOKUP('Données projet'!$B$11,Paramètres!$A$1:$I$89,5,0)</f>
        <v>3.3992364478763198E-14</v>
      </c>
      <c r="BF169" s="14">
        <f t="shared" si="167"/>
        <v>5.790027782444094E-13</v>
      </c>
      <c r="BG169" s="22">
        <f t="shared" si="168"/>
        <v>1.0676332069095257E-12</v>
      </c>
      <c r="BH169" s="60">
        <f t="shared" si="116"/>
        <v>293.33333333333439</v>
      </c>
      <c r="BI169" s="60">
        <f ca="1">AVERAGE(OFFSET($BH$3,0,0,'Données projet'!$E$11+1,1))-AVERAGE(OFFSET($H$3,0,0,'Données projet'!$E$11+1,1))</f>
        <v>287.91374663515506</v>
      </c>
      <c r="BJ169" s="60">
        <f t="shared" si="146"/>
        <v>217.76240797006147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-9.6633812063373625E-13</v>
      </c>
      <c r="BZ169" s="14">
        <f>BY169*VLOOKUP('Données projet'!$B$12,Paramètres!$A$1:$I$89,3,0)*VLOOKUP('Données projet'!$B$12,Paramètres!$A$1:$I$89,5,0)</f>
        <v>-8.7434273154940449E-13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428.8489304403459</v>
      </c>
      <c r="CE169" s="60">
        <f t="shared" si="148"/>
        <v>247.01165577562966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-2.6602720026858149E-14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284.88646502866419</v>
      </c>
      <c r="CZ169" s="60">
        <f t="shared" si="150"/>
        <v>190.4880882944471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-9.6633812063373625E-13</v>
      </c>
      <c r="DP169" s="18">
        <f>DO169*VLOOKUP('Données projet'!$B$14,Paramètres!$A$1:$I$89,3,0)*VLOOKUP('Données projet'!$B$14,Paramètres!$A$1:$I$89,5,0)</f>
        <v>-1.0401663530501537E-12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502.07782026233912</v>
      </c>
      <c r="DU169" s="60">
        <f t="shared" si="152"/>
        <v>285.83623046025156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-1.7053025658242404E-13</v>
      </c>
      <c r="EK169" s="18">
        <f>EJ169*VLOOKUP('Données projet'!$B$15,Paramètres!$A$1:$I$89,3,0)*VLOOKUP('Données projet'!$B$15,Paramètres!$A$1:$I$89,5,0)</f>
        <v>-1.4897523215040567E-13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339.58437495284466</v>
      </c>
      <c r="EP169" s="60">
        <f t="shared" si="154"/>
        <v>371.26234252426531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-9.6633812063373625E-13</v>
      </c>
      <c r="FF169" s="18">
        <f>FE169*VLOOKUP('Données projet'!$B$16,Paramètres!$A$1:$I$89,3,0)*VLOOKUP('Données projet'!$B$16,Paramètres!$A$1:$I$89,5,0)</f>
        <v>-9.3464223027694966E-13</v>
      </c>
      <c r="FG169" s="14" t="e">
        <f t="shared" si="182"/>
        <v>#NUM!</v>
      </c>
      <c r="FH169" s="22" t="e">
        <f t="shared" si="183"/>
        <v>#NUM!</v>
      </c>
      <c r="FI169" s="60" t="e">
        <f t="shared" si="131"/>
        <v>#NUM!</v>
      </c>
      <c r="FJ169" s="60">
        <f ca="1">AVERAGE(OFFSET($FI$3,0,0,'Données projet'!$E$16+1,1))-AVERAGE(OFFSET($H$3,0,0,'Données projet'!$E$16+1,1))</f>
        <v>455.50822833641354</v>
      </c>
      <c r="FK169" s="60">
        <f t="shared" si="156"/>
        <v>261.14722581688039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-9.7986685432260874E-13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475.47920969424894</v>
      </c>
      <c r="T170" s="60">
        <f t="shared" si="142"/>
        <v>271.73544012419364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-2.8421709430404007E-13</v>
      </c>
      <c r="AJ170" s="14">
        <f>AI170*VLOOKUP('Données projet'!$B$10,Paramètres!$A$1:$I$89,3,0)*VLOOKUP('Données projet'!$B$10,Paramètres!$A$1:$I$89,5,0)</f>
        <v>-1.69961822393816E-13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289.24721145176682</v>
      </c>
      <c r="AO170" s="60">
        <f t="shared" si="144"/>
        <v>229.06617320689003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5.0797898449624436E-2</v>
      </c>
      <c r="AW170" s="23">
        <f>EXP(-LN(2)/2)*AW169+(1-EXP(-LN(2)/2))/(LN(2)/2)*AQ170*AT170*VLOOKUP('Données projet'!$B$10,Paramètres!$A$1:$I$89,3,0)*0.475*44/12</f>
        <v>1.0621656224927074E-20</v>
      </c>
      <c r="AX170" s="23">
        <f t="shared" si="166"/>
        <v>5.0797898449624436E-2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5.6843418860808015E-14</v>
      </c>
      <c r="BE170" s="14">
        <f>BD170*VLOOKUP('Données projet'!$B$11,Paramètres!$A$1:$I$89,3,0)*VLOOKUP('Données projet'!$B$11,Paramètres!$A$1:$I$89,5,0)</f>
        <v>3.3992364478763198E-14</v>
      </c>
      <c r="BF170" s="14">
        <f t="shared" si="167"/>
        <v>5.790027782444094E-13</v>
      </c>
      <c r="BG170" s="22">
        <f t="shared" si="168"/>
        <v>1.0676332069095257E-12</v>
      </c>
      <c r="BH170" s="60">
        <f t="shared" si="116"/>
        <v>293.33333333333439</v>
      </c>
      <c r="BI170" s="60">
        <f ca="1">AVERAGE(OFFSET($BH$3,0,0,'Données projet'!$E$11+1,1))-AVERAGE(OFFSET($H$3,0,0,'Données projet'!$E$11+1,1))</f>
        <v>287.91374663515506</v>
      </c>
      <c r="BJ170" s="60">
        <f t="shared" si="146"/>
        <v>217.76240797006147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-9.6633812063373625E-13</v>
      </c>
      <c r="BZ170" s="14">
        <f>BY170*VLOOKUP('Données projet'!$B$12,Paramètres!$A$1:$I$89,3,0)*VLOOKUP('Données projet'!$B$12,Paramètres!$A$1:$I$89,5,0)</f>
        <v>-8.7434273154940449E-13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428.8489304403459</v>
      </c>
      <c r="CE170" s="60">
        <f t="shared" si="148"/>
        <v>247.01165577562966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-2.6602720026858149E-14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284.88646502866419</v>
      </c>
      <c r="CZ170" s="60">
        <f t="shared" si="150"/>
        <v>190.4880882944471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-9.6633812063373625E-13</v>
      </c>
      <c r="DP170" s="18">
        <f>DO170*VLOOKUP('Données projet'!$B$14,Paramètres!$A$1:$I$89,3,0)*VLOOKUP('Données projet'!$B$14,Paramètres!$A$1:$I$89,5,0)</f>
        <v>-1.0401663530501537E-12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502.07782026233912</v>
      </c>
      <c r="DU170" s="60">
        <f t="shared" si="152"/>
        <v>285.83623046025156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-1.7053025658242404E-13</v>
      </c>
      <c r="EK170" s="18">
        <f>EJ170*VLOOKUP('Données projet'!$B$15,Paramètres!$A$1:$I$89,3,0)*VLOOKUP('Données projet'!$B$15,Paramètres!$A$1:$I$89,5,0)</f>
        <v>-1.4897523215040567E-13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339.58437495284466</v>
      </c>
      <c r="EP170" s="60">
        <f t="shared" si="154"/>
        <v>371.26234252426531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-9.6633812063373625E-13</v>
      </c>
      <c r="FF170" s="18">
        <f>FE170*VLOOKUP('Données projet'!$B$16,Paramètres!$A$1:$I$89,3,0)*VLOOKUP('Données projet'!$B$16,Paramètres!$A$1:$I$89,5,0)</f>
        <v>-9.3464223027694966E-13</v>
      </c>
      <c r="FG170" s="14" t="e">
        <f t="shared" si="182"/>
        <v>#NUM!</v>
      </c>
      <c r="FH170" s="22" t="e">
        <f t="shared" si="183"/>
        <v>#NUM!</v>
      </c>
      <c r="FI170" s="60" t="e">
        <f t="shared" si="131"/>
        <v>#NUM!</v>
      </c>
      <c r="FJ170" s="60">
        <f ca="1">AVERAGE(OFFSET($FI$3,0,0,'Données projet'!$E$16+1,1))-AVERAGE(OFFSET($H$3,0,0,'Données projet'!$E$16+1,1))</f>
        <v>455.50822833641354</v>
      </c>
      <c r="FK170" s="60">
        <f t="shared" si="156"/>
        <v>261.14722581688039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-9.7986685432260874E-13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475.47920969424894</v>
      </c>
      <c r="T171" s="60">
        <f t="shared" si="142"/>
        <v>271.73544012419364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-2.8421709430404007E-13</v>
      </c>
      <c r="AJ171" s="14">
        <f>AI171*VLOOKUP('Données projet'!$B$10,Paramètres!$A$1:$I$89,3,0)*VLOOKUP('Données projet'!$B$10,Paramètres!$A$1:$I$89,5,0)</f>
        <v>-1.69961822393816E-13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289.24721145176682</v>
      </c>
      <c r="AO171" s="60">
        <f t="shared" si="144"/>
        <v>229.06617320689003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4.9408827245174078E-2</v>
      </c>
      <c r="AW171" s="23">
        <f>EXP(-LN(2)/2)*AW170+(1-EXP(-LN(2)/2))/(LN(2)/2)*AQ171*AT171*VLOOKUP('Données projet'!$B$10,Paramètres!$A$1:$I$89,3,0)*0.475*44/12</f>
        <v>7.5106451440782387E-21</v>
      </c>
      <c r="AX171" s="23">
        <f t="shared" si="166"/>
        <v>4.9408827245174078E-2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5.6843418860808015E-14</v>
      </c>
      <c r="BE171" s="14">
        <f>BD171*VLOOKUP('Données projet'!$B$11,Paramètres!$A$1:$I$89,3,0)*VLOOKUP('Données projet'!$B$11,Paramètres!$A$1:$I$89,5,0)</f>
        <v>3.3992364478763198E-14</v>
      </c>
      <c r="BF171" s="14">
        <f t="shared" si="167"/>
        <v>5.790027782444094E-13</v>
      </c>
      <c r="BG171" s="22">
        <f t="shared" si="168"/>
        <v>1.0676332069095257E-12</v>
      </c>
      <c r="BH171" s="60">
        <f t="shared" si="116"/>
        <v>293.33333333333439</v>
      </c>
      <c r="BI171" s="60">
        <f ca="1">AVERAGE(OFFSET($BH$3,0,0,'Données projet'!$E$11+1,1))-AVERAGE(OFFSET($H$3,0,0,'Données projet'!$E$11+1,1))</f>
        <v>287.91374663515506</v>
      </c>
      <c r="BJ171" s="60">
        <f t="shared" si="146"/>
        <v>217.76240797006147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-9.6633812063373625E-13</v>
      </c>
      <c r="BZ171" s="14">
        <f>BY171*VLOOKUP('Données projet'!$B$12,Paramètres!$A$1:$I$89,3,0)*VLOOKUP('Données projet'!$B$12,Paramètres!$A$1:$I$89,5,0)</f>
        <v>-8.7434273154940449E-13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428.8489304403459</v>
      </c>
      <c r="CE171" s="60">
        <f t="shared" si="148"/>
        <v>247.01165577562966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-2.6602720026858149E-14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284.88646502866419</v>
      </c>
      <c r="CZ171" s="60">
        <f t="shared" si="150"/>
        <v>190.4880882944471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-9.6633812063373625E-13</v>
      </c>
      <c r="DP171" s="18">
        <f>DO171*VLOOKUP('Données projet'!$B$14,Paramètres!$A$1:$I$89,3,0)*VLOOKUP('Données projet'!$B$14,Paramètres!$A$1:$I$89,5,0)</f>
        <v>-1.0401663530501537E-12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502.07782026233912</v>
      </c>
      <c r="DU171" s="60">
        <f t="shared" si="152"/>
        <v>285.83623046025156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-1.7053025658242404E-13</v>
      </c>
      <c r="EK171" s="18">
        <f>EJ171*VLOOKUP('Données projet'!$B$15,Paramètres!$A$1:$I$89,3,0)*VLOOKUP('Données projet'!$B$15,Paramètres!$A$1:$I$89,5,0)</f>
        <v>-1.4897523215040567E-13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339.58437495284466</v>
      </c>
      <c r="EP171" s="60">
        <f t="shared" si="154"/>
        <v>371.26234252426531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-9.6633812063373625E-13</v>
      </c>
      <c r="FF171" s="18">
        <f>FE171*VLOOKUP('Données projet'!$B$16,Paramètres!$A$1:$I$89,3,0)*VLOOKUP('Données projet'!$B$16,Paramètres!$A$1:$I$89,5,0)</f>
        <v>-9.3464223027694966E-13</v>
      </c>
      <c r="FG171" s="14" t="e">
        <f t="shared" si="182"/>
        <v>#NUM!</v>
      </c>
      <c r="FH171" s="22" t="e">
        <f t="shared" si="183"/>
        <v>#NUM!</v>
      </c>
      <c r="FI171" s="60" t="e">
        <f t="shared" si="131"/>
        <v>#NUM!</v>
      </c>
      <c r="FJ171" s="60">
        <f ca="1">AVERAGE(OFFSET($FI$3,0,0,'Données projet'!$E$16+1,1))-AVERAGE(OFFSET($H$3,0,0,'Données projet'!$E$16+1,1))</f>
        <v>455.50822833641354</v>
      </c>
      <c r="FK171" s="60">
        <f t="shared" si="156"/>
        <v>261.14722581688039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-9.7986685432260874E-13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475.47920969424894</v>
      </c>
      <c r="T172" s="60">
        <f t="shared" si="142"/>
        <v>271.73544012419364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-2.8421709430404007E-13</v>
      </c>
      <c r="AJ172" s="14">
        <f>AI172*VLOOKUP('Données projet'!$B$10,Paramètres!$A$1:$I$89,3,0)*VLOOKUP('Données projet'!$B$10,Paramètres!$A$1:$I$89,5,0)</f>
        <v>-1.69961822393816E-13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289.24721145176682</v>
      </c>
      <c r="AO172" s="60">
        <f t="shared" si="144"/>
        <v>229.06617320689003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4.805774026585749E-2</v>
      </c>
      <c r="AW172" s="23">
        <f>EXP(-LN(2)/2)*AW171+(1-EXP(-LN(2)/2))/(LN(2)/2)*AQ172*AT172*VLOOKUP('Données projet'!$B$10,Paramètres!$A$1:$I$89,3,0)*0.475*44/12</f>
        <v>5.3108281124635369E-21</v>
      </c>
      <c r="AX172" s="23">
        <f t="shared" si="166"/>
        <v>4.805774026585749E-2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5.6843418860808015E-14</v>
      </c>
      <c r="BE172" s="14">
        <f>BD172*VLOOKUP('Données projet'!$B$11,Paramètres!$A$1:$I$89,3,0)*VLOOKUP('Données projet'!$B$11,Paramètres!$A$1:$I$89,5,0)</f>
        <v>3.3992364478763198E-14</v>
      </c>
      <c r="BF172" s="14">
        <f t="shared" si="167"/>
        <v>5.790027782444094E-13</v>
      </c>
      <c r="BG172" s="22">
        <f t="shared" si="168"/>
        <v>1.0676332069095257E-12</v>
      </c>
      <c r="BH172" s="60">
        <f t="shared" si="116"/>
        <v>293.33333333333439</v>
      </c>
      <c r="BI172" s="60">
        <f ca="1">AVERAGE(OFFSET($BH$3,0,0,'Données projet'!$E$11+1,1))-AVERAGE(OFFSET($H$3,0,0,'Données projet'!$E$11+1,1))</f>
        <v>287.91374663515506</v>
      </c>
      <c r="BJ172" s="60">
        <f t="shared" si="146"/>
        <v>217.76240797006147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-9.6633812063373625E-13</v>
      </c>
      <c r="BZ172" s="14">
        <f>BY172*VLOOKUP('Données projet'!$B$12,Paramètres!$A$1:$I$89,3,0)*VLOOKUP('Données projet'!$B$12,Paramètres!$A$1:$I$89,5,0)</f>
        <v>-8.7434273154940449E-13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428.8489304403459</v>
      </c>
      <c r="CE172" s="60">
        <f t="shared" si="148"/>
        <v>247.01165577562966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-2.6602720026858149E-14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284.88646502866419</v>
      </c>
      <c r="CZ172" s="60">
        <f t="shared" si="150"/>
        <v>190.4880882944471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-9.6633812063373625E-13</v>
      </c>
      <c r="DP172" s="18">
        <f>DO172*VLOOKUP('Données projet'!$B$14,Paramètres!$A$1:$I$89,3,0)*VLOOKUP('Données projet'!$B$14,Paramètres!$A$1:$I$89,5,0)</f>
        <v>-1.0401663530501537E-12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502.07782026233912</v>
      </c>
      <c r="DU172" s="60">
        <f t="shared" si="152"/>
        <v>285.83623046025156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-1.7053025658242404E-13</v>
      </c>
      <c r="EK172" s="18">
        <f>EJ172*VLOOKUP('Données projet'!$B$15,Paramètres!$A$1:$I$89,3,0)*VLOOKUP('Données projet'!$B$15,Paramètres!$A$1:$I$89,5,0)</f>
        <v>-1.4897523215040567E-13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339.58437495284466</v>
      </c>
      <c r="EP172" s="60">
        <f t="shared" si="154"/>
        <v>371.26234252426531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-9.6633812063373625E-13</v>
      </c>
      <c r="FF172" s="18">
        <f>FE172*VLOOKUP('Données projet'!$B$16,Paramètres!$A$1:$I$89,3,0)*VLOOKUP('Données projet'!$B$16,Paramètres!$A$1:$I$89,5,0)</f>
        <v>-9.3464223027694966E-13</v>
      </c>
      <c r="FG172" s="14" t="e">
        <f t="shared" si="182"/>
        <v>#NUM!</v>
      </c>
      <c r="FH172" s="22" t="e">
        <f t="shared" si="183"/>
        <v>#NUM!</v>
      </c>
      <c r="FI172" s="60" t="e">
        <f t="shared" si="131"/>
        <v>#NUM!</v>
      </c>
      <c r="FJ172" s="60">
        <f ca="1">AVERAGE(OFFSET($FI$3,0,0,'Données projet'!$E$16+1,1))-AVERAGE(OFFSET($H$3,0,0,'Données projet'!$E$16+1,1))</f>
        <v>455.50822833641354</v>
      </c>
      <c r="FK172" s="60">
        <f t="shared" si="156"/>
        <v>261.14722581688039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-9.7986685432260874E-13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475.47920969424894</v>
      </c>
      <c r="T173" s="60">
        <f t="shared" si="142"/>
        <v>271.73544012419364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-2.8421709430404007E-13</v>
      </c>
      <c r="AJ173" s="14">
        <f>AI173*VLOOKUP('Données projet'!$B$10,Paramètres!$A$1:$I$89,3,0)*VLOOKUP('Données projet'!$B$10,Paramètres!$A$1:$I$89,5,0)</f>
        <v>-1.69961822393816E-13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289.24721145176682</v>
      </c>
      <c r="AO173" s="60">
        <f t="shared" si="144"/>
        <v>229.06617320689003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4.6743598831040893E-2</v>
      </c>
      <c r="AW173" s="23">
        <f>EXP(-LN(2)/2)*AW172+(1-EXP(-LN(2)/2))/(LN(2)/2)*AQ173*AT173*VLOOKUP('Données projet'!$B$10,Paramètres!$A$1:$I$89,3,0)*0.475*44/12</f>
        <v>3.7553225720391194E-21</v>
      </c>
      <c r="AX173" s="23">
        <f t="shared" si="166"/>
        <v>4.6743598831040893E-2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5.6843418860808015E-14</v>
      </c>
      <c r="BE173" s="14">
        <f>BD173*VLOOKUP('Données projet'!$B$11,Paramètres!$A$1:$I$89,3,0)*VLOOKUP('Données projet'!$B$11,Paramètres!$A$1:$I$89,5,0)</f>
        <v>3.3992364478763198E-14</v>
      </c>
      <c r="BF173" s="14">
        <f t="shared" si="167"/>
        <v>5.790027782444094E-13</v>
      </c>
      <c r="BG173" s="22">
        <f t="shared" si="168"/>
        <v>1.0676332069095257E-12</v>
      </c>
      <c r="BH173" s="60">
        <f t="shared" si="116"/>
        <v>293.33333333333439</v>
      </c>
      <c r="BI173" s="60">
        <f ca="1">AVERAGE(OFFSET($BH$3,0,0,'Données projet'!$E$11+1,1))-AVERAGE(OFFSET($H$3,0,0,'Données projet'!$E$11+1,1))</f>
        <v>287.91374663515506</v>
      </c>
      <c r="BJ173" s="60">
        <f t="shared" si="146"/>
        <v>217.76240797006147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-9.6633812063373625E-13</v>
      </c>
      <c r="BZ173" s="14">
        <f>BY173*VLOOKUP('Données projet'!$B$12,Paramètres!$A$1:$I$89,3,0)*VLOOKUP('Données projet'!$B$12,Paramètres!$A$1:$I$89,5,0)</f>
        <v>-8.7434273154940449E-13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428.8489304403459</v>
      </c>
      <c r="CE173" s="60">
        <f t="shared" si="148"/>
        <v>247.01165577562966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-2.6602720026858149E-14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284.88646502866419</v>
      </c>
      <c r="CZ173" s="60">
        <f t="shared" si="150"/>
        <v>190.4880882944471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-9.6633812063373625E-13</v>
      </c>
      <c r="DP173" s="18">
        <f>DO173*VLOOKUP('Données projet'!$B$14,Paramètres!$A$1:$I$89,3,0)*VLOOKUP('Données projet'!$B$14,Paramètres!$A$1:$I$89,5,0)</f>
        <v>-1.0401663530501537E-12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502.07782026233912</v>
      </c>
      <c r="DU173" s="60">
        <f t="shared" si="152"/>
        <v>285.83623046025156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-1.7053025658242404E-13</v>
      </c>
      <c r="EK173" s="18">
        <f>EJ173*VLOOKUP('Données projet'!$B$15,Paramètres!$A$1:$I$89,3,0)*VLOOKUP('Données projet'!$B$15,Paramètres!$A$1:$I$89,5,0)</f>
        <v>-1.4897523215040567E-13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339.58437495284466</v>
      </c>
      <c r="EP173" s="60">
        <f t="shared" si="154"/>
        <v>371.26234252426531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-9.6633812063373625E-13</v>
      </c>
      <c r="FF173" s="18">
        <f>FE173*VLOOKUP('Données projet'!$B$16,Paramètres!$A$1:$I$89,3,0)*VLOOKUP('Données projet'!$B$16,Paramètres!$A$1:$I$89,5,0)</f>
        <v>-9.3464223027694966E-13</v>
      </c>
      <c r="FG173" s="14" t="e">
        <f t="shared" si="182"/>
        <v>#NUM!</v>
      </c>
      <c r="FH173" s="22" t="e">
        <f t="shared" si="183"/>
        <v>#NUM!</v>
      </c>
      <c r="FI173" s="60" t="e">
        <f t="shared" si="131"/>
        <v>#NUM!</v>
      </c>
      <c r="FJ173" s="60">
        <f ca="1">AVERAGE(OFFSET($FI$3,0,0,'Données projet'!$E$16+1,1))-AVERAGE(OFFSET($H$3,0,0,'Données projet'!$E$16+1,1))</f>
        <v>455.50822833641354</v>
      </c>
      <c r="FK173" s="60">
        <f t="shared" si="156"/>
        <v>261.14722581688039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-9.7986685432260874E-13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475.47920969424894</v>
      </c>
      <c r="T174" s="60">
        <f t="shared" si="142"/>
        <v>271.73544012419364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-2.8421709430404007E-13</v>
      </c>
      <c r="AJ174" s="14">
        <f>AI174*VLOOKUP('Données projet'!$B$10,Paramètres!$A$1:$I$89,3,0)*VLOOKUP('Données projet'!$B$10,Paramètres!$A$1:$I$89,5,0)</f>
        <v>-1.69961822393816E-13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289.24721145176682</v>
      </c>
      <c r="AO174" s="60">
        <f t="shared" si="144"/>
        <v>229.06617320689003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4.5465392662867053E-2</v>
      </c>
      <c r="AW174" s="23">
        <f>EXP(-LN(2)/2)*AW173+(1-EXP(-LN(2)/2))/(LN(2)/2)*AQ174*AT174*VLOOKUP('Données projet'!$B$10,Paramètres!$A$1:$I$89,3,0)*0.475*44/12</f>
        <v>2.6554140562317685E-21</v>
      </c>
      <c r="AX174" s="23">
        <f t="shared" si="166"/>
        <v>4.5465392662867053E-2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5.6843418860808015E-14</v>
      </c>
      <c r="BE174" s="14">
        <f>BD174*VLOOKUP('Données projet'!$B$11,Paramètres!$A$1:$I$89,3,0)*VLOOKUP('Données projet'!$B$11,Paramètres!$A$1:$I$89,5,0)</f>
        <v>3.3992364478763198E-14</v>
      </c>
      <c r="BF174" s="14">
        <f t="shared" si="167"/>
        <v>5.790027782444094E-13</v>
      </c>
      <c r="BG174" s="22">
        <f t="shared" si="168"/>
        <v>1.0676332069095257E-12</v>
      </c>
      <c r="BH174" s="60">
        <f t="shared" si="116"/>
        <v>293.33333333333439</v>
      </c>
      <c r="BI174" s="60">
        <f ca="1">AVERAGE(OFFSET($BH$3,0,0,'Données projet'!$E$11+1,1))-AVERAGE(OFFSET($H$3,0,0,'Données projet'!$E$11+1,1))</f>
        <v>287.91374663515506</v>
      </c>
      <c r="BJ174" s="60">
        <f t="shared" si="146"/>
        <v>217.76240797006147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-9.6633812063373625E-13</v>
      </c>
      <c r="BZ174" s="14">
        <f>BY174*VLOOKUP('Données projet'!$B$12,Paramètres!$A$1:$I$89,3,0)*VLOOKUP('Données projet'!$B$12,Paramètres!$A$1:$I$89,5,0)</f>
        <v>-8.7434273154940449E-13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428.8489304403459</v>
      </c>
      <c r="CE174" s="60">
        <f t="shared" si="148"/>
        <v>247.01165577562966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-2.6602720026858149E-14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284.88646502866419</v>
      </c>
      <c r="CZ174" s="60">
        <f t="shared" si="150"/>
        <v>190.4880882944471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-9.6633812063373625E-13</v>
      </c>
      <c r="DP174" s="18">
        <f>DO174*VLOOKUP('Données projet'!$B$14,Paramètres!$A$1:$I$89,3,0)*VLOOKUP('Données projet'!$B$14,Paramètres!$A$1:$I$89,5,0)</f>
        <v>-1.0401663530501537E-12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502.07782026233912</v>
      </c>
      <c r="DU174" s="60">
        <f t="shared" si="152"/>
        <v>285.83623046025156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-1.7053025658242404E-13</v>
      </c>
      <c r="EK174" s="18">
        <f>EJ174*VLOOKUP('Données projet'!$B$15,Paramètres!$A$1:$I$89,3,0)*VLOOKUP('Données projet'!$B$15,Paramètres!$A$1:$I$89,5,0)</f>
        <v>-1.4897523215040567E-13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339.58437495284466</v>
      </c>
      <c r="EP174" s="60">
        <f t="shared" si="154"/>
        <v>371.26234252426531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-9.6633812063373625E-13</v>
      </c>
      <c r="FF174" s="18">
        <f>FE174*VLOOKUP('Données projet'!$B$16,Paramètres!$A$1:$I$89,3,0)*VLOOKUP('Données projet'!$B$16,Paramètres!$A$1:$I$89,5,0)</f>
        <v>-9.3464223027694966E-13</v>
      </c>
      <c r="FG174" s="14" t="e">
        <f t="shared" si="182"/>
        <v>#NUM!</v>
      </c>
      <c r="FH174" s="22" t="e">
        <f t="shared" si="183"/>
        <v>#NUM!</v>
      </c>
      <c r="FI174" s="60" t="e">
        <f t="shared" si="131"/>
        <v>#NUM!</v>
      </c>
      <c r="FJ174" s="60">
        <f ca="1">AVERAGE(OFFSET($FI$3,0,0,'Données projet'!$E$16+1,1))-AVERAGE(OFFSET($H$3,0,0,'Données projet'!$E$16+1,1))</f>
        <v>455.50822833641354</v>
      </c>
      <c r="FK174" s="60">
        <f t="shared" si="156"/>
        <v>261.14722581688039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-9.7986685432260874E-13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475.47920969424894</v>
      </c>
      <c r="T175" s="60">
        <f t="shared" si="142"/>
        <v>271.73544012419364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-2.8421709430404007E-13</v>
      </c>
      <c r="AJ175" s="14">
        <f>AI175*VLOOKUP('Données projet'!$B$10,Paramètres!$A$1:$I$89,3,0)*VLOOKUP('Données projet'!$B$10,Paramètres!$A$1:$I$89,5,0)</f>
        <v>-1.69961822393816E-13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289.24721145176682</v>
      </c>
      <c r="AO175" s="60">
        <f t="shared" si="144"/>
        <v>229.06617320689003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4.4222139109579867E-2</v>
      </c>
      <c r="AW175" s="23">
        <f>EXP(-LN(2)/2)*AW174+(1-EXP(-LN(2)/2))/(LN(2)/2)*AQ175*AT175*VLOOKUP('Données projet'!$B$10,Paramètres!$A$1:$I$89,3,0)*0.475*44/12</f>
        <v>1.8776612860195597E-21</v>
      </c>
      <c r="AX175" s="23">
        <f t="shared" si="166"/>
        <v>4.4222139109579867E-2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5.6843418860808015E-14</v>
      </c>
      <c r="BE175" s="14">
        <f>BD175*VLOOKUP('Données projet'!$B$11,Paramètres!$A$1:$I$89,3,0)*VLOOKUP('Données projet'!$B$11,Paramètres!$A$1:$I$89,5,0)</f>
        <v>3.3992364478763198E-14</v>
      </c>
      <c r="BF175" s="14">
        <f t="shared" si="167"/>
        <v>5.790027782444094E-13</v>
      </c>
      <c r="BG175" s="22">
        <f t="shared" si="168"/>
        <v>1.0676332069095257E-12</v>
      </c>
      <c r="BH175" s="60">
        <f t="shared" si="116"/>
        <v>293.33333333333439</v>
      </c>
      <c r="BI175" s="60">
        <f ca="1">AVERAGE(OFFSET($BH$3,0,0,'Données projet'!$E$11+1,1))-AVERAGE(OFFSET($H$3,0,0,'Données projet'!$E$11+1,1))</f>
        <v>287.91374663515506</v>
      </c>
      <c r="BJ175" s="60">
        <f t="shared" si="146"/>
        <v>217.76240797006147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-9.6633812063373625E-13</v>
      </c>
      <c r="BZ175" s="14">
        <f>BY175*VLOOKUP('Données projet'!$B$12,Paramètres!$A$1:$I$89,3,0)*VLOOKUP('Données projet'!$B$12,Paramètres!$A$1:$I$89,5,0)</f>
        <v>-8.7434273154940449E-13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428.8489304403459</v>
      </c>
      <c r="CE175" s="60">
        <f t="shared" si="148"/>
        <v>247.01165577562966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-2.6602720026858149E-14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284.88646502866419</v>
      </c>
      <c r="CZ175" s="60">
        <f t="shared" si="150"/>
        <v>190.4880882944471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-9.6633812063373625E-13</v>
      </c>
      <c r="DP175" s="18">
        <f>DO175*VLOOKUP('Données projet'!$B$14,Paramètres!$A$1:$I$89,3,0)*VLOOKUP('Données projet'!$B$14,Paramètres!$A$1:$I$89,5,0)</f>
        <v>-1.0401663530501537E-12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502.07782026233912</v>
      </c>
      <c r="DU175" s="60">
        <f t="shared" si="152"/>
        <v>285.83623046025156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-1.7053025658242404E-13</v>
      </c>
      <c r="EK175" s="18">
        <f>EJ175*VLOOKUP('Données projet'!$B$15,Paramètres!$A$1:$I$89,3,0)*VLOOKUP('Données projet'!$B$15,Paramètres!$A$1:$I$89,5,0)</f>
        <v>-1.4897523215040567E-13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339.58437495284466</v>
      </c>
      <c r="EP175" s="60">
        <f t="shared" si="154"/>
        <v>371.26234252426531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-9.6633812063373625E-13</v>
      </c>
      <c r="FF175" s="18">
        <f>FE175*VLOOKUP('Données projet'!$B$16,Paramètres!$A$1:$I$89,3,0)*VLOOKUP('Données projet'!$B$16,Paramètres!$A$1:$I$89,5,0)</f>
        <v>-9.3464223027694966E-13</v>
      </c>
      <c r="FG175" s="14" t="e">
        <f t="shared" si="182"/>
        <v>#NUM!</v>
      </c>
      <c r="FH175" s="22" t="e">
        <f t="shared" si="183"/>
        <v>#NUM!</v>
      </c>
      <c r="FI175" s="60" t="e">
        <f t="shared" si="131"/>
        <v>#NUM!</v>
      </c>
      <c r="FJ175" s="60">
        <f ca="1">AVERAGE(OFFSET($FI$3,0,0,'Données projet'!$E$16+1,1))-AVERAGE(OFFSET($H$3,0,0,'Données projet'!$E$16+1,1))</f>
        <v>455.50822833641354</v>
      </c>
      <c r="FK175" s="60">
        <f t="shared" si="156"/>
        <v>261.14722581688039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-9.7986685432260874E-13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475.47920969424894</v>
      </c>
      <c r="T176" s="60">
        <f t="shared" si="142"/>
        <v>271.73544012419364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-2.8421709430404007E-13</v>
      </c>
      <c r="AJ176" s="14">
        <f>AI176*VLOOKUP('Données projet'!$B$10,Paramètres!$A$1:$I$89,3,0)*VLOOKUP('Données projet'!$B$10,Paramètres!$A$1:$I$89,5,0)</f>
        <v>-1.69961822393816E-13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289.24721145176682</v>
      </c>
      <c r="AO176" s="60">
        <f t="shared" si="144"/>
        <v>229.06617320689003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4.301288239008718E-2</v>
      </c>
      <c r="AW176" s="23">
        <f>EXP(-LN(2)/2)*AW175+(1-EXP(-LN(2)/2))/(LN(2)/2)*AQ176*AT176*VLOOKUP('Données projet'!$B$10,Paramètres!$A$1:$I$89,3,0)*0.475*44/12</f>
        <v>1.3277070281158842E-21</v>
      </c>
      <c r="AX176" s="23">
        <f t="shared" si="166"/>
        <v>4.301288239008718E-2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5.6843418860808015E-14</v>
      </c>
      <c r="BE176" s="14">
        <f>BD176*VLOOKUP('Données projet'!$B$11,Paramètres!$A$1:$I$89,3,0)*VLOOKUP('Données projet'!$B$11,Paramètres!$A$1:$I$89,5,0)</f>
        <v>3.3992364478763198E-14</v>
      </c>
      <c r="BF176" s="14">
        <f t="shared" si="167"/>
        <v>5.790027782444094E-13</v>
      </c>
      <c r="BG176" s="22">
        <f t="shared" si="168"/>
        <v>1.0676332069095257E-12</v>
      </c>
      <c r="BH176" s="60">
        <f t="shared" si="116"/>
        <v>293.33333333333439</v>
      </c>
      <c r="BI176" s="60">
        <f ca="1">AVERAGE(OFFSET($BH$3,0,0,'Données projet'!$E$11+1,1))-AVERAGE(OFFSET($H$3,0,0,'Données projet'!$E$11+1,1))</f>
        <v>287.91374663515506</v>
      </c>
      <c r="BJ176" s="60">
        <f t="shared" si="146"/>
        <v>217.76240797006147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-9.6633812063373625E-13</v>
      </c>
      <c r="BZ176" s="14">
        <f>BY176*VLOOKUP('Données projet'!$B$12,Paramètres!$A$1:$I$89,3,0)*VLOOKUP('Données projet'!$B$12,Paramètres!$A$1:$I$89,5,0)</f>
        <v>-8.7434273154940449E-13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428.8489304403459</v>
      </c>
      <c r="CE176" s="60">
        <f t="shared" si="148"/>
        <v>247.01165577562966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-2.6602720026858149E-14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284.88646502866419</v>
      </c>
      <c r="CZ176" s="60">
        <f t="shared" si="150"/>
        <v>190.4880882944471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-9.6633812063373625E-13</v>
      </c>
      <c r="DP176" s="18">
        <f>DO176*VLOOKUP('Données projet'!$B$14,Paramètres!$A$1:$I$89,3,0)*VLOOKUP('Données projet'!$B$14,Paramètres!$A$1:$I$89,5,0)</f>
        <v>-1.0401663530501537E-12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502.07782026233912</v>
      </c>
      <c r="DU176" s="60">
        <f t="shared" si="152"/>
        <v>285.83623046025156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-1.7053025658242404E-13</v>
      </c>
      <c r="EK176" s="18">
        <f>EJ176*VLOOKUP('Données projet'!$B$15,Paramètres!$A$1:$I$89,3,0)*VLOOKUP('Données projet'!$B$15,Paramètres!$A$1:$I$89,5,0)</f>
        <v>-1.4897523215040567E-13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339.58437495284466</v>
      </c>
      <c r="EP176" s="60">
        <f t="shared" si="154"/>
        <v>371.26234252426531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-9.6633812063373625E-13</v>
      </c>
      <c r="FF176" s="18">
        <f>FE176*VLOOKUP('Données projet'!$B$16,Paramètres!$A$1:$I$89,3,0)*VLOOKUP('Données projet'!$B$16,Paramètres!$A$1:$I$89,5,0)</f>
        <v>-9.3464223027694966E-13</v>
      </c>
      <c r="FG176" s="14" t="e">
        <f t="shared" si="182"/>
        <v>#NUM!</v>
      </c>
      <c r="FH176" s="22" t="e">
        <f t="shared" si="183"/>
        <v>#NUM!</v>
      </c>
      <c r="FI176" s="60" t="e">
        <f t="shared" si="131"/>
        <v>#NUM!</v>
      </c>
      <c r="FJ176" s="60">
        <f ca="1">AVERAGE(OFFSET($FI$3,0,0,'Données projet'!$E$16+1,1))-AVERAGE(OFFSET($H$3,0,0,'Données projet'!$E$16+1,1))</f>
        <v>455.50822833641354</v>
      </c>
      <c r="FK176" s="60">
        <f t="shared" si="156"/>
        <v>261.14722581688039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-9.7986685432260874E-13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475.47920969424894</v>
      </c>
      <c r="T177" s="60">
        <f t="shared" si="142"/>
        <v>271.73544012419364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-2.8421709430404007E-13</v>
      </c>
      <c r="AJ177" s="14">
        <f>AI177*VLOOKUP('Données projet'!$B$10,Paramètres!$A$1:$I$89,3,0)*VLOOKUP('Données projet'!$B$10,Paramètres!$A$1:$I$89,5,0)</f>
        <v>-1.69961822393816E-13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289.24721145176682</v>
      </c>
      <c r="AO177" s="60">
        <f t="shared" si="144"/>
        <v>229.06617320689003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4.1836692859181068E-2</v>
      </c>
      <c r="AW177" s="23">
        <f>EXP(-LN(2)/2)*AW176+(1-EXP(-LN(2)/2))/(LN(2)/2)*AQ177*AT177*VLOOKUP('Données projet'!$B$10,Paramètres!$A$1:$I$89,3,0)*0.475*44/12</f>
        <v>9.3883064300977984E-22</v>
      </c>
      <c r="AX177" s="23">
        <f t="shared" si="166"/>
        <v>4.1836692859181068E-2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5.6843418860808015E-14</v>
      </c>
      <c r="BE177" s="14">
        <f>BD177*VLOOKUP('Données projet'!$B$11,Paramètres!$A$1:$I$89,3,0)*VLOOKUP('Données projet'!$B$11,Paramètres!$A$1:$I$89,5,0)</f>
        <v>3.3992364478763198E-14</v>
      </c>
      <c r="BF177" s="14">
        <f t="shared" si="167"/>
        <v>5.790027782444094E-13</v>
      </c>
      <c r="BG177" s="22">
        <f t="shared" si="168"/>
        <v>1.0676332069095257E-12</v>
      </c>
      <c r="BH177" s="60">
        <f t="shared" si="116"/>
        <v>293.33333333333439</v>
      </c>
      <c r="BI177" s="60">
        <f ca="1">AVERAGE(OFFSET($BH$3,0,0,'Données projet'!$E$11+1,1))-AVERAGE(OFFSET($H$3,0,0,'Données projet'!$E$11+1,1))</f>
        <v>287.91374663515506</v>
      </c>
      <c r="BJ177" s="60">
        <f t="shared" si="146"/>
        <v>217.76240797006147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-9.6633812063373625E-13</v>
      </c>
      <c r="BZ177" s="14">
        <f>BY177*VLOOKUP('Données projet'!$B$12,Paramètres!$A$1:$I$89,3,0)*VLOOKUP('Données projet'!$B$12,Paramètres!$A$1:$I$89,5,0)</f>
        <v>-8.7434273154940449E-13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428.8489304403459</v>
      </c>
      <c r="CE177" s="60">
        <f t="shared" si="148"/>
        <v>247.01165577562966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-2.6602720026858149E-14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284.88646502866419</v>
      </c>
      <c r="CZ177" s="60">
        <f t="shared" si="150"/>
        <v>190.4880882944471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-9.6633812063373625E-13</v>
      </c>
      <c r="DP177" s="18">
        <f>DO177*VLOOKUP('Données projet'!$B$14,Paramètres!$A$1:$I$89,3,0)*VLOOKUP('Données projet'!$B$14,Paramètres!$A$1:$I$89,5,0)</f>
        <v>-1.0401663530501537E-12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502.07782026233912</v>
      </c>
      <c r="DU177" s="60">
        <f t="shared" si="152"/>
        <v>285.83623046025156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-1.7053025658242404E-13</v>
      </c>
      <c r="EK177" s="18">
        <f>EJ177*VLOOKUP('Données projet'!$B$15,Paramètres!$A$1:$I$89,3,0)*VLOOKUP('Données projet'!$B$15,Paramètres!$A$1:$I$89,5,0)</f>
        <v>-1.4897523215040567E-13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339.58437495284466</v>
      </c>
      <c r="EP177" s="60">
        <f t="shared" si="154"/>
        <v>371.26234252426531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-9.6633812063373625E-13</v>
      </c>
      <c r="FF177" s="18">
        <f>FE177*VLOOKUP('Données projet'!$B$16,Paramètres!$A$1:$I$89,3,0)*VLOOKUP('Données projet'!$B$16,Paramètres!$A$1:$I$89,5,0)</f>
        <v>-9.3464223027694966E-13</v>
      </c>
      <c r="FG177" s="14" t="e">
        <f t="shared" si="182"/>
        <v>#NUM!</v>
      </c>
      <c r="FH177" s="22" t="e">
        <f t="shared" si="183"/>
        <v>#NUM!</v>
      </c>
      <c r="FI177" s="60" t="e">
        <f t="shared" si="131"/>
        <v>#NUM!</v>
      </c>
      <c r="FJ177" s="60">
        <f ca="1">AVERAGE(OFFSET($FI$3,0,0,'Données projet'!$E$16+1,1))-AVERAGE(OFFSET($H$3,0,0,'Données projet'!$E$16+1,1))</f>
        <v>455.50822833641354</v>
      </c>
      <c r="FK177" s="60">
        <f t="shared" si="156"/>
        <v>261.14722581688039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-9.7986685432260874E-13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475.47920969424894</v>
      </c>
      <c r="T178" s="60">
        <f t="shared" si="142"/>
        <v>271.73544012419364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-2.8421709430404007E-13</v>
      </c>
      <c r="AJ178" s="14">
        <f>AI178*VLOOKUP('Données projet'!$B$10,Paramètres!$A$1:$I$89,3,0)*VLOOKUP('Données projet'!$B$10,Paramètres!$A$1:$I$89,5,0)</f>
        <v>-1.69961822393816E-13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289.24721145176682</v>
      </c>
      <c r="AO178" s="60">
        <f t="shared" si="144"/>
        <v>229.06617320689003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4.0692666292850704E-2</v>
      </c>
      <c r="AW178" s="23">
        <f>EXP(-LN(2)/2)*AW177+(1-EXP(-LN(2)/2))/(LN(2)/2)*AQ178*AT178*VLOOKUP('Données projet'!$B$10,Paramètres!$A$1:$I$89,3,0)*0.475*44/12</f>
        <v>6.6385351405794212E-22</v>
      </c>
      <c r="AX178" s="23">
        <f t="shared" si="166"/>
        <v>4.0692666292850704E-2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5.6843418860808015E-14</v>
      </c>
      <c r="BE178" s="14">
        <f>BD178*VLOOKUP('Données projet'!$B$11,Paramètres!$A$1:$I$89,3,0)*VLOOKUP('Données projet'!$B$11,Paramètres!$A$1:$I$89,5,0)</f>
        <v>3.3992364478763198E-14</v>
      </c>
      <c r="BF178" s="14">
        <f t="shared" si="167"/>
        <v>5.790027782444094E-13</v>
      </c>
      <c r="BG178" s="22">
        <f t="shared" si="168"/>
        <v>1.0676332069095257E-12</v>
      </c>
      <c r="BH178" s="60">
        <f t="shared" si="116"/>
        <v>293.33333333333439</v>
      </c>
      <c r="BI178" s="60">
        <f ca="1">AVERAGE(OFFSET($BH$3,0,0,'Données projet'!$E$11+1,1))-AVERAGE(OFFSET($H$3,0,0,'Données projet'!$E$11+1,1))</f>
        <v>287.91374663515506</v>
      </c>
      <c r="BJ178" s="60">
        <f t="shared" si="146"/>
        <v>217.76240797006147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-9.6633812063373625E-13</v>
      </c>
      <c r="BZ178" s="14">
        <f>BY178*VLOOKUP('Données projet'!$B$12,Paramètres!$A$1:$I$89,3,0)*VLOOKUP('Données projet'!$B$12,Paramètres!$A$1:$I$89,5,0)</f>
        <v>-8.7434273154940449E-13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428.8489304403459</v>
      </c>
      <c r="CE178" s="60">
        <f t="shared" si="148"/>
        <v>247.01165577562966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-2.6602720026858149E-14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284.88646502866419</v>
      </c>
      <c r="CZ178" s="60">
        <f t="shared" si="150"/>
        <v>190.4880882944471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-9.6633812063373625E-13</v>
      </c>
      <c r="DP178" s="18">
        <f>DO178*VLOOKUP('Données projet'!$B$14,Paramètres!$A$1:$I$89,3,0)*VLOOKUP('Données projet'!$B$14,Paramètres!$A$1:$I$89,5,0)</f>
        <v>-1.0401663530501537E-12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502.07782026233912</v>
      </c>
      <c r="DU178" s="60">
        <f t="shared" si="152"/>
        <v>285.83623046025156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-1.7053025658242404E-13</v>
      </c>
      <c r="EK178" s="18">
        <f>EJ178*VLOOKUP('Données projet'!$B$15,Paramètres!$A$1:$I$89,3,0)*VLOOKUP('Données projet'!$B$15,Paramètres!$A$1:$I$89,5,0)</f>
        <v>-1.4897523215040567E-13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339.58437495284466</v>
      </c>
      <c r="EP178" s="60">
        <f t="shared" si="154"/>
        <v>371.26234252426531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-9.6633812063373625E-13</v>
      </c>
      <c r="FF178" s="18">
        <f>FE178*VLOOKUP('Données projet'!$B$16,Paramètres!$A$1:$I$89,3,0)*VLOOKUP('Données projet'!$B$16,Paramètres!$A$1:$I$89,5,0)</f>
        <v>-9.3464223027694966E-13</v>
      </c>
      <c r="FG178" s="14" t="e">
        <f t="shared" si="182"/>
        <v>#NUM!</v>
      </c>
      <c r="FH178" s="22" t="e">
        <f t="shared" si="183"/>
        <v>#NUM!</v>
      </c>
      <c r="FI178" s="60" t="e">
        <f t="shared" si="131"/>
        <v>#NUM!</v>
      </c>
      <c r="FJ178" s="60">
        <f ca="1">AVERAGE(OFFSET($FI$3,0,0,'Données projet'!$E$16+1,1))-AVERAGE(OFFSET($H$3,0,0,'Données projet'!$E$16+1,1))</f>
        <v>455.50822833641354</v>
      </c>
      <c r="FK178" s="60">
        <f t="shared" si="156"/>
        <v>261.14722581688039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-9.7986685432260874E-13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475.47920969424894</v>
      </c>
      <c r="T179" s="60">
        <f t="shared" si="142"/>
        <v>271.73544012419364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-2.8421709430404007E-13</v>
      </c>
      <c r="AJ179" s="14">
        <f>AI179*VLOOKUP('Données projet'!$B$10,Paramètres!$A$1:$I$89,3,0)*VLOOKUP('Données projet'!$B$10,Paramètres!$A$1:$I$89,5,0)</f>
        <v>-1.69961822393816E-13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289.24721145176682</v>
      </c>
      <c r="AO179" s="60">
        <f t="shared" si="144"/>
        <v>229.06617320689003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3.9579923193138383E-2</v>
      </c>
      <c r="AW179" s="23">
        <f>EXP(-LN(2)/2)*AW178+(1-EXP(-LN(2)/2))/(LN(2)/2)*AQ179*AT179*VLOOKUP('Données projet'!$B$10,Paramètres!$A$1:$I$89,3,0)*0.475*44/12</f>
        <v>4.6941532150488992E-22</v>
      </c>
      <c r="AX179" s="23">
        <f t="shared" si="166"/>
        <v>3.9579923193138383E-2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5.6843418860808015E-14</v>
      </c>
      <c r="BE179" s="14">
        <f>BD179*VLOOKUP('Données projet'!$B$11,Paramètres!$A$1:$I$89,3,0)*VLOOKUP('Données projet'!$B$11,Paramètres!$A$1:$I$89,5,0)</f>
        <v>3.3992364478763198E-14</v>
      </c>
      <c r="BF179" s="14">
        <f t="shared" si="167"/>
        <v>5.790027782444094E-13</v>
      </c>
      <c r="BG179" s="22">
        <f t="shared" si="168"/>
        <v>1.0676332069095257E-12</v>
      </c>
      <c r="BH179" s="60">
        <f t="shared" si="116"/>
        <v>293.33333333333439</v>
      </c>
      <c r="BI179" s="60">
        <f ca="1">AVERAGE(OFFSET($BH$3,0,0,'Données projet'!$E$11+1,1))-AVERAGE(OFFSET($H$3,0,0,'Données projet'!$E$11+1,1))</f>
        <v>287.91374663515506</v>
      </c>
      <c r="BJ179" s="60">
        <f t="shared" si="146"/>
        <v>217.76240797006147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-9.6633812063373625E-13</v>
      </c>
      <c r="BZ179" s="14">
        <f>BY179*VLOOKUP('Données projet'!$B$12,Paramètres!$A$1:$I$89,3,0)*VLOOKUP('Données projet'!$B$12,Paramètres!$A$1:$I$89,5,0)</f>
        <v>-8.7434273154940449E-13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428.8489304403459</v>
      </c>
      <c r="CE179" s="60">
        <f t="shared" si="148"/>
        <v>247.01165577562966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-2.6602720026858149E-14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284.88646502866419</v>
      </c>
      <c r="CZ179" s="60">
        <f t="shared" si="150"/>
        <v>190.4880882944471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-9.6633812063373625E-13</v>
      </c>
      <c r="DP179" s="18">
        <f>DO179*VLOOKUP('Données projet'!$B$14,Paramètres!$A$1:$I$89,3,0)*VLOOKUP('Données projet'!$B$14,Paramètres!$A$1:$I$89,5,0)</f>
        <v>-1.0401663530501537E-12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502.07782026233912</v>
      </c>
      <c r="DU179" s="60">
        <f t="shared" si="152"/>
        <v>285.83623046025156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-1.7053025658242404E-13</v>
      </c>
      <c r="EK179" s="18">
        <f>EJ179*VLOOKUP('Données projet'!$B$15,Paramètres!$A$1:$I$89,3,0)*VLOOKUP('Données projet'!$B$15,Paramètres!$A$1:$I$89,5,0)</f>
        <v>-1.4897523215040567E-13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339.58437495284466</v>
      </c>
      <c r="EP179" s="60">
        <f t="shared" si="154"/>
        <v>371.26234252426531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-9.6633812063373625E-13</v>
      </c>
      <c r="FF179" s="18">
        <f>FE179*VLOOKUP('Données projet'!$B$16,Paramètres!$A$1:$I$89,3,0)*VLOOKUP('Données projet'!$B$16,Paramètres!$A$1:$I$89,5,0)</f>
        <v>-9.3464223027694966E-13</v>
      </c>
      <c r="FG179" s="14" t="e">
        <f t="shared" si="182"/>
        <v>#NUM!</v>
      </c>
      <c r="FH179" s="22" t="e">
        <f t="shared" si="183"/>
        <v>#NUM!</v>
      </c>
      <c r="FI179" s="60" t="e">
        <f t="shared" si="131"/>
        <v>#NUM!</v>
      </c>
      <c r="FJ179" s="60">
        <f ca="1">AVERAGE(OFFSET($FI$3,0,0,'Données projet'!$E$16+1,1))-AVERAGE(OFFSET($H$3,0,0,'Données projet'!$E$16+1,1))</f>
        <v>455.50822833641354</v>
      </c>
      <c r="FK179" s="60">
        <f t="shared" si="156"/>
        <v>261.14722581688039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-9.7986685432260874E-13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475.47920969424894</v>
      </c>
      <c r="T180" s="60">
        <f t="shared" si="142"/>
        <v>271.73544012419364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-2.8421709430404007E-13</v>
      </c>
      <c r="AJ180" s="14">
        <f>AI180*VLOOKUP('Données projet'!$B$10,Paramètres!$A$1:$I$89,3,0)*VLOOKUP('Données projet'!$B$10,Paramètres!$A$1:$I$89,5,0)</f>
        <v>-1.69961822393816E-13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289.24721145176682</v>
      </c>
      <c r="AO180" s="60">
        <f t="shared" si="144"/>
        <v>229.06617320689003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3.8497608112004311E-2</v>
      </c>
      <c r="AW180" s="23">
        <f>EXP(-LN(2)/2)*AW179+(1-EXP(-LN(2)/2))/(LN(2)/2)*AQ180*AT180*VLOOKUP('Données projet'!$B$10,Paramètres!$A$1:$I$89,3,0)*0.475*44/12</f>
        <v>3.3192675702897106E-22</v>
      </c>
      <c r="AX180" s="23">
        <f t="shared" si="166"/>
        <v>3.8497608112004311E-2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5.6843418860808015E-14</v>
      </c>
      <c r="BE180" s="14">
        <f>BD180*VLOOKUP('Données projet'!$B$11,Paramètres!$A$1:$I$89,3,0)*VLOOKUP('Données projet'!$B$11,Paramètres!$A$1:$I$89,5,0)</f>
        <v>3.3992364478763198E-14</v>
      </c>
      <c r="BF180" s="14">
        <f t="shared" si="167"/>
        <v>5.790027782444094E-13</v>
      </c>
      <c r="BG180" s="22">
        <f t="shared" si="168"/>
        <v>1.0676332069095257E-12</v>
      </c>
      <c r="BH180" s="60">
        <f t="shared" si="116"/>
        <v>293.33333333333439</v>
      </c>
      <c r="BI180" s="60">
        <f ca="1">AVERAGE(OFFSET($BH$3,0,0,'Données projet'!$E$11+1,1))-AVERAGE(OFFSET($H$3,0,0,'Données projet'!$E$11+1,1))</f>
        <v>287.91374663515506</v>
      </c>
      <c r="BJ180" s="60">
        <f t="shared" si="146"/>
        <v>217.76240797006147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-9.6633812063373625E-13</v>
      </c>
      <c r="BZ180" s="14">
        <f>BY180*VLOOKUP('Données projet'!$B$12,Paramètres!$A$1:$I$89,3,0)*VLOOKUP('Données projet'!$B$12,Paramètres!$A$1:$I$89,5,0)</f>
        <v>-8.7434273154940449E-13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428.8489304403459</v>
      </c>
      <c r="CE180" s="60">
        <f t="shared" si="148"/>
        <v>247.01165577562966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-2.6602720026858149E-14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284.88646502866419</v>
      </c>
      <c r="CZ180" s="60">
        <f t="shared" si="150"/>
        <v>190.4880882944471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-9.6633812063373625E-13</v>
      </c>
      <c r="DP180" s="18">
        <f>DO180*VLOOKUP('Données projet'!$B$14,Paramètres!$A$1:$I$89,3,0)*VLOOKUP('Données projet'!$B$14,Paramètres!$A$1:$I$89,5,0)</f>
        <v>-1.0401663530501537E-12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502.07782026233912</v>
      </c>
      <c r="DU180" s="60">
        <f t="shared" si="152"/>
        <v>285.83623046025156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-1.7053025658242404E-13</v>
      </c>
      <c r="EK180" s="18">
        <f>EJ180*VLOOKUP('Données projet'!$B$15,Paramètres!$A$1:$I$89,3,0)*VLOOKUP('Données projet'!$B$15,Paramètres!$A$1:$I$89,5,0)</f>
        <v>-1.4897523215040567E-13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339.58437495284466</v>
      </c>
      <c r="EP180" s="60">
        <f t="shared" si="154"/>
        <v>371.26234252426531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-9.6633812063373625E-13</v>
      </c>
      <c r="FF180" s="18">
        <f>FE180*VLOOKUP('Données projet'!$B$16,Paramètres!$A$1:$I$89,3,0)*VLOOKUP('Données projet'!$B$16,Paramètres!$A$1:$I$89,5,0)</f>
        <v>-9.3464223027694966E-13</v>
      </c>
      <c r="FG180" s="14" t="e">
        <f t="shared" si="182"/>
        <v>#NUM!</v>
      </c>
      <c r="FH180" s="22" t="e">
        <f t="shared" si="183"/>
        <v>#NUM!</v>
      </c>
      <c r="FI180" s="60" t="e">
        <f t="shared" si="131"/>
        <v>#NUM!</v>
      </c>
      <c r="FJ180" s="60">
        <f ca="1">AVERAGE(OFFSET($FI$3,0,0,'Données projet'!$E$16+1,1))-AVERAGE(OFFSET($H$3,0,0,'Données projet'!$E$16+1,1))</f>
        <v>455.50822833641354</v>
      </c>
      <c r="FK180" s="60">
        <f t="shared" si="156"/>
        <v>261.14722581688039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-9.7986685432260874E-13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475.47920969424894</v>
      </c>
      <c r="T181" s="60">
        <f t="shared" si="142"/>
        <v>271.73544012419364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-2.8421709430404007E-13</v>
      </c>
      <c r="AJ181" s="14">
        <f>AI181*VLOOKUP('Données projet'!$B$10,Paramètres!$A$1:$I$89,3,0)*VLOOKUP('Données projet'!$B$10,Paramètres!$A$1:$I$89,5,0)</f>
        <v>-1.69961822393816E-13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289.24721145176682</v>
      </c>
      <c r="AO181" s="60">
        <f t="shared" si="144"/>
        <v>229.06617320689003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3.7444888993680328E-2</v>
      </c>
      <c r="AW181" s="23">
        <f>EXP(-LN(2)/2)*AW180+(1-EXP(-LN(2)/2))/(LN(2)/2)*AQ181*AT181*VLOOKUP('Données projet'!$B$10,Paramètres!$A$1:$I$89,3,0)*0.475*44/12</f>
        <v>2.3470766075244496E-22</v>
      </c>
      <c r="AX181" s="23">
        <f t="shared" si="166"/>
        <v>3.7444888993680328E-2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5.6843418860808015E-14</v>
      </c>
      <c r="BE181" s="14">
        <f>BD181*VLOOKUP('Données projet'!$B$11,Paramètres!$A$1:$I$89,3,0)*VLOOKUP('Données projet'!$B$11,Paramètres!$A$1:$I$89,5,0)</f>
        <v>3.3992364478763198E-14</v>
      </c>
      <c r="BF181" s="14">
        <f t="shared" si="167"/>
        <v>5.790027782444094E-13</v>
      </c>
      <c r="BG181" s="22">
        <f t="shared" si="168"/>
        <v>1.0676332069095257E-12</v>
      </c>
      <c r="BH181" s="60">
        <f t="shared" si="116"/>
        <v>293.33333333333439</v>
      </c>
      <c r="BI181" s="60">
        <f ca="1">AVERAGE(OFFSET($BH$3,0,0,'Données projet'!$E$11+1,1))-AVERAGE(OFFSET($H$3,0,0,'Données projet'!$E$11+1,1))</f>
        <v>287.91374663515506</v>
      </c>
      <c r="BJ181" s="60">
        <f t="shared" si="146"/>
        <v>217.76240797006147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-9.6633812063373625E-13</v>
      </c>
      <c r="BZ181" s="14">
        <f>BY181*VLOOKUP('Données projet'!$B$12,Paramètres!$A$1:$I$89,3,0)*VLOOKUP('Données projet'!$B$12,Paramètres!$A$1:$I$89,5,0)</f>
        <v>-8.7434273154940449E-13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428.8489304403459</v>
      </c>
      <c r="CE181" s="60">
        <f t="shared" si="148"/>
        <v>247.01165577562966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-2.6602720026858149E-14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284.88646502866419</v>
      </c>
      <c r="CZ181" s="60">
        <f t="shared" si="150"/>
        <v>190.4880882944471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-9.6633812063373625E-13</v>
      </c>
      <c r="DP181" s="18">
        <f>DO181*VLOOKUP('Données projet'!$B$14,Paramètres!$A$1:$I$89,3,0)*VLOOKUP('Données projet'!$B$14,Paramètres!$A$1:$I$89,5,0)</f>
        <v>-1.0401663530501537E-12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502.07782026233912</v>
      </c>
      <c r="DU181" s="60">
        <f t="shared" si="152"/>
        <v>285.83623046025156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-1.7053025658242404E-13</v>
      </c>
      <c r="EK181" s="18">
        <f>EJ181*VLOOKUP('Données projet'!$B$15,Paramètres!$A$1:$I$89,3,0)*VLOOKUP('Données projet'!$B$15,Paramètres!$A$1:$I$89,5,0)</f>
        <v>-1.4897523215040567E-13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339.58437495284466</v>
      </c>
      <c r="EP181" s="60">
        <f t="shared" si="154"/>
        <v>371.26234252426531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-9.6633812063373625E-13</v>
      </c>
      <c r="FF181" s="18">
        <f>FE181*VLOOKUP('Données projet'!$B$16,Paramètres!$A$1:$I$89,3,0)*VLOOKUP('Données projet'!$B$16,Paramètres!$A$1:$I$89,5,0)</f>
        <v>-9.3464223027694966E-13</v>
      </c>
      <c r="FG181" s="14" t="e">
        <f t="shared" si="182"/>
        <v>#NUM!</v>
      </c>
      <c r="FH181" s="22" t="e">
        <f t="shared" si="183"/>
        <v>#NUM!</v>
      </c>
      <c r="FI181" s="60" t="e">
        <f t="shared" si="131"/>
        <v>#NUM!</v>
      </c>
      <c r="FJ181" s="60">
        <f ca="1">AVERAGE(OFFSET($FI$3,0,0,'Données projet'!$E$16+1,1))-AVERAGE(OFFSET($H$3,0,0,'Données projet'!$E$16+1,1))</f>
        <v>455.50822833641354</v>
      </c>
      <c r="FK181" s="60">
        <f t="shared" si="156"/>
        <v>261.14722581688039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-9.7986685432260874E-13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475.47920969424894</v>
      </c>
      <c r="T182" s="60">
        <f t="shared" si="142"/>
        <v>271.73544012419364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-2.8421709430404007E-13</v>
      </c>
      <c r="AJ182" s="14">
        <f>AI182*VLOOKUP('Données projet'!$B$10,Paramètres!$A$1:$I$89,3,0)*VLOOKUP('Données projet'!$B$10,Paramètres!$A$1:$I$89,5,0)</f>
        <v>-1.69961822393816E-13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289.24721145176682</v>
      </c>
      <c r="AO182" s="60">
        <f t="shared" si="144"/>
        <v>229.06617320689003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3.6420956535007008E-2</v>
      </c>
      <c r="AW182" s="23">
        <f>EXP(-LN(2)/2)*AW181+(1-EXP(-LN(2)/2))/(LN(2)/2)*AQ182*AT182*VLOOKUP('Données projet'!$B$10,Paramètres!$A$1:$I$89,3,0)*0.475*44/12</f>
        <v>1.6596337851448553E-22</v>
      </c>
      <c r="AX182" s="23">
        <f t="shared" si="166"/>
        <v>3.6420956535007008E-2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5.6843418860808015E-14</v>
      </c>
      <c r="BE182" s="14">
        <f>BD182*VLOOKUP('Données projet'!$B$11,Paramètres!$A$1:$I$89,3,0)*VLOOKUP('Données projet'!$B$11,Paramètres!$A$1:$I$89,5,0)</f>
        <v>3.3992364478763198E-14</v>
      </c>
      <c r="BF182" s="14">
        <f t="shared" si="167"/>
        <v>5.790027782444094E-13</v>
      </c>
      <c r="BG182" s="22">
        <f t="shared" si="168"/>
        <v>1.0676332069095257E-12</v>
      </c>
      <c r="BH182" s="60">
        <f t="shared" si="116"/>
        <v>293.33333333333439</v>
      </c>
      <c r="BI182" s="60">
        <f ca="1">AVERAGE(OFFSET($BH$3,0,0,'Données projet'!$E$11+1,1))-AVERAGE(OFFSET($H$3,0,0,'Données projet'!$E$11+1,1))</f>
        <v>287.91374663515506</v>
      </c>
      <c r="BJ182" s="60">
        <f t="shared" si="146"/>
        <v>217.76240797006147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-9.6633812063373625E-13</v>
      </c>
      <c r="BZ182" s="14">
        <f>BY182*VLOOKUP('Données projet'!$B$12,Paramètres!$A$1:$I$89,3,0)*VLOOKUP('Données projet'!$B$12,Paramètres!$A$1:$I$89,5,0)</f>
        <v>-8.7434273154940449E-13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428.8489304403459</v>
      </c>
      <c r="CE182" s="60">
        <f t="shared" si="148"/>
        <v>247.01165577562966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-2.6602720026858149E-14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284.88646502866419</v>
      </c>
      <c r="CZ182" s="60">
        <f t="shared" si="150"/>
        <v>190.4880882944471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-9.6633812063373625E-13</v>
      </c>
      <c r="DP182" s="18">
        <f>DO182*VLOOKUP('Données projet'!$B$14,Paramètres!$A$1:$I$89,3,0)*VLOOKUP('Données projet'!$B$14,Paramètres!$A$1:$I$89,5,0)</f>
        <v>-1.0401663530501537E-12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502.07782026233912</v>
      </c>
      <c r="DU182" s="60">
        <f t="shared" si="152"/>
        <v>285.83623046025156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-1.7053025658242404E-13</v>
      </c>
      <c r="EK182" s="18">
        <f>EJ182*VLOOKUP('Données projet'!$B$15,Paramètres!$A$1:$I$89,3,0)*VLOOKUP('Données projet'!$B$15,Paramètres!$A$1:$I$89,5,0)</f>
        <v>-1.4897523215040567E-13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339.58437495284466</v>
      </c>
      <c r="EP182" s="60">
        <f t="shared" si="154"/>
        <v>371.26234252426531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-9.6633812063373625E-13</v>
      </c>
      <c r="FF182" s="18">
        <f>FE182*VLOOKUP('Données projet'!$B$16,Paramètres!$A$1:$I$89,3,0)*VLOOKUP('Données projet'!$B$16,Paramètres!$A$1:$I$89,5,0)</f>
        <v>-9.3464223027694966E-13</v>
      </c>
      <c r="FG182" s="14" t="e">
        <f t="shared" si="182"/>
        <v>#NUM!</v>
      </c>
      <c r="FH182" s="22" t="e">
        <f t="shared" si="183"/>
        <v>#NUM!</v>
      </c>
      <c r="FI182" s="60" t="e">
        <f t="shared" si="131"/>
        <v>#NUM!</v>
      </c>
      <c r="FJ182" s="60">
        <f ca="1">AVERAGE(OFFSET($FI$3,0,0,'Données projet'!$E$16+1,1))-AVERAGE(OFFSET($H$3,0,0,'Données projet'!$E$16+1,1))</f>
        <v>455.50822833641354</v>
      </c>
      <c r="FK182" s="60">
        <f t="shared" si="156"/>
        <v>261.14722581688039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-9.7986685432260874E-13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475.47920969424894</v>
      </c>
      <c r="T183" s="60">
        <f t="shared" si="142"/>
        <v>271.73544012419364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-2.8421709430404007E-13</v>
      </c>
      <c r="AJ183" s="14">
        <f>AI183*VLOOKUP('Données projet'!$B$10,Paramètres!$A$1:$I$89,3,0)*VLOOKUP('Données projet'!$B$10,Paramètres!$A$1:$I$89,5,0)</f>
        <v>-1.69961822393816E-13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289.24721145176682</v>
      </c>
      <c r="AO183" s="60">
        <f t="shared" si="144"/>
        <v>229.06617320689003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3.5425023563262381E-2</v>
      </c>
      <c r="AW183" s="23">
        <f>EXP(-LN(2)/2)*AW182+(1-EXP(-LN(2)/2))/(LN(2)/2)*AQ183*AT183*VLOOKUP('Données projet'!$B$10,Paramètres!$A$1:$I$89,3,0)*0.475*44/12</f>
        <v>1.1735383037622248E-22</v>
      </c>
      <c r="AX183" s="23">
        <f t="shared" si="166"/>
        <v>3.5425023563262381E-2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5.6843418860808015E-14</v>
      </c>
      <c r="BE183" s="14">
        <f>BD183*VLOOKUP('Données projet'!$B$11,Paramètres!$A$1:$I$89,3,0)*VLOOKUP('Données projet'!$B$11,Paramètres!$A$1:$I$89,5,0)</f>
        <v>3.3992364478763198E-14</v>
      </c>
      <c r="BF183" s="14">
        <f t="shared" si="167"/>
        <v>5.790027782444094E-13</v>
      </c>
      <c r="BG183" s="22">
        <f t="shared" si="168"/>
        <v>1.0676332069095257E-12</v>
      </c>
      <c r="BH183" s="60">
        <f t="shared" si="116"/>
        <v>293.33333333333439</v>
      </c>
      <c r="BI183" s="60">
        <f ca="1">AVERAGE(OFFSET($BH$3,0,0,'Données projet'!$E$11+1,1))-AVERAGE(OFFSET($H$3,0,0,'Données projet'!$E$11+1,1))</f>
        <v>287.91374663515506</v>
      </c>
      <c r="BJ183" s="60">
        <f t="shared" si="146"/>
        <v>217.76240797006147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-9.6633812063373625E-13</v>
      </c>
      <c r="BZ183" s="14">
        <f>BY183*VLOOKUP('Données projet'!$B$12,Paramètres!$A$1:$I$89,3,0)*VLOOKUP('Données projet'!$B$12,Paramètres!$A$1:$I$89,5,0)</f>
        <v>-8.7434273154940449E-13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428.8489304403459</v>
      </c>
      <c r="CE183" s="60">
        <f t="shared" si="148"/>
        <v>247.01165577562966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-2.6602720026858149E-14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284.88646502866419</v>
      </c>
      <c r="CZ183" s="60">
        <f t="shared" si="150"/>
        <v>190.4880882944471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-9.6633812063373625E-13</v>
      </c>
      <c r="DP183" s="18">
        <f>DO183*VLOOKUP('Données projet'!$B$14,Paramètres!$A$1:$I$89,3,0)*VLOOKUP('Données projet'!$B$14,Paramètres!$A$1:$I$89,5,0)</f>
        <v>-1.0401663530501537E-12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502.07782026233912</v>
      </c>
      <c r="DU183" s="60">
        <f t="shared" si="152"/>
        <v>285.83623046025156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-1.7053025658242404E-13</v>
      </c>
      <c r="EK183" s="18">
        <f>EJ183*VLOOKUP('Données projet'!$B$15,Paramètres!$A$1:$I$89,3,0)*VLOOKUP('Données projet'!$B$15,Paramètres!$A$1:$I$89,5,0)</f>
        <v>-1.4897523215040567E-13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339.58437495284466</v>
      </c>
      <c r="EP183" s="60">
        <f t="shared" si="154"/>
        <v>371.26234252426531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-9.6633812063373625E-13</v>
      </c>
      <c r="FF183" s="18">
        <f>FE183*VLOOKUP('Données projet'!$B$16,Paramètres!$A$1:$I$89,3,0)*VLOOKUP('Données projet'!$B$16,Paramètres!$A$1:$I$89,5,0)</f>
        <v>-9.3464223027694966E-13</v>
      </c>
      <c r="FG183" s="14" t="e">
        <f t="shared" si="182"/>
        <v>#NUM!</v>
      </c>
      <c r="FH183" s="22" t="e">
        <f t="shared" si="183"/>
        <v>#NUM!</v>
      </c>
      <c r="FI183" s="60" t="e">
        <f t="shared" si="131"/>
        <v>#NUM!</v>
      </c>
      <c r="FJ183" s="60">
        <f ca="1">AVERAGE(OFFSET($FI$3,0,0,'Données projet'!$E$16+1,1))-AVERAGE(OFFSET($H$3,0,0,'Données projet'!$E$16+1,1))</f>
        <v>455.50822833641354</v>
      </c>
      <c r="FK183" s="60">
        <f t="shared" si="156"/>
        <v>261.14722581688039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-9.7986685432260874E-13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475.47920969424894</v>
      </c>
      <c r="T184" s="60">
        <f t="shared" si="142"/>
        <v>271.73544012419364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-2.8421709430404007E-13</v>
      </c>
      <c r="AJ184" s="14">
        <f>AI184*VLOOKUP('Données projet'!$B$10,Paramètres!$A$1:$I$89,3,0)*VLOOKUP('Données projet'!$B$10,Paramètres!$A$1:$I$89,5,0)</f>
        <v>-1.69961822393816E-13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289.24721145176682</v>
      </c>
      <c r="AO184" s="60">
        <f t="shared" si="144"/>
        <v>229.06617320689003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3.4456324431003944E-2</v>
      </c>
      <c r="AW184" s="23">
        <f>EXP(-LN(2)/2)*AW183+(1-EXP(-LN(2)/2))/(LN(2)/2)*AQ184*AT184*VLOOKUP('Données projet'!$B$10,Paramètres!$A$1:$I$89,3,0)*0.475*44/12</f>
        <v>8.2981689257242765E-23</v>
      </c>
      <c r="AX184" s="23">
        <f t="shared" si="166"/>
        <v>3.4456324431003944E-2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5.6843418860808015E-14</v>
      </c>
      <c r="BE184" s="14">
        <f>BD184*VLOOKUP('Données projet'!$B$11,Paramètres!$A$1:$I$89,3,0)*VLOOKUP('Données projet'!$B$11,Paramètres!$A$1:$I$89,5,0)</f>
        <v>3.3992364478763198E-14</v>
      </c>
      <c r="BF184" s="14">
        <f t="shared" si="167"/>
        <v>5.790027782444094E-13</v>
      </c>
      <c r="BG184" s="22">
        <f t="shared" si="168"/>
        <v>1.0676332069095257E-12</v>
      </c>
      <c r="BH184" s="60">
        <f t="shared" si="116"/>
        <v>293.33333333333439</v>
      </c>
      <c r="BI184" s="60">
        <f ca="1">AVERAGE(OFFSET($BH$3,0,0,'Données projet'!$E$11+1,1))-AVERAGE(OFFSET($H$3,0,0,'Données projet'!$E$11+1,1))</f>
        <v>287.91374663515506</v>
      </c>
      <c r="BJ184" s="60">
        <f t="shared" si="146"/>
        <v>217.76240797006147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-9.6633812063373625E-13</v>
      </c>
      <c r="BZ184" s="14">
        <f>BY184*VLOOKUP('Données projet'!$B$12,Paramètres!$A$1:$I$89,3,0)*VLOOKUP('Données projet'!$B$12,Paramètres!$A$1:$I$89,5,0)</f>
        <v>-8.7434273154940449E-13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428.8489304403459</v>
      </c>
      <c r="CE184" s="60">
        <f t="shared" si="148"/>
        <v>247.01165577562966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-2.6602720026858149E-14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284.88646502866419</v>
      </c>
      <c r="CZ184" s="60">
        <f t="shared" si="150"/>
        <v>190.4880882944471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-9.6633812063373625E-13</v>
      </c>
      <c r="DP184" s="18">
        <f>DO184*VLOOKUP('Données projet'!$B$14,Paramètres!$A$1:$I$89,3,0)*VLOOKUP('Données projet'!$B$14,Paramètres!$A$1:$I$89,5,0)</f>
        <v>-1.0401663530501537E-12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502.07782026233912</v>
      </c>
      <c r="DU184" s="60">
        <f t="shared" si="152"/>
        <v>285.83623046025156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-1.7053025658242404E-13</v>
      </c>
      <c r="EK184" s="18">
        <f>EJ184*VLOOKUP('Données projet'!$B$15,Paramètres!$A$1:$I$89,3,0)*VLOOKUP('Données projet'!$B$15,Paramètres!$A$1:$I$89,5,0)</f>
        <v>-1.4897523215040567E-13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339.58437495284466</v>
      </c>
      <c r="EP184" s="60">
        <f t="shared" si="154"/>
        <v>371.26234252426531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-9.6633812063373625E-13</v>
      </c>
      <c r="FF184" s="18">
        <f>FE184*VLOOKUP('Données projet'!$B$16,Paramètres!$A$1:$I$89,3,0)*VLOOKUP('Données projet'!$B$16,Paramètres!$A$1:$I$89,5,0)</f>
        <v>-9.3464223027694966E-13</v>
      </c>
      <c r="FG184" s="14" t="e">
        <f t="shared" si="182"/>
        <v>#NUM!</v>
      </c>
      <c r="FH184" s="22" t="e">
        <f t="shared" si="183"/>
        <v>#NUM!</v>
      </c>
      <c r="FI184" s="60" t="e">
        <f t="shared" si="131"/>
        <v>#NUM!</v>
      </c>
      <c r="FJ184" s="60">
        <f ca="1">AVERAGE(OFFSET($FI$3,0,0,'Données projet'!$E$16+1,1))-AVERAGE(OFFSET($H$3,0,0,'Données projet'!$E$16+1,1))</f>
        <v>455.50822833641354</v>
      </c>
      <c r="FK184" s="60">
        <f t="shared" si="156"/>
        <v>261.14722581688039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-9.7986685432260874E-13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475.47920969424894</v>
      </c>
      <c r="T185" s="60">
        <f t="shared" si="142"/>
        <v>271.73544012419364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-2.8421709430404007E-13</v>
      </c>
      <c r="AJ185" s="14">
        <f>AI185*VLOOKUP('Données projet'!$B$10,Paramètres!$A$1:$I$89,3,0)*VLOOKUP('Données projet'!$B$10,Paramètres!$A$1:$I$89,5,0)</f>
        <v>-1.69961822393816E-13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289.24721145176682</v>
      </c>
      <c r="AO185" s="60">
        <f t="shared" si="144"/>
        <v>229.06617320689003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3.3514114427458788E-2</v>
      </c>
      <c r="AW185" s="23">
        <f>EXP(-LN(2)/2)*AW184+(1-EXP(-LN(2)/2))/(LN(2)/2)*AQ185*AT185*VLOOKUP('Données projet'!$B$10,Paramètres!$A$1:$I$89,3,0)*0.475*44/12</f>
        <v>5.867691518811124E-23</v>
      </c>
      <c r="AX185" s="23">
        <f t="shared" si="166"/>
        <v>3.3514114427458788E-2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5.6843418860808015E-14</v>
      </c>
      <c r="BE185" s="14">
        <f>BD185*VLOOKUP('Données projet'!$B$11,Paramètres!$A$1:$I$89,3,0)*VLOOKUP('Données projet'!$B$11,Paramètres!$A$1:$I$89,5,0)</f>
        <v>3.3992364478763198E-14</v>
      </c>
      <c r="BF185" s="14">
        <f t="shared" si="167"/>
        <v>5.790027782444094E-13</v>
      </c>
      <c r="BG185" s="22">
        <f t="shared" si="168"/>
        <v>1.0676332069095257E-12</v>
      </c>
      <c r="BH185" s="60">
        <f t="shared" si="116"/>
        <v>293.33333333333439</v>
      </c>
      <c r="BI185" s="60">
        <f ca="1">AVERAGE(OFFSET($BH$3,0,0,'Données projet'!$E$11+1,1))-AVERAGE(OFFSET($H$3,0,0,'Données projet'!$E$11+1,1))</f>
        <v>287.91374663515506</v>
      </c>
      <c r="BJ185" s="60">
        <f t="shared" si="146"/>
        <v>217.76240797006147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-9.6633812063373625E-13</v>
      </c>
      <c r="BZ185" s="14">
        <f>BY185*VLOOKUP('Données projet'!$B$12,Paramètres!$A$1:$I$89,3,0)*VLOOKUP('Données projet'!$B$12,Paramètres!$A$1:$I$89,5,0)</f>
        <v>-8.7434273154940449E-13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428.8489304403459</v>
      </c>
      <c r="CE185" s="60">
        <f t="shared" si="148"/>
        <v>247.01165577562966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-2.6602720026858149E-14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284.88646502866419</v>
      </c>
      <c r="CZ185" s="60">
        <f t="shared" si="150"/>
        <v>190.4880882944471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-9.6633812063373625E-13</v>
      </c>
      <c r="DP185" s="18">
        <f>DO185*VLOOKUP('Données projet'!$B$14,Paramètres!$A$1:$I$89,3,0)*VLOOKUP('Données projet'!$B$14,Paramètres!$A$1:$I$89,5,0)</f>
        <v>-1.0401663530501537E-12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502.07782026233912</v>
      </c>
      <c r="DU185" s="60">
        <f t="shared" si="152"/>
        <v>285.83623046025156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-1.7053025658242404E-13</v>
      </c>
      <c r="EK185" s="18">
        <f>EJ185*VLOOKUP('Données projet'!$B$15,Paramètres!$A$1:$I$89,3,0)*VLOOKUP('Données projet'!$B$15,Paramètres!$A$1:$I$89,5,0)</f>
        <v>-1.4897523215040567E-13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339.58437495284466</v>
      </c>
      <c r="EP185" s="60">
        <f t="shared" si="154"/>
        <v>371.26234252426531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-9.6633812063373625E-13</v>
      </c>
      <c r="FF185" s="18">
        <f>FE185*VLOOKUP('Données projet'!$B$16,Paramètres!$A$1:$I$89,3,0)*VLOOKUP('Données projet'!$B$16,Paramètres!$A$1:$I$89,5,0)</f>
        <v>-9.3464223027694966E-13</v>
      </c>
      <c r="FG185" s="14" t="e">
        <f t="shared" si="182"/>
        <v>#NUM!</v>
      </c>
      <c r="FH185" s="22" t="e">
        <f t="shared" si="183"/>
        <v>#NUM!</v>
      </c>
      <c r="FI185" s="60" t="e">
        <f t="shared" si="131"/>
        <v>#NUM!</v>
      </c>
      <c r="FJ185" s="60">
        <f ca="1">AVERAGE(OFFSET($FI$3,0,0,'Données projet'!$E$16+1,1))-AVERAGE(OFFSET($H$3,0,0,'Données projet'!$E$16+1,1))</f>
        <v>455.50822833641354</v>
      </c>
      <c r="FK185" s="60">
        <f t="shared" si="156"/>
        <v>261.14722581688039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-9.7986685432260874E-13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475.47920969424894</v>
      </c>
      <c r="T186" s="60">
        <f t="shared" si="142"/>
        <v>271.73544012419364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-2.8421709430404007E-13</v>
      </c>
      <c r="AJ186" s="14">
        <f>AI186*VLOOKUP('Données projet'!$B$10,Paramètres!$A$1:$I$89,3,0)*VLOOKUP('Données projet'!$B$10,Paramètres!$A$1:$I$89,5,0)</f>
        <v>-1.69961822393816E-13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289.24721145176682</v>
      </c>
      <c r="AO186" s="60">
        <f t="shared" si="144"/>
        <v>229.06617320689003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3.2597669206009247E-2</v>
      </c>
      <c r="AW186" s="23">
        <f>EXP(-LN(2)/2)*AW185+(1-EXP(-LN(2)/2))/(LN(2)/2)*AQ186*AT186*VLOOKUP('Données projet'!$B$10,Paramètres!$A$1:$I$89,3,0)*0.475*44/12</f>
        <v>4.1490844628621382E-23</v>
      </c>
      <c r="AX186" s="23">
        <f t="shared" si="166"/>
        <v>3.2597669206009247E-2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5.6843418860808015E-14</v>
      </c>
      <c r="BE186" s="14">
        <f>BD186*VLOOKUP('Données projet'!$B$11,Paramètres!$A$1:$I$89,3,0)*VLOOKUP('Données projet'!$B$11,Paramètres!$A$1:$I$89,5,0)</f>
        <v>3.3992364478763198E-14</v>
      </c>
      <c r="BF186" s="14">
        <f t="shared" si="167"/>
        <v>5.790027782444094E-13</v>
      </c>
      <c r="BG186" s="22">
        <f t="shared" si="168"/>
        <v>1.0676332069095257E-12</v>
      </c>
      <c r="BH186" s="60">
        <f t="shared" si="116"/>
        <v>293.33333333333439</v>
      </c>
      <c r="BI186" s="60">
        <f ca="1">AVERAGE(OFFSET($BH$3,0,0,'Données projet'!$E$11+1,1))-AVERAGE(OFFSET($H$3,0,0,'Données projet'!$E$11+1,1))</f>
        <v>287.91374663515506</v>
      </c>
      <c r="BJ186" s="60">
        <f t="shared" si="146"/>
        <v>217.76240797006147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-9.6633812063373625E-13</v>
      </c>
      <c r="BZ186" s="14">
        <f>BY186*VLOOKUP('Données projet'!$B$12,Paramètres!$A$1:$I$89,3,0)*VLOOKUP('Données projet'!$B$12,Paramètres!$A$1:$I$89,5,0)</f>
        <v>-8.7434273154940449E-13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428.8489304403459</v>
      </c>
      <c r="CE186" s="60">
        <f t="shared" si="148"/>
        <v>247.01165577562966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-2.6602720026858149E-14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284.88646502866419</v>
      </c>
      <c r="CZ186" s="60">
        <f t="shared" si="150"/>
        <v>190.4880882944471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-9.6633812063373625E-13</v>
      </c>
      <c r="DP186" s="18">
        <f>DO186*VLOOKUP('Données projet'!$B$14,Paramètres!$A$1:$I$89,3,0)*VLOOKUP('Données projet'!$B$14,Paramètres!$A$1:$I$89,5,0)</f>
        <v>-1.0401663530501537E-12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502.07782026233912</v>
      </c>
      <c r="DU186" s="60">
        <f t="shared" si="152"/>
        <v>285.83623046025156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-1.7053025658242404E-13</v>
      </c>
      <c r="EK186" s="18">
        <f>EJ186*VLOOKUP('Données projet'!$B$15,Paramètres!$A$1:$I$89,3,0)*VLOOKUP('Données projet'!$B$15,Paramètres!$A$1:$I$89,5,0)</f>
        <v>-1.4897523215040567E-13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339.58437495284466</v>
      </c>
      <c r="EP186" s="60">
        <f t="shared" si="154"/>
        <v>371.26234252426531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-9.6633812063373625E-13</v>
      </c>
      <c r="FF186" s="18">
        <f>FE186*VLOOKUP('Données projet'!$B$16,Paramètres!$A$1:$I$89,3,0)*VLOOKUP('Données projet'!$B$16,Paramètres!$A$1:$I$89,5,0)</f>
        <v>-9.3464223027694966E-13</v>
      </c>
      <c r="FG186" s="14" t="e">
        <f t="shared" si="182"/>
        <v>#NUM!</v>
      </c>
      <c r="FH186" s="22" t="e">
        <f t="shared" si="183"/>
        <v>#NUM!</v>
      </c>
      <c r="FI186" s="60" t="e">
        <f t="shared" si="131"/>
        <v>#NUM!</v>
      </c>
      <c r="FJ186" s="60">
        <f ca="1">AVERAGE(OFFSET($FI$3,0,0,'Données projet'!$E$16+1,1))-AVERAGE(OFFSET($H$3,0,0,'Données projet'!$E$16+1,1))</f>
        <v>455.50822833641354</v>
      </c>
      <c r="FK186" s="60">
        <f t="shared" si="156"/>
        <v>261.14722581688039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-9.7986685432260874E-13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475.47920969424894</v>
      </c>
      <c r="T187" s="60">
        <f t="shared" si="142"/>
        <v>271.73544012419364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-2.8421709430404007E-13</v>
      </c>
      <c r="AJ187" s="14">
        <f>AI187*VLOOKUP('Données projet'!$B$10,Paramètres!$A$1:$I$89,3,0)*VLOOKUP('Données projet'!$B$10,Paramètres!$A$1:$I$89,5,0)</f>
        <v>-1.69961822393816E-13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289.24721145176682</v>
      </c>
      <c r="AO187" s="60">
        <f t="shared" si="144"/>
        <v>229.06617320689003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3.1706284227334007E-2</v>
      </c>
      <c r="AW187" s="23">
        <f>EXP(-LN(2)/2)*AW186+(1-EXP(-LN(2)/2))/(LN(2)/2)*AQ187*AT187*VLOOKUP('Données projet'!$B$10,Paramètres!$A$1:$I$89,3,0)*0.475*44/12</f>
        <v>2.933845759405562E-23</v>
      </c>
      <c r="AX187" s="23">
        <f t="shared" si="166"/>
        <v>3.1706284227334007E-2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5.6843418860808015E-14</v>
      </c>
      <c r="BE187" s="14">
        <f>BD187*VLOOKUP('Données projet'!$B$11,Paramètres!$A$1:$I$89,3,0)*VLOOKUP('Données projet'!$B$11,Paramètres!$A$1:$I$89,5,0)</f>
        <v>3.3992364478763198E-14</v>
      </c>
      <c r="BF187" s="14">
        <f t="shared" si="167"/>
        <v>5.790027782444094E-13</v>
      </c>
      <c r="BG187" s="22">
        <f t="shared" si="168"/>
        <v>1.0676332069095257E-12</v>
      </c>
      <c r="BH187" s="60">
        <f t="shared" si="116"/>
        <v>293.33333333333439</v>
      </c>
      <c r="BI187" s="60">
        <f ca="1">AVERAGE(OFFSET($BH$3,0,0,'Données projet'!$E$11+1,1))-AVERAGE(OFFSET($H$3,0,0,'Données projet'!$E$11+1,1))</f>
        <v>287.91374663515506</v>
      </c>
      <c r="BJ187" s="60">
        <f t="shared" si="146"/>
        <v>217.76240797006147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-9.6633812063373625E-13</v>
      </c>
      <c r="BZ187" s="14">
        <f>BY187*VLOOKUP('Données projet'!$B$12,Paramètres!$A$1:$I$89,3,0)*VLOOKUP('Données projet'!$B$12,Paramètres!$A$1:$I$89,5,0)</f>
        <v>-8.7434273154940449E-13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428.8489304403459</v>
      </c>
      <c r="CE187" s="60">
        <f t="shared" si="148"/>
        <v>247.01165577562966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-2.6602720026858149E-14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284.88646502866419</v>
      </c>
      <c r="CZ187" s="60">
        <f t="shared" si="150"/>
        <v>190.4880882944471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-9.6633812063373625E-13</v>
      </c>
      <c r="DP187" s="18">
        <f>DO187*VLOOKUP('Données projet'!$B$14,Paramètres!$A$1:$I$89,3,0)*VLOOKUP('Données projet'!$B$14,Paramètres!$A$1:$I$89,5,0)</f>
        <v>-1.0401663530501537E-12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502.07782026233912</v>
      </c>
      <c r="DU187" s="60">
        <f t="shared" si="152"/>
        <v>285.83623046025156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-1.7053025658242404E-13</v>
      </c>
      <c r="EK187" s="18">
        <f>EJ187*VLOOKUP('Données projet'!$B$15,Paramètres!$A$1:$I$89,3,0)*VLOOKUP('Données projet'!$B$15,Paramètres!$A$1:$I$89,5,0)</f>
        <v>-1.4897523215040567E-13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339.58437495284466</v>
      </c>
      <c r="EP187" s="60">
        <f t="shared" si="154"/>
        <v>371.26234252426531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-9.6633812063373625E-13</v>
      </c>
      <c r="FF187" s="18">
        <f>FE187*VLOOKUP('Données projet'!$B$16,Paramètres!$A$1:$I$89,3,0)*VLOOKUP('Données projet'!$B$16,Paramètres!$A$1:$I$89,5,0)</f>
        <v>-9.3464223027694966E-13</v>
      </c>
      <c r="FG187" s="14" t="e">
        <f t="shared" si="182"/>
        <v>#NUM!</v>
      </c>
      <c r="FH187" s="22" t="e">
        <f t="shared" si="183"/>
        <v>#NUM!</v>
      </c>
      <c r="FI187" s="60" t="e">
        <f t="shared" si="131"/>
        <v>#NUM!</v>
      </c>
      <c r="FJ187" s="60">
        <f ca="1">AVERAGE(OFFSET($FI$3,0,0,'Données projet'!$E$16+1,1))-AVERAGE(OFFSET($H$3,0,0,'Données projet'!$E$16+1,1))</f>
        <v>455.50822833641354</v>
      </c>
      <c r="FK187" s="60">
        <f t="shared" si="156"/>
        <v>261.14722581688039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-9.7986685432260874E-13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475.47920969424894</v>
      </c>
      <c r="T188" s="60">
        <f t="shared" si="142"/>
        <v>271.73544012419364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-2.8421709430404007E-13</v>
      </c>
      <c r="AJ188" s="14">
        <f>AI188*VLOOKUP('Données projet'!$B$10,Paramètres!$A$1:$I$89,3,0)*VLOOKUP('Données projet'!$B$10,Paramètres!$A$1:$I$89,5,0)</f>
        <v>-1.69961822393816E-13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289.24721145176682</v>
      </c>
      <c r="AO188" s="60">
        <f t="shared" si="144"/>
        <v>229.06617320689003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3.0839274217776536E-2</v>
      </c>
      <c r="AW188" s="23">
        <f>EXP(-LN(2)/2)*AW187+(1-EXP(-LN(2)/2))/(LN(2)/2)*AQ188*AT188*VLOOKUP('Données projet'!$B$10,Paramètres!$A$1:$I$89,3,0)*0.475*44/12</f>
        <v>2.0745422314310691E-23</v>
      </c>
      <c r="AX188" s="23">
        <f t="shared" si="166"/>
        <v>3.0839274217776536E-2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5.6843418860808015E-14</v>
      </c>
      <c r="BE188" s="14">
        <f>BD188*VLOOKUP('Données projet'!$B$11,Paramètres!$A$1:$I$89,3,0)*VLOOKUP('Données projet'!$B$11,Paramètres!$A$1:$I$89,5,0)</f>
        <v>3.3992364478763198E-14</v>
      </c>
      <c r="BF188" s="14">
        <f t="shared" si="167"/>
        <v>5.790027782444094E-13</v>
      </c>
      <c r="BG188" s="22">
        <f t="shared" si="168"/>
        <v>1.0676332069095257E-12</v>
      </c>
      <c r="BH188" s="60">
        <f t="shared" si="116"/>
        <v>293.33333333333439</v>
      </c>
      <c r="BI188" s="60">
        <f ca="1">AVERAGE(OFFSET($BH$3,0,0,'Données projet'!$E$11+1,1))-AVERAGE(OFFSET($H$3,0,0,'Données projet'!$E$11+1,1))</f>
        <v>287.91374663515506</v>
      </c>
      <c r="BJ188" s="60">
        <f t="shared" si="146"/>
        <v>217.76240797006147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-9.6633812063373625E-13</v>
      </c>
      <c r="BZ188" s="14">
        <f>BY188*VLOOKUP('Données projet'!$B$12,Paramètres!$A$1:$I$89,3,0)*VLOOKUP('Données projet'!$B$12,Paramètres!$A$1:$I$89,5,0)</f>
        <v>-8.7434273154940449E-13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428.8489304403459</v>
      </c>
      <c r="CE188" s="60">
        <f t="shared" si="148"/>
        <v>247.01165577562966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-2.6602720026858149E-14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284.88646502866419</v>
      </c>
      <c r="CZ188" s="60">
        <f t="shared" si="150"/>
        <v>190.4880882944471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-9.6633812063373625E-13</v>
      </c>
      <c r="DP188" s="18">
        <f>DO188*VLOOKUP('Données projet'!$B$14,Paramètres!$A$1:$I$89,3,0)*VLOOKUP('Données projet'!$B$14,Paramètres!$A$1:$I$89,5,0)</f>
        <v>-1.0401663530501537E-12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502.07782026233912</v>
      </c>
      <c r="DU188" s="60">
        <f t="shared" si="152"/>
        <v>285.83623046025156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-1.7053025658242404E-13</v>
      </c>
      <c r="EK188" s="18">
        <f>EJ188*VLOOKUP('Données projet'!$B$15,Paramètres!$A$1:$I$89,3,0)*VLOOKUP('Données projet'!$B$15,Paramètres!$A$1:$I$89,5,0)</f>
        <v>-1.4897523215040567E-13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339.58437495284466</v>
      </c>
      <c r="EP188" s="60">
        <f t="shared" si="154"/>
        <v>371.26234252426531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-9.6633812063373625E-13</v>
      </c>
      <c r="FF188" s="18">
        <f>FE188*VLOOKUP('Données projet'!$B$16,Paramètres!$A$1:$I$89,3,0)*VLOOKUP('Données projet'!$B$16,Paramètres!$A$1:$I$89,5,0)</f>
        <v>-9.3464223027694966E-13</v>
      </c>
      <c r="FG188" s="14" t="e">
        <f t="shared" si="182"/>
        <v>#NUM!</v>
      </c>
      <c r="FH188" s="22" t="e">
        <f t="shared" si="183"/>
        <v>#NUM!</v>
      </c>
      <c r="FI188" s="60" t="e">
        <f t="shared" si="131"/>
        <v>#NUM!</v>
      </c>
      <c r="FJ188" s="60">
        <f ca="1">AVERAGE(OFFSET($FI$3,0,0,'Données projet'!$E$16+1,1))-AVERAGE(OFFSET($H$3,0,0,'Données projet'!$E$16+1,1))</f>
        <v>455.50822833641354</v>
      </c>
      <c r="FK188" s="60">
        <f t="shared" si="156"/>
        <v>261.14722581688039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-9.7986685432260874E-13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475.47920969424894</v>
      </c>
      <c r="T189" s="60">
        <f t="shared" si="142"/>
        <v>271.73544012419364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-2.8421709430404007E-13</v>
      </c>
      <c r="AJ189" s="14">
        <f>AI189*VLOOKUP('Données projet'!$B$10,Paramètres!$A$1:$I$89,3,0)*VLOOKUP('Données projet'!$B$10,Paramètres!$A$1:$I$89,5,0)</f>
        <v>-1.69961822393816E-13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289.24721145176682</v>
      </c>
      <c r="AO189" s="60">
        <f t="shared" si="144"/>
        <v>229.06617320689003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2.9995972642524491E-2</v>
      </c>
      <c r="AW189" s="23">
        <f>EXP(-LN(2)/2)*AW188+(1-EXP(-LN(2)/2))/(LN(2)/2)*AQ189*AT189*VLOOKUP('Données projet'!$B$10,Paramètres!$A$1:$I$89,3,0)*0.475*44/12</f>
        <v>1.466922879702781E-23</v>
      </c>
      <c r="AX189" s="23">
        <f t="shared" si="166"/>
        <v>2.9995972642524491E-2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5.6843418860808015E-14</v>
      </c>
      <c r="BE189" s="14">
        <f>BD189*VLOOKUP('Données projet'!$B$11,Paramètres!$A$1:$I$89,3,0)*VLOOKUP('Données projet'!$B$11,Paramètres!$A$1:$I$89,5,0)</f>
        <v>3.3992364478763198E-14</v>
      </c>
      <c r="BF189" s="14">
        <f t="shared" si="167"/>
        <v>5.790027782444094E-13</v>
      </c>
      <c r="BG189" s="22">
        <f t="shared" si="168"/>
        <v>1.0676332069095257E-12</v>
      </c>
      <c r="BH189" s="60">
        <f t="shared" si="116"/>
        <v>293.33333333333439</v>
      </c>
      <c r="BI189" s="60">
        <f ca="1">AVERAGE(OFFSET($BH$3,0,0,'Données projet'!$E$11+1,1))-AVERAGE(OFFSET($H$3,0,0,'Données projet'!$E$11+1,1))</f>
        <v>287.91374663515506</v>
      </c>
      <c r="BJ189" s="60">
        <f t="shared" si="146"/>
        <v>217.76240797006147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-9.6633812063373625E-13</v>
      </c>
      <c r="BZ189" s="14">
        <f>BY189*VLOOKUP('Données projet'!$B$12,Paramètres!$A$1:$I$89,3,0)*VLOOKUP('Données projet'!$B$12,Paramètres!$A$1:$I$89,5,0)</f>
        <v>-8.7434273154940449E-13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428.8489304403459</v>
      </c>
      <c r="CE189" s="60">
        <f t="shared" si="148"/>
        <v>247.01165577562966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-2.6602720026858149E-14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284.88646502866419</v>
      </c>
      <c r="CZ189" s="60">
        <f t="shared" si="150"/>
        <v>190.4880882944471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-9.6633812063373625E-13</v>
      </c>
      <c r="DP189" s="18">
        <f>DO189*VLOOKUP('Données projet'!$B$14,Paramètres!$A$1:$I$89,3,0)*VLOOKUP('Données projet'!$B$14,Paramètres!$A$1:$I$89,5,0)</f>
        <v>-1.0401663530501537E-12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502.07782026233912</v>
      </c>
      <c r="DU189" s="60">
        <f t="shared" si="152"/>
        <v>285.83623046025156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-1.7053025658242404E-13</v>
      </c>
      <c r="EK189" s="18">
        <f>EJ189*VLOOKUP('Données projet'!$B$15,Paramètres!$A$1:$I$89,3,0)*VLOOKUP('Données projet'!$B$15,Paramètres!$A$1:$I$89,5,0)</f>
        <v>-1.4897523215040567E-13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339.58437495284466</v>
      </c>
      <c r="EP189" s="60">
        <f t="shared" si="154"/>
        <v>371.26234252426531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-9.6633812063373625E-13</v>
      </c>
      <c r="FF189" s="18">
        <f>FE189*VLOOKUP('Données projet'!$B$16,Paramètres!$A$1:$I$89,3,0)*VLOOKUP('Données projet'!$B$16,Paramètres!$A$1:$I$89,5,0)</f>
        <v>-9.3464223027694966E-13</v>
      </c>
      <c r="FG189" s="14" t="e">
        <f t="shared" si="182"/>
        <v>#NUM!</v>
      </c>
      <c r="FH189" s="22" t="e">
        <f t="shared" si="183"/>
        <v>#NUM!</v>
      </c>
      <c r="FI189" s="60" t="e">
        <f t="shared" si="131"/>
        <v>#NUM!</v>
      </c>
      <c r="FJ189" s="60">
        <f ca="1">AVERAGE(OFFSET($FI$3,0,0,'Données projet'!$E$16+1,1))-AVERAGE(OFFSET($H$3,0,0,'Données projet'!$E$16+1,1))</f>
        <v>455.50822833641354</v>
      </c>
      <c r="FK189" s="60">
        <f t="shared" si="156"/>
        <v>261.14722581688039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-9.7986685432260874E-13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475.47920969424894</v>
      </c>
      <c r="T190" s="60">
        <f t="shared" si="142"/>
        <v>271.73544012419364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-2.8421709430404007E-13</v>
      </c>
      <c r="AJ190" s="14">
        <f>AI190*VLOOKUP('Données projet'!$B$10,Paramètres!$A$1:$I$89,3,0)*VLOOKUP('Données projet'!$B$10,Paramètres!$A$1:$I$89,5,0)</f>
        <v>-1.69961822393816E-13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289.24721145176682</v>
      </c>
      <c r="AO190" s="60">
        <f t="shared" si="144"/>
        <v>229.06617320689003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2.9175731193195015E-2</v>
      </c>
      <c r="AW190" s="23">
        <f>EXP(-LN(2)/2)*AW189+(1-EXP(-LN(2)/2))/(LN(2)/2)*AQ190*AT190*VLOOKUP('Données projet'!$B$10,Paramètres!$A$1:$I$89,3,0)*0.475*44/12</f>
        <v>1.0372711157155346E-23</v>
      </c>
      <c r="AX190" s="23">
        <f t="shared" si="166"/>
        <v>2.9175731193195015E-2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5.6843418860808015E-14</v>
      </c>
      <c r="BE190" s="14">
        <f>BD190*VLOOKUP('Données projet'!$B$11,Paramètres!$A$1:$I$89,3,0)*VLOOKUP('Données projet'!$B$11,Paramètres!$A$1:$I$89,5,0)</f>
        <v>3.3992364478763198E-14</v>
      </c>
      <c r="BF190" s="14">
        <f t="shared" si="167"/>
        <v>5.790027782444094E-13</v>
      </c>
      <c r="BG190" s="22">
        <f t="shared" si="168"/>
        <v>1.0676332069095257E-12</v>
      </c>
      <c r="BH190" s="60">
        <f t="shared" si="116"/>
        <v>293.33333333333439</v>
      </c>
      <c r="BI190" s="60">
        <f ca="1">AVERAGE(OFFSET($BH$3,0,0,'Données projet'!$E$11+1,1))-AVERAGE(OFFSET($H$3,0,0,'Données projet'!$E$11+1,1))</f>
        <v>287.91374663515506</v>
      </c>
      <c r="BJ190" s="60">
        <f t="shared" si="146"/>
        <v>217.76240797006147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-9.6633812063373625E-13</v>
      </c>
      <c r="BZ190" s="14">
        <f>BY190*VLOOKUP('Données projet'!$B$12,Paramètres!$A$1:$I$89,3,0)*VLOOKUP('Données projet'!$B$12,Paramètres!$A$1:$I$89,5,0)</f>
        <v>-8.7434273154940449E-13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428.8489304403459</v>
      </c>
      <c r="CE190" s="60">
        <f t="shared" si="148"/>
        <v>247.01165577562966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-2.6602720026858149E-14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284.88646502866419</v>
      </c>
      <c r="CZ190" s="60">
        <f t="shared" si="150"/>
        <v>190.4880882944471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-9.6633812063373625E-13</v>
      </c>
      <c r="DP190" s="18">
        <f>DO190*VLOOKUP('Données projet'!$B$14,Paramètres!$A$1:$I$89,3,0)*VLOOKUP('Données projet'!$B$14,Paramètres!$A$1:$I$89,5,0)</f>
        <v>-1.0401663530501537E-12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502.07782026233912</v>
      </c>
      <c r="DU190" s="60">
        <f t="shared" si="152"/>
        <v>285.83623046025156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-1.7053025658242404E-13</v>
      </c>
      <c r="EK190" s="18">
        <f>EJ190*VLOOKUP('Données projet'!$B$15,Paramètres!$A$1:$I$89,3,0)*VLOOKUP('Données projet'!$B$15,Paramètres!$A$1:$I$89,5,0)</f>
        <v>-1.4897523215040567E-13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339.58437495284466</v>
      </c>
      <c r="EP190" s="60">
        <f t="shared" si="154"/>
        <v>371.26234252426531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-9.6633812063373625E-13</v>
      </c>
      <c r="FF190" s="18">
        <f>FE190*VLOOKUP('Données projet'!$B$16,Paramètres!$A$1:$I$89,3,0)*VLOOKUP('Données projet'!$B$16,Paramètres!$A$1:$I$89,5,0)</f>
        <v>-9.3464223027694966E-13</v>
      </c>
      <c r="FG190" s="14" t="e">
        <f t="shared" si="182"/>
        <v>#NUM!</v>
      </c>
      <c r="FH190" s="22" t="e">
        <f t="shared" si="183"/>
        <v>#NUM!</v>
      </c>
      <c r="FI190" s="60" t="e">
        <f t="shared" si="131"/>
        <v>#NUM!</v>
      </c>
      <c r="FJ190" s="60">
        <f ca="1">AVERAGE(OFFSET($FI$3,0,0,'Données projet'!$E$16+1,1))-AVERAGE(OFFSET($H$3,0,0,'Données projet'!$E$16+1,1))</f>
        <v>455.50822833641354</v>
      </c>
      <c r="FK190" s="60">
        <f t="shared" si="156"/>
        <v>261.14722581688039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-9.7986685432260874E-13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475.47920969424894</v>
      </c>
      <c r="T191" s="60">
        <f t="shared" si="142"/>
        <v>271.73544012419364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-2.8421709430404007E-13</v>
      </c>
      <c r="AJ191" s="14">
        <f>AI191*VLOOKUP('Données projet'!$B$10,Paramètres!$A$1:$I$89,3,0)*VLOOKUP('Données projet'!$B$10,Paramètres!$A$1:$I$89,5,0)</f>
        <v>-1.69961822393816E-13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289.24721145176682</v>
      </c>
      <c r="AO191" s="60">
        <f t="shared" si="144"/>
        <v>229.06617320689003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2.8377919289432077E-2</v>
      </c>
      <c r="AW191" s="23">
        <f>EXP(-LN(2)/2)*AW190+(1-EXP(-LN(2)/2))/(LN(2)/2)*AQ191*AT191*VLOOKUP('Données projet'!$B$10,Paramètres!$A$1:$I$89,3,0)*0.475*44/12</f>
        <v>7.334614398513905E-24</v>
      </c>
      <c r="AX191" s="23">
        <f t="shared" si="166"/>
        <v>2.8377919289432077E-2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5.6843418860808015E-14</v>
      </c>
      <c r="BE191" s="14">
        <f>BD191*VLOOKUP('Données projet'!$B$11,Paramètres!$A$1:$I$89,3,0)*VLOOKUP('Données projet'!$B$11,Paramètres!$A$1:$I$89,5,0)</f>
        <v>3.3992364478763198E-14</v>
      </c>
      <c r="BF191" s="14">
        <f t="shared" si="167"/>
        <v>5.790027782444094E-13</v>
      </c>
      <c r="BG191" s="22">
        <f t="shared" si="168"/>
        <v>1.0676332069095257E-12</v>
      </c>
      <c r="BH191" s="60">
        <f t="shared" si="116"/>
        <v>293.33333333333439</v>
      </c>
      <c r="BI191" s="60">
        <f ca="1">AVERAGE(OFFSET($BH$3,0,0,'Données projet'!$E$11+1,1))-AVERAGE(OFFSET($H$3,0,0,'Données projet'!$E$11+1,1))</f>
        <v>287.91374663515506</v>
      </c>
      <c r="BJ191" s="60">
        <f t="shared" si="146"/>
        <v>217.76240797006147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-9.6633812063373625E-13</v>
      </c>
      <c r="BZ191" s="14">
        <f>BY191*VLOOKUP('Données projet'!$B$12,Paramètres!$A$1:$I$89,3,0)*VLOOKUP('Données projet'!$B$12,Paramètres!$A$1:$I$89,5,0)</f>
        <v>-8.7434273154940449E-13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428.8489304403459</v>
      </c>
      <c r="CE191" s="60">
        <f t="shared" si="148"/>
        <v>247.01165577562966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-2.6602720026858149E-14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284.88646502866419</v>
      </c>
      <c r="CZ191" s="60">
        <f t="shared" si="150"/>
        <v>190.4880882944471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-9.6633812063373625E-13</v>
      </c>
      <c r="DP191" s="18">
        <f>DO191*VLOOKUP('Données projet'!$B$14,Paramètres!$A$1:$I$89,3,0)*VLOOKUP('Données projet'!$B$14,Paramètres!$A$1:$I$89,5,0)</f>
        <v>-1.0401663530501537E-12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502.07782026233912</v>
      </c>
      <c r="DU191" s="60">
        <f t="shared" si="152"/>
        <v>285.83623046025156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-1.7053025658242404E-13</v>
      </c>
      <c r="EK191" s="18">
        <f>EJ191*VLOOKUP('Données projet'!$B$15,Paramètres!$A$1:$I$89,3,0)*VLOOKUP('Données projet'!$B$15,Paramètres!$A$1:$I$89,5,0)</f>
        <v>-1.4897523215040567E-13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339.58437495284466</v>
      </c>
      <c r="EP191" s="60">
        <f t="shared" si="154"/>
        <v>371.26234252426531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-9.6633812063373625E-13</v>
      </c>
      <c r="FF191" s="18">
        <f>FE191*VLOOKUP('Données projet'!$B$16,Paramètres!$A$1:$I$89,3,0)*VLOOKUP('Données projet'!$B$16,Paramètres!$A$1:$I$89,5,0)</f>
        <v>-9.3464223027694966E-13</v>
      </c>
      <c r="FG191" s="14" t="e">
        <f t="shared" si="182"/>
        <v>#NUM!</v>
      </c>
      <c r="FH191" s="22" t="e">
        <f t="shared" si="183"/>
        <v>#NUM!</v>
      </c>
      <c r="FI191" s="60" t="e">
        <f t="shared" si="131"/>
        <v>#NUM!</v>
      </c>
      <c r="FJ191" s="60">
        <f ca="1">AVERAGE(OFFSET($FI$3,0,0,'Données projet'!$E$16+1,1))-AVERAGE(OFFSET($H$3,0,0,'Données projet'!$E$16+1,1))</f>
        <v>455.50822833641354</v>
      </c>
      <c r="FK191" s="60">
        <f t="shared" si="156"/>
        <v>261.14722581688039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-9.7986685432260874E-13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475.47920969424894</v>
      </c>
      <c r="T192" s="60">
        <f t="shared" si="142"/>
        <v>271.73544012419364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-2.8421709430404007E-13</v>
      </c>
      <c r="AJ192" s="14">
        <f>AI192*VLOOKUP('Données projet'!$B$10,Paramètres!$A$1:$I$89,3,0)*VLOOKUP('Données projet'!$B$10,Paramètres!$A$1:$I$89,5,0)</f>
        <v>-1.69961822393816E-13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289.24721145176682</v>
      </c>
      <c r="AO192" s="60">
        <f t="shared" si="144"/>
        <v>229.06617320689003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2.7601923594132639E-2</v>
      </c>
      <c r="AW192" s="23">
        <f>EXP(-LN(2)/2)*AW191+(1-EXP(-LN(2)/2))/(LN(2)/2)*AQ192*AT192*VLOOKUP('Données projet'!$B$10,Paramètres!$A$1:$I$89,3,0)*0.475*44/12</f>
        <v>5.1863555785776728E-24</v>
      </c>
      <c r="AX192" s="23">
        <f t="shared" si="166"/>
        <v>2.7601923594132639E-2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5.6843418860808015E-14</v>
      </c>
      <c r="BE192" s="14">
        <f>BD192*VLOOKUP('Données projet'!$B$11,Paramètres!$A$1:$I$89,3,0)*VLOOKUP('Données projet'!$B$11,Paramètres!$A$1:$I$89,5,0)</f>
        <v>3.3992364478763198E-14</v>
      </c>
      <c r="BF192" s="14">
        <f t="shared" si="167"/>
        <v>5.790027782444094E-13</v>
      </c>
      <c r="BG192" s="22">
        <f t="shared" si="168"/>
        <v>1.0676332069095257E-12</v>
      </c>
      <c r="BH192" s="60">
        <f t="shared" si="116"/>
        <v>293.33333333333439</v>
      </c>
      <c r="BI192" s="60">
        <f ca="1">AVERAGE(OFFSET($BH$3,0,0,'Données projet'!$E$11+1,1))-AVERAGE(OFFSET($H$3,0,0,'Données projet'!$E$11+1,1))</f>
        <v>287.91374663515506</v>
      </c>
      <c r="BJ192" s="60">
        <f t="shared" si="146"/>
        <v>217.76240797006147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-9.6633812063373625E-13</v>
      </c>
      <c r="BZ192" s="14">
        <f>BY192*VLOOKUP('Données projet'!$B$12,Paramètres!$A$1:$I$89,3,0)*VLOOKUP('Données projet'!$B$12,Paramètres!$A$1:$I$89,5,0)</f>
        <v>-8.7434273154940449E-13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428.8489304403459</v>
      </c>
      <c r="CE192" s="60">
        <f t="shared" si="148"/>
        <v>247.01165577562966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-2.6602720026858149E-14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284.88646502866419</v>
      </c>
      <c r="CZ192" s="60">
        <f t="shared" si="150"/>
        <v>190.4880882944471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-9.6633812063373625E-13</v>
      </c>
      <c r="DP192" s="18">
        <f>DO192*VLOOKUP('Données projet'!$B$14,Paramètres!$A$1:$I$89,3,0)*VLOOKUP('Données projet'!$B$14,Paramètres!$A$1:$I$89,5,0)</f>
        <v>-1.0401663530501537E-12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502.07782026233912</v>
      </c>
      <c r="DU192" s="60">
        <f t="shared" si="152"/>
        <v>285.83623046025156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-1.7053025658242404E-13</v>
      </c>
      <c r="EK192" s="18">
        <f>EJ192*VLOOKUP('Données projet'!$B$15,Paramètres!$A$1:$I$89,3,0)*VLOOKUP('Données projet'!$B$15,Paramètres!$A$1:$I$89,5,0)</f>
        <v>-1.4897523215040567E-13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339.58437495284466</v>
      </c>
      <c r="EP192" s="60">
        <f t="shared" si="154"/>
        <v>371.26234252426531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-9.6633812063373625E-13</v>
      </c>
      <c r="FF192" s="18">
        <f>FE192*VLOOKUP('Données projet'!$B$16,Paramètres!$A$1:$I$89,3,0)*VLOOKUP('Données projet'!$B$16,Paramètres!$A$1:$I$89,5,0)</f>
        <v>-9.3464223027694966E-13</v>
      </c>
      <c r="FG192" s="14" t="e">
        <f t="shared" si="182"/>
        <v>#NUM!</v>
      </c>
      <c r="FH192" s="22" t="e">
        <f t="shared" si="183"/>
        <v>#NUM!</v>
      </c>
      <c r="FI192" s="60" t="e">
        <f t="shared" si="131"/>
        <v>#NUM!</v>
      </c>
      <c r="FJ192" s="60">
        <f ca="1">AVERAGE(OFFSET($FI$3,0,0,'Données projet'!$E$16+1,1))-AVERAGE(OFFSET($H$3,0,0,'Données projet'!$E$16+1,1))</f>
        <v>455.50822833641354</v>
      </c>
      <c r="FK192" s="60">
        <f t="shared" si="156"/>
        <v>261.14722581688039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-9.7986685432260874E-13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475.47920969424894</v>
      </c>
      <c r="T193" s="60">
        <f t="shared" si="142"/>
        <v>271.73544012419364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-2.8421709430404007E-13</v>
      </c>
      <c r="AJ193" s="14">
        <f>AI193*VLOOKUP('Données projet'!$B$10,Paramètres!$A$1:$I$89,3,0)*VLOOKUP('Données projet'!$B$10,Paramètres!$A$1:$I$89,5,0)</f>
        <v>-1.69961822393816E-13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289.24721145176682</v>
      </c>
      <c r="AO193" s="60">
        <f t="shared" si="144"/>
        <v>229.06617320689003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2.6847147541929007E-2</v>
      </c>
      <c r="AW193" s="23">
        <f>EXP(-LN(2)/2)*AW192+(1-EXP(-LN(2)/2))/(LN(2)/2)*AQ193*AT193*VLOOKUP('Données projet'!$B$10,Paramètres!$A$1:$I$89,3,0)*0.475*44/12</f>
        <v>3.6673071992569525E-24</v>
      </c>
      <c r="AX193" s="23">
        <f t="shared" si="166"/>
        <v>2.6847147541929007E-2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5.6843418860808015E-14</v>
      </c>
      <c r="BE193" s="14">
        <f>BD193*VLOOKUP('Données projet'!$B$11,Paramètres!$A$1:$I$89,3,0)*VLOOKUP('Données projet'!$B$11,Paramètres!$A$1:$I$89,5,0)</f>
        <v>3.3992364478763198E-14</v>
      </c>
      <c r="BF193" s="14">
        <f t="shared" si="167"/>
        <v>5.790027782444094E-13</v>
      </c>
      <c r="BG193" s="22">
        <f t="shared" si="168"/>
        <v>1.0676332069095257E-12</v>
      </c>
      <c r="BH193" s="60">
        <f t="shared" si="116"/>
        <v>293.33333333333439</v>
      </c>
      <c r="BI193" s="60">
        <f ca="1">AVERAGE(OFFSET($BH$3,0,0,'Données projet'!$E$11+1,1))-AVERAGE(OFFSET($H$3,0,0,'Données projet'!$E$11+1,1))</f>
        <v>287.91374663515506</v>
      </c>
      <c r="BJ193" s="60">
        <f t="shared" si="146"/>
        <v>217.76240797006147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-9.6633812063373625E-13</v>
      </c>
      <c r="BZ193" s="14">
        <f>BY193*VLOOKUP('Données projet'!$B$12,Paramètres!$A$1:$I$89,3,0)*VLOOKUP('Données projet'!$B$12,Paramètres!$A$1:$I$89,5,0)</f>
        <v>-8.7434273154940449E-13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428.8489304403459</v>
      </c>
      <c r="CE193" s="60">
        <f t="shared" si="148"/>
        <v>247.01165577562966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-2.6602720026858149E-14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284.88646502866419</v>
      </c>
      <c r="CZ193" s="60">
        <f t="shared" si="150"/>
        <v>190.4880882944471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-9.6633812063373625E-13</v>
      </c>
      <c r="DP193" s="18">
        <f>DO193*VLOOKUP('Données projet'!$B$14,Paramètres!$A$1:$I$89,3,0)*VLOOKUP('Données projet'!$B$14,Paramètres!$A$1:$I$89,5,0)</f>
        <v>-1.0401663530501537E-12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502.07782026233912</v>
      </c>
      <c r="DU193" s="60">
        <f t="shared" si="152"/>
        <v>285.83623046025156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-1.7053025658242404E-13</v>
      </c>
      <c r="EK193" s="18">
        <f>EJ193*VLOOKUP('Données projet'!$B$15,Paramètres!$A$1:$I$89,3,0)*VLOOKUP('Données projet'!$B$15,Paramètres!$A$1:$I$89,5,0)</f>
        <v>-1.4897523215040567E-13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339.58437495284466</v>
      </c>
      <c r="EP193" s="60">
        <f t="shared" si="154"/>
        <v>371.26234252426531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-9.6633812063373625E-13</v>
      </c>
      <c r="FF193" s="18">
        <f>FE193*VLOOKUP('Données projet'!$B$16,Paramètres!$A$1:$I$89,3,0)*VLOOKUP('Données projet'!$B$16,Paramètres!$A$1:$I$89,5,0)</f>
        <v>-9.3464223027694966E-13</v>
      </c>
      <c r="FG193" s="14" t="e">
        <f t="shared" si="182"/>
        <v>#NUM!</v>
      </c>
      <c r="FH193" s="22" t="e">
        <f t="shared" si="183"/>
        <v>#NUM!</v>
      </c>
      <c r="FI193" s="60" t="e">
        <f t="shared" si="131"/>
        <v>#NUM!</v>
      </c>
      <c r="FJ193" s="60">
        <f ca="1">AVERAGE(OFFSET($FI$3,0,0,'Données projet'!$E$16+1,1))-AVERAGE(OFFSET($H$3,0,0,'Données projet'!$E$16+1,1))</f>
        <v>455.50822833641354</v>
      </c>
      <c r="FK193" s="60">
        <f t="shared" si="156"/>
        <v>261.14722581688039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-9.7986685432260874E-13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475.47920969424894</v>
      </c>
      <c r="T194" s="60">
        <f t="shared" si="142"/>
        <v>271.73544012419364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-2.8421709430404007E-13</v>
      </c>
      <c r="AJ194" s="14">
        <f>AI194*VLOOKUP('Données projet'!$B$10,Paramètres!$A$1:$I$89,3,0)*VLOOKUP('Données projet'!$B$10,Paramètres!$A$1:$I$89,5,0)</f>
        <v>-1.69961822393816E-13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289.24721145176682</v>
      </c>
      <c r="AO194" s="60">
        <f t="shared" si="144"/>
        <v>229.06617320689003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2.6113010880564828E-2</v>
      </c>
      <c r="AW194" s="23">
        <f>EXP(-LN(2)/2)*AW193+(1-EXP(-LN(2)/2))/(LN(2)/2)*AQ194*AT194*VLOOKUP('Données projet'!$B$10,Paramètres!$A$1:$I$89,3,0)*0.475*44/12</f>
        <v>2.5931777892888364E-24</v>
      </c>
      <c r="AX194" s="23">
        <f t="shared" si="166"/>
        <v>2.6113010880564828E-2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5.6843418860808015E-14</v>
      </c>
      <c r="BE194" s="14">
        <f>BD194*VLOOKUP('Données projet'!$B$11,Paramètres!$A$1:$I$89,3,0)*VLOOKUP('Données projet'!$B$11,Paramètres!$A$1:$I$89,5,0)</f>
        <v>3.3992364478763198E-14</v>
      </c>
      <c r="BF194" s="14">
        <f t="shared" si="167"/>
        <v>5.790027782444094E-13</v>
      </c>
      <c r="BG194" s="22">
        <f t="shared" si="168"/>
        <v>1.0676332069095257E-12</v>
      </c>
      <c r="BH194" s="60">
        <f t="shared" si="116"/>
        <v>293.33333333333439</v>
      </c>
      <c r="BI194" s="60">
        <f ca="1">AVERAGE(OFFSET($BH$3,0,0,'Données projet'!$E$11+1,1))-AVERAGE(OFFSET($H$3,0,0,'Données projet'!$E$11+1,1))</f>
        <v>287.91374663515506</v>
      </c>
      <c r="BJ194" s="60">
        <f t="shared" si="146"/>
        <v>217.76240797006147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-9.6633812063373625E-13</v>
      </c>
      <c r="BZ194" s="14">
        <f>BY194*VLOOKUP('Données projet'!$B$12,Paramètres!$A$1:$I$89,3,0)*VLOOKUP('Données projet'!$B$12,Paramètres!$A$1:$I$89,5,0)</f>
        <v>-8.7434273154940449E-13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428.8489304403459</v>
      </c>
      <c r="CE194" s="60">
        <f t="shared" si="148"/>
        <v>247.01165577562966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-2.6602720026858149E-14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284.88646502866419</v>
      </c>
      <c r="CZ194" s="60">
        <f t="shared" si="150"/>
        <v>190.4880882944471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-9.6633812063373625E-13</v>
      </c>
      <c r="DP194" s="18">
        <f>DO194*VLOOKUP('Données projet'!$B$14,Paramètres!$A$1:$I$89,3,0)*VLOOKUP('Données projet'!$B$14,Paramètres!$A$1:$I$89,5,0)</f>
        <v>-1.0401663530501537E-12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502.07782026233912</v>
      </c>
      <c r="DU194" s="60">
        <f t="shared" si="152"/>
        <v>285.83623046025156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-1.7053025658242404E-13</v>
      </c>
      <c r="EK194" s="18">
        <f>EJ194*VLOOKUP('Données projet'!$B$15,Paramètres!$A$1:$I$89,3,0)*VLOOKUP('Données projet'!$B$15,Paramètres!$A$1:$I$89,5,0)</f>
        <v>-1.4897523215040567E-13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339.58437495284466</v>
      </c>
      <c r="EP194" s="60">
        <f t="shared" si="154"/>
        <v>371.26234252426531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-9.6633812063373625E-13</v>
      </c>
      <c r="FF194" s="18">
        <f>FE194*VLOOKUP('Données projet'!$B$16,Paramètres!$A$1:$I$89,3,0)*VLOOKUP('Données projet'!$B$16,Paramètres!$A$1:$I$89,5,0)</f>
        <v>-9.3464223027694966E-13</v>
      </c>
      <c r="FG194" s="14" t="e">
        <f t="shared" si="182"/>
        <v>#NUM!</v>
      </c>
      <c r="FH194" s="22" t="e">
        <f t="shared" si="183"/>
        <v>#NUM!</v>
      </c>
      <c r="FI194" s="60" t="e">
        <f t="shared" si="131"/>
        <v>#NUM!</v>
      </c>
      <c r="FJ194" s="60">
        <f ca="1">AVERAGE(OFFSET($FI$3,0,0,'Données projet'!$E$16+1,1))-AVERAGE(OFFSET($H$3,0,0,'Données projet'!$E$16+1,1))</f>
        <v>455.50822833641354</v>
      </c>
      <c r="FK194" s="60">
        <f t="shared" si="156"/>
        <v>261.14722581688039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-9.7986685432260874E-13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475.47920969424894</v>
      </c>
      <c r="T195" s="60">
        <f t="shared" si="142"/>
        <v>271.73544012419364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-2.8421709430404007E-13</v>
      </c>
      <c r="AJ195" s="14">
        <f>AI195*VLOOKUP('Données projet'!$B$10,Paramètres!$A$1:$I$89,3,0)*VLOOKUP('Données projet'!$B$10,Paramètres!$A$1:$I$89,5,0)</f>
        <v>-1.69961822393816E-13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289.24721145176682</v>
      </c>
      <c r="AO195" s="60">
        <f t="shared" si="144"/>
        <v>229.06617320689003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2.5398949224812221E-2</v>
      </c>
      <c r="AW195" s="23">
        <f>EXP(-LN(2)/2)*AW194+(1-EXP(-LN(2)/2))/(LN(2)/2)*AQ195*AT195*VLOOKUP('Données projet'!$B$10,Paramètres!$A$1:$I$89,3,0)*0.475*44/12</f>
        <v>1.8336535996284763E-24</v>
      </c>
      <c r="AX195" s="23">
        <f t="shared" si="166"/>
        <v>2.5398949224812221E-2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5.6843418860808015E-14</v>
      </c>
      <c r="BE195" s="14">
        <f>BD195*VLOOKUP('Données projet'!$B$11,Paramètres!$A$1:$I$89,3,0)*VLOOKUP('Données projet'!$B$11,Paramètres!$A$1:$I$89,5,0)</f>
        <v>3.3992364478763198E-14</v>
      </c>
      <c r="BF195" s="14">
        <f t="shared" si="167"/>
        <v>5.790027782444094E-13</v>
      </c>
      <c r="BG195" s="22">
        <f t="shared" si="168"/>
        <v>1.0676332069095257E-12</v>
      </c>
      <c r="BH195" s="60">
        <f t="shared" si="116"/>
        <v>293.33333333333439</v>
      </c>
      <c r="BI195" s="60">
        <f ca="1">AVERAGE(OFFSET($BH$3,0,0,'Données projet'!$E$11+1,1))-AVERAGE(OFFSET($H$3,0,0,'Données projet'!$E$11+1,1))</f>
        <v>287.91374663515506</v>
      </c>
      <c r="BJ195" s="60">
        <f t="shared" si="146"/>
        <v>217.76240797006147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-9.6633812063373625E-13</v>
      </c>
      <c r="BZ195" s="14">
        <f>BY195*VLOOKUP('Données projet'!$B$12,Paramètres!$A$1:$I$89,3,0)*VLOOKUP('Données projet'!$B$12,Paramètres!$A$1:$I$89,5,0)</f>
        <v>-8.7434273154940449E-13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428.8489304403459</v>
      </c>
      <c r="CE195" s="60">
        <f t="shared" si="148"/>
        <v>247.01165577562966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-2.6602720026858149E-14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284.88646502866419</v>
      </c>
      <c r="CZ195" s="60">
        <f t="shared" si="150"/>
        <v>190.4880882944471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-9.6633812063373625E-13</v>
      </c>
      <c r="DP195" s="18">
        <f>DO195*VLOOKUP('Données projet'!$B$14,Paramètres!$A$1:$I$89,3,0)*VLOOKUP('Données projet'!$B$14,Paramètres!$A$1:$I$89,5,0)</f>
        <v>-1.0401663530501537E-12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502.07782026233912</v>
      </c>
      <c r="DU195" s="60">
        <f t="shared" si="152"/>
        <v>285.83623046025156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-1.7053025658242404E-13</v>
      </c>
      <c r="EK195" s="18">
        <f>EJ195*VLOOKUP('Données projet'!$B$15,Paramètres!$A$1:$I$89,3,0)*VLOOKUP('Données projet'!$B$15,Paramètres!$A$1:$I$89,5,0)</f>
        <v>-1.4897523215040567E-13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339.58437495284466</v>
      </c>
      <c r="EP195" s="60">
        <f t="shared" si="154"/>
        <v>371.26234252426531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-9.6633812063373625E-13</v>
      </c>
      <c r="FF195" s="18">
        <f>FE195*VLOOKUP('Données projet'!$B$16,Paramètres!$A$1:$I$89,3,0)*VLOOKUP('Données projet'!$B$16,Paramètres!$A$1:$I$89,5,0)</f>
        <v>-9.3464223027694966E-13</v>
      </c>
      <c r="FG195" s="14" t="e">
        <f t="shared" si="182"/>
        <v>#NUM!</v>
      </c>
      <c r="FH195" s="22" t="e">
        <f t="shared" si="183"/>
        <v>#NUM!</v>
      </c>
      <c r="FI195" s="60" t="e">
        <f t="shared" si="131"/>
        <v>#NUM!</v>
      </c>
      <c r="FJ195" s="60">
        <f ca="1">AVERAGE(OFFSET($FI$3,0,0,'Données projet'!$E$16+1,1))-AVERAGE(OFFSET($H$3,0,0,'Données projet'!$E$16+1,1))</f>
        <v>455.50822833641354</v>
      </c>
      <c r="FK195" s="60">
        <f t="shared" si="156"/>
        <v>261.14722581688039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-9.7986685432260874E-13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475.47920969424894</v>
      </c>
      <c r="T196" s="60">
        <f t="shared" si="142"/>
        <v>271.73544012419364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-2.8421709430404007E-13</v>
      </c>
      <c r="AJ196" s="14">
        <f>AI196*VLOOKUP('Données projet'!$B$10,Paramètres!$A$1:$I$89,3,0)*VLOOKUP('Données projet'!$B$10,Paramètres!$A$1:$I$89,5,0)</f>
        <v>-1.69961822393816E-13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289.24721145176682</v>
      </c>
      <c r="AO196" s="60">
        <f t="shared" si="144"/>
        <v>229.06617320689003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2.4704413622587042E-2</v>
      </c>
      <c r="AW196" s="23">
        <f>EXP(-LN(2)/2)*AW195+(1-EXP(-LN(2)/2))/(LN(2)/2)*AQ196*AT196*VLOOKUP('Données projet'!$B$10,Paramètres!$A$1:$I$89,3,0)*0.475*44/12</f>
        <v>1.2965888946444182E-24</v>
      </c>
      <c r="AX196" s="23">
        <f t="shared" si="166"/>
        <v>2.4704413622587042E-2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5.6843418860808015E-14</v>
      </c>
      <c r="BE196" s="14">
        <f>BD196*VLOOKUP('Données projet'!$B$11,Paramètres!$A$1:$I$89,3,0)*VLOOKUP('Données projet'!$B$11,Paramètres!$A$1:$I$89,5,0)</f>
        <v>3.3992364478763198E-14</v>
      </c>
      <c r="BF196" s="14">
        <f t="shared" si="167"/>
        <v>5.790027782444094E-13</v>
      </c>
      <c r="BG196" s="22">
        <f t="shared" si="168"/>
        <v>1.0676332069095257E-12</v>
      </c>
      <c r="BH196" s="60">
        <f t="shared" ref="BH196:BH203" si="194">BG196+(AY196+AZ196)*44/12</f>
        <v>293.33333333333439</v>
      </c>
      <c r="BI196" s="60">
        <f ca="1">AVERAGE(OFFSET($BH$3,0,0,'Données projet'!$E$11+1,1))-AVERAGE(OFFSET($H$3,0,0,'Données projet'!$E$11+1,1))</f>
        <v>287.91374663515506</v>
      </c>
      <c r="BJ196" s="60">
        <f t="shared" si="146"/>
        <v>217.76240797006147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-9.6633812063373625E-13</v>
      </c>
      <c r="BZ196" s="14">
        <f>BY196*VLOOKUP('Données projet'!$B$12,Paramètres!$A$1:$I$89,3,0)*VLOOKUP('Données projet'!$B$12,Paramètres!$A$1:$I$89,5,0)</f>
        <v>-8.7434273154940449E-13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428.8489304403459</v>
      </c>
      <c r="CE196" s="60">
        <f t="shared" si="148"/>
        <v>247.01165577562966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-2.6602720026858149E-14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284.88646502866419</v>
      </c>
      <c r="CZ196" s="60">
        <f t="shared" si="150"/>
        <v>190.4880882944471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-9.6633812063373625E-13</v>
      </c>
      <c r="DP196" s="18">
        <f>DO196*VLOOKUP('Données projet'!$B$14,Paramètres!$A$1:$I$89,3,0)*VLOOKUP('Données projet'!$B$14,Paramètres!$A$1:$I$89,5,0)</f>
        <v>-1.0401663530501537E-12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502.07782026233912</v>
      </c>
      <c r="DU196" s="60">
        <f t="shared" si="152"/>
        <v>285.83623046025156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-1.7053025658242404E-13</v>
      </c>
      <c r="EK196" s="18">
        <f>EJ196*VLOOKUP('Données projet'!$B$15,Paramètres!$A$1:$I$89,3,0)*VLOOKUP('Données projet'!$B$15,Paramètres!$A$1:$I$89,5,0)</f>
        <v>-1.4897523215040567E-13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339.58437495284466</v>
      </c>
      <c r="EP196" s="60">
        <f t="shared" si="154"/>
        <v>371.26234252426531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-9.6633812063373625E-13</v>
      </c>
      <c r="FF196" s="18">
        <f>FE196*VLOOKUP('Données projet'!$B$16,Paramètres!$A$1:$I$89,3,0)*VLOOKUP('Données projet'!$B$16,Paramètres!$A$1:$I$89,5,0)</f>
        <v>-9.3464223027694966E-13</v>
      </c>
      <c r="FG196" s="14" t="e">
        <f t="shared" si="182"/>
        <v>#NUM!</v>
      </c>
      <c r="FH196" s="22" t="e">
        <f t="shared" si="183"/>
        <v>#NUM!</v>
      </c>
      <c r="FI196" s="60" t="e">
        <f t="shared" ref="FI196:FI203" si="199">FH196+(EZ196+FA196)*44/12</f>
        <v>#NUM!</v>
      </c>
      <c r="FJ196" s="60">
        <f ca="1">AVERAGE(OFFSET($FI$3,0,0,'Données projet'!$E$16+1,1))-AVERAGE(OFFSET($H$3,0,0,'Données projet'!$E$16+1,1))</f>
        <v>455.50822833641354</v>
      </c>
      <c r="FK196" s="60">
        <f t="shared" si="156"/>
        <v>261.14722581688039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-9.7986685432260874E-13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475.47920969424894</v>
      </c>
      <c r="T197" s="60">
        <f t="shared" ref="T197:T203" si="204">$T$3</f>
        <v>271.73544012419364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-2.8421709430404007E-13</v>
      </c>
      <c r="AJ197" s="14">
        <f>AI197*VLOOKUP('Données projet'!$B$10,Paramètres!$A$1:$I$89,3,0)*VLOOKUP('Données projet'!$B$10,Paramètres!$A$1:$I$89,5,0)</f>
        <v>-1.69961822393816E-13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289.24721145176682</v>
      </c>
      <c r="AO197" s="60">
        <f t="shared" ref="AO197:AO203" si="205">$AO$3</f>
        <v>229.06617320689003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2.4028870132928749E-2</v>
      </c>
      <c r="AW197" s="23">
        <f>EXP(-LN(2)/2)*AW196+(1-EXP(-LN(2)/2))/(LN(2)/2)*AQ197*AT197*VLOOKUP('Données projet'!$B$10,Paramètres!$A$1:$I$89,3,0)*0.475*44/12</f>
        <v>9.1682679981423813E-25</v>
      </c>
      <c r="AX197" s="23">
        <f t="shared" si="166"/>
        <v>2.4028870132928749E-2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5.6843418860808015E-14</v>
      </c>
      <c r="BE197" s="14">
        <f>BD197*VLOOKUP('Données projet'!$B$11,Paramètres!$A$1:$I$89,3,0)*VLOOKUP('Données projet'!$B$11,Paramètres!$A$1:$I$89,5,0)</f>
        <v>3.3992364478763198E-14</v>
      </c>
      <c r="BF197" s="14">
        <f t="shared" si="167"/>
        <v>5.790027782444094E-13</v>
      </c>
      <c r="BG197" s="22">
        <f t="shared" si="168"/>
        <v>1.0676332069095257E-12</v>
      </c>
      <c r="BH197" s="60">
        <f t="shared" si="194"/>
        <v>293.33333333333439</v>
      </c>
      <c r="BI197" s="60">
        <f ca="1">AVERAGE(OFFSET($BH$3,0,0,'Données projet'!$E$11+1,1))-AVERAGE(OFFSET($H$3,0,0,'Données projet'!$E$11+1,1))</f>
        <v>287.91374663515506</v>
      </c>
      <c r="BJ197" s="60">
        <f t="shared" ref="BJ197:BJ203" si="206">$BJ$3</f>
        <v>217.76240797006147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-9.6633812063373625E-13</v>
      </c>
      <c r="BZ197" s="14">
        <f>BY197*VLOOKUP('Données projet'!$B$12,Paramètres!$A$1:$I$89,3,0)*VLOOKUP('Données projet'!$B$12,Paramètres!$A$1:$I$89,5,0)</f>
        <v>-8.7434273154940449E-13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428.8489304403459</v>
      </c>
      <c r="CE197" s="60">
        <f t="shared" ref="CE197:CE203" si="207">$CE$3</f>
        <v>247.01165577562966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-2.6602720026858149E-14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284.88646502866419</v>
      </c>
      <c r="CZ197" s="60">
        <f t="shared" ref="CZ197:CZ203" si="208">$CZ$3</f>
        <v>190.4880882944471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-9.6633812063373625E-13</v>
      </c>
      <c r="DP197" s="18">
        <f>DO197*VLOOKUP('Données projet'!$B$14,Paramètres!$A$1:$I$89,3,0)*VLOOKUP('Données projet'!$B$14,Paramètres!$A$1:$I$89,5,0)</f>
        <v>-1.0401663530501537E-12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502.07782026233912</v>
      </c>
      <c r="DU197" s="60">
        <f t="shared" ref="DU197:DU203" si="209">$DU$3</f>
        <v>285.83623046025156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-1.7053025658242404E-13</v>
      </c>
      <c r="EK197" s="18">
        <f>EJ197*VLOOKUP('Données projet'!$B$15,Paramètres!$A$1:$I$89,3,0)*VLOOKUP('Données projet'!$B$15,Paramètres!$A$1:$I$89,5,0)</f>
        <v>-1.4897523215040567E-13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339.58437495284466</v>
      </c>
      <c r="EP197" s="60">
        <f t="shared" ref="EP197:EP203" si="210">$EP$3</f>
        <v>371.26234252426531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-9.6633812063373625E-13</v>
      </c>
      <c r="FF197" s="18">
        <f>FE197*VLOOKUP('Données projet'!$B$16,Paramètres!$A$1:$I$89,3,0)*VLOOKUP('Données projet'!$B$16,Paramètres!$A$1:$I$89,5,0)</f>
        <v>-9.3464223027694966E-13</v>
      </c>
      <c r="FG197" s="14" t="e">
        <f t="shared" si="182"/>
        <v>#NUM!</v>
      </c>
      <c r="FH197" s="22" t="e">
        <f t="shared" si="183"/>
        <v>#NUM!</v>
      </c>
      <c r="FI197" s="60" t="e">
        <f t="shared" si="199"/>
        <v>#NUM!</v>
      </c>
      <c r="FJ197" s="60">
        <f ca="1">AVERAGE(OFFSET($FI$3,0,0,'Données projet'!$E$16+1,1))-AVERAGE(OFFSET($H$3,0,0,'Données projet'!$E$16+1,1))</f>
        <v>455.50822833641354</v>
      </c>
      <c r="FK197" s="60">
        <f t="shared" ref="FK197:FK203" si="211">$FK$3</f>
        <v>261.14722581688039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-9.7986685432260874E-13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475.47920969424894</v>
      </c>
      <c r="T198" s="60">
        <f t="shared" si="204"/>
        <v>271.73544012419364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-2.8421709430404007E-13</v>
      </c>
      <c r="AJ198" s="14">
        <f>AI198*VLOOKUP('Données projet'!$B$10,Paramètres!$A$1:$I$89,3,0)*VLOOKUP('Données projet'!$B$10,Paramètres!$A$1:$I$89,5,0)</f>
        <v>-1.69961822393816E-13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289.24721145176682</v>
      </c>
      <c r="AO198" s="60">
        <f t="shared" si="205"/>
        <v>229.06617320689003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2.337179941552045E-2</v>
      </c>
      <c r="AW198" s="23">
        <f>EXP(-LN(2)/2)*AW197+(1-EXP(-LN(2)/2))/(LN(2)/2)*AQ198*AT198*VLOOKUP('Données projet'!$B$10,Paramètres!$A$1:$I$89,3,0)*0.475*44/12</f>
        <v>6.482944473222091E-25</v>
      </c>
      <c r="AX198" s="23">
        <f t="shared" si="166"/>
        <v>2.337179941552045E-2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5.6843418860808015E-14</v>
      </c>
      <c r="BE198" s="14">
        <f>BD198*VLOOKUP('Données projet'!$B$11,Paramètres!$A$1:$I$89,3,0)*VLOOKUP('Données projet'!$B$11,Paramètres!$A$1:$I$89,5,0)</f>
        <v>3.3992364478763198E-14</v>
      </c>
      <c r="BF198" s="14">
        <f t="shared" si="167"/>
        <v>5.790027782444094E-13</v>
      </c>
      <c r="BG198" s="22">
        <f t="shared" si="168"/>
        <v>1.0676332069095257E-12</v>
      </c>
      <c r="BH198" s="60">
        <f t="shared" si="194"/>
        <v>293.33333333333439</v>
      </c>
      <c r="BI198" s="60">
        <f ca="1">AVERAGE(OFFSET($BH$3,0,0,'Données projet'!$E$11+1,1))-AVERAGE(OFFSET($H$3,0,0,'Données projet'!$E$11+1,1))</f>
        <v>287.91374663515506</v>
      </c>
      <c r="BJ198" s="60">
        <f t="shared" si="206"/>
        <v>217.76240797006147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-9.6633812063373625E-13</v>
      </c>
      <c r="BZ198" s="14">
        <f>BY198*VLOOKUP('Données projet'!$B$12,Paramètres!$A$1:$I$89,3,0)*VLOOKUP('Données projet'!$B$12,Paramètres!$A$1:$I$89,5,0)</f>
        <v>-8.7434273154940449E-13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428.8489304403459</v>
      </c>
      <c r="CE198" s="60">
        <f t="shared" si="207"/>
        <v>247.01165577562966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-2.6602720026858149E-14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284.88646502866419</v>
      </c>
      <c r="CZ198" s="60">
        <f t="shared" si="208"/>
        <v>190.4880882944471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-9.6633812063373625E-13</v>
      </c>
      <c r="DP198" s="18">
        <f>DO198*VLOOKUP('Données projet'!$B$14,Paramètres!$A$1:$I$89,3,0)*VLOOKUP('Données projet'!$B$14,Paramètres!$A$1:$I$89,5,0)</f>
        <v>-1.0401663530501537E-12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502.07782026233912</v>
      </c>
      <c r="DU198" s="60">
        <f t="shared" si="209"/>
        <v>285.83623046025156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-1.7053025658242404E-13</v>
      </c>
      <c r="EK198" s="18">
        <f>EJ198*VLOOKUP('Données projet'!$B$15,Paramètres!$A$1:$I$89,3,0)*VLOOKUP('Données projet'!$B$15,Paramètres!$A$1:$I$89,5,0)</f>
        <v>-1.4897523215040567E-13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339.58437495284466</v>
      </c>
      <c r="EP198" s="60">
        <f t="shared" si="210"/>
        <v>371.26234252426531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-9.6633812063373625E-13</v>
      </c>
      <c r="FF198" s="18">
        <f>FE198*VLOOKUP('Données projet'!$B$16,Paramètres!$A$1:$I$89,3,0)*VLOOKUP('Données projet'!$B$16,Paramètres!$A$1:$I$89,5,0)</f>
        <v>-9.3464223027694966E-13</v>
      </c>
      <c r="FG198" s="14" t="e">
        <f t="shared" si="182"/>
        <v>#NUM!</v>
      </c>
      <c r="FH198" s="22" t="e">
        <f t="shared" si="183"/>
        <v>#NUM!</v>
      </c>
      <c r="FI198" s="60" t="e">
        <f t="shared" si="199"/>
        <v>#NUM!</v>
      </c>
      <c r="FJ198" s="60">
        <f ca="1">AVERAGE(OFFSET($FI$3,0,0,'Données projet'!$E$16+1,1))-AVERAGE(OFFSET($H$3,0,0,'Données projet'!$E$16+1,1))</f>
        <v>455.50822833641354</v>
      </c>
      <c r="FK198" s="60">
        <f t="shared" si="211"/>
        <v>261.14722581688039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-9.7986685432260874E-13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475.47920969424894</v>
      </c>
      <c r="T199" s="60">
        <f t="shared" si="204"/>
        <v>271.73544012419364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-2.8421709430404007E-13</v>
      </c>
      <c r="AJ199" s="14">
        <f>AI199*VLOOKUP('Données projet'!$B$10,Paramètres!$A$1:$I$89,3,0)*VLOOKUP('Données projet'!$B$10,Paramètres!$A$1:$I$89,5,0)</f>
        <v>-1.69961822393816E-13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289.24721145176682</v>
      </c>
      <c r="AO199" s="60">
        <f t="shared" si="205"/>
        <v>229.06617320689003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2.273269633143353E-2</v>
      </c>
      <c r="AW199" s="23">
        <f>EXP(-LN(2)/2)*AW198+(1-EXP(-LN(2)/2))/(LN(2)/2)*AQ199*AT199*VLOOKUP('Données projet'!$B$10,Paramètres!$A$1:$I$89,3,0)*0.475*44/12</f>
        <v>4.5841339990711906E-25</v>
      </c>
      <c r="AX199" s="23">
        <f t="shared" si="166"/>
        <v>2.273269633143353E-2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5.6843418860808015E-14</v>
      </c>
      <c r="BE199" s="14">
        <f>BD199*VLOOKUP('Données projet'!$B$11,Paramètres!$A$1:$I$89,3,0)*VLOOKUP('Données projet'!$B$11,Paramètres!$A$1:$I$89,5,0)</f>
        <v>3.3992364478763198E-14</v>
      </c>
      <c r="BF199" s="14">
        <f t="shared" si="167"/>
        <v>5.790027782444094E-13</v>
      </c>
      <c r="BG199" s="22">
        <f t="shared" si="168"/>
        <v>1.0676332069095257E-12</v>
      </c>
      <c r="BH199" s="60">
        <f t="shared" si="194"/>
        <v>293.33333333333439</v>
      </c>
      <c r="BI199" s="60">
        <f ca="1">AVERAGE(OFFSET($BH$3,0,0,'Données projet'!$E$11+1,1))-AVERAGE(OFFSET($H$3,0,0,'Données projet'!$E$11+1,1))</f>
        <v>287.91374663515506</v>
      </c>
      <c r="BJ199" s="60">
        <f t="shared" si="206"/>
        <v>217.76240797006147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-9.6633812063373625E-13</v>
      </c>
      <c r="BZ199" s="14">
        <f>BY199*VLOOKUP('Données projet'!$B$12,Paramètres!$A$1:$I$89,3,0)*VLOOKUP('Données projet'!$B$12,Paramètres!$A$1:$I$89,5,0)</f>
        <v>-8.7434273154940449E-13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428.8489304403459</v>
      </c>
      <c r="CE199" s="60">
        <f t="shared" si="207"/>
        <v>247.01165577562966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-2.6602720026858149E-14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284.88646502866419</v>
      </c>
      <c r="CZ199" s="60">
        <f t="shared" si="208"/>
        <v>190.4880882944471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-9.6633812063373625E-13</v>
      </c>
      <c r="DP199" s="18">
        <f>DO199*VLOOKUP('Données projet'!$B$14,Paramètres!$A$1:$I$89,3,0)*VLOOKUP('Données projet'!$B$14,Paramètres!$A$1:$I$89,5,0)</f>
        <v>-1.0401663530501537E-12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502.07782026233912</v>
      </c>
      <c r="DU199" s="60">
        <f t="shared" si="209"/>
        <v>285.83623046025156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-1.7053025658242404E-13</v>
      </c>
      <c r="EK199" s="18">
        <f>EJ199*VLOOKUP('Données projet'!$B$15,Paramètres!$A$1:$I$89,3,0)*VLOOKUP('Données projet'!$B$15,Paramètres!$A$1:$I$89,5,0)</f>
        <v>-1.4897523215040567E-13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339.58437495284466</v>
      </c>
      <c r="EP199" s="60">
        <f t="shared" si="210"/>
        <v>371.26234252426531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-9.6633812063373625E-13</v>
      </c>
      <c r="FF199" s="18">
        <f>FE199*VLOOKUP('Données projet'!$B$16,Paramètres!$A$1:$I$89,3,0)*VLOOKUP('Données projet'!$B$16,Paramètres!$A$1:$I$89,5,0)</f>
        <v>-9.3464223027694966E-13</v>
      </c>
      <c r="FG199" s="14" t="e">
        <f t="shared" si="182"/>
        <v>#NUM!</v>
      </c>
      <c r="FH199" s="22" t="e">
        <f t="shared" si="183"/>
        <v>#NUM!</v>
      </c>
      <c r="FI199" s="60" t="e">
        <f t="shared" si="199"/>
        <v>#NUM!</v>
      </c>
      <c r="FJ199" s="60">
        <f ca="1">AVERAGE(OFFSET($FI$3,0,0,'Données projet'!$E$16+1,1))-AVERAGE(OFFSET($H$3,0,0,'Données projet'!$E$16+1,1))</f>
        <v>455.50822833641354</v>
      </c>
      <c r="FK199" s="60">
        <f t="shared" si="211"/>
        <v>261.14722581688039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-9.7986685432260874E-13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475.47920969424894</v>
      </c>
      <c r="T200" s="60">
        <f t="shared" si="204"/>
        <v>271.73544012419364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-2.8421709430404007E-13</v>
      </c>
      <c r="AJ200" s="14">
        <f>AI200*VLOOKUP('Données projet'!$B$10,Paramètres!$A$1:$I$89,3,0)*VLOOKUP('Données projet'!$B$10,Paramètres!$A$1:$I$89,5,0)</f>
        <v>-1.69961822393816E-13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289.24721145176682</v>
      </c>
      <c r="AO200" s="60">
        <f t="shared" si="205"/>
        <v>229.06617320689003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2.2111069554789937E-2</v>
      </c>
      <c r="AW200" s="23">
        <f>EXP(-LN(2)/2)*AW199+(1-EXP(-LN(2)/2))/(LN(2)/2)*AQ200*AT200*VLOOKUP('Données projet'!$B$10,Paramètres!$A$1:$I$89,3,0)*0.475*44/12</f>
        <v>3.2414722366110455E-25</v>
      </c>
      <c r="AX200" s="23">
        <f t="shared" si="166"/>
        <v>2.2111069554789937E-2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5.6843418860808015E-14</v>
      </c>
      <c r="BE200" s="14">
        <f>BD200*VLOOKUP('Données projet'!$B$11,Paramètres!$A$1:$I$89,3,0)*VLOOKUP('Données projet'!$B$11,Paramètres!$A$1:$I$89,5,0)</f>
        <v>3.3992364478763198E-14</v>
      </c>
      <c r="BF200" s="14">
        <f t="shared" si="167"/>
        <v>5.790027782444094E-13</v>
      </c>
      <c r="BG200" s="22">
        <f t="shared" si="168"/>
        <v>1.0676332069095257E-12</v>
      </c>
      <c r="BH200" s="60">
        <f t="shared" si="194"/>
        <v>293.33333333333439</v>
      </c>
      <c r="BI200" s="60">
        <f ca="1">AVERAGE(OFFSET($BH$3,0,0,'Données projet'!$E$11+1,1))-AVERAGE(OFFSET($H$3,0,0,'Données projet'!$E$11+1,1))</f>
        <v>287.91374663515506</v>
      </c>
      <c r="BJ200" s="60">
        <f t="shared" si="206"/>
        <v>217.76240797006147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-9.6633812063373625E-13</v>
      </c>
      <c r="BZ200" s="14">
        <f>BY200*VLOOKUP('Données projet'!$B$12,Paramètres!$A$1:$I$89,3,0)*VLOOKUP('Données projet'!$B$12,Paramètres!$A$1:$I$89,5,0)</f>
        <v>-8.7434273154940449E-13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428.8489304403459</v>
      </c>
      <c r="CE200" s="60">
        <f t="shared" si="207"/>
        <v>247.01165577562966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-2.6602720026858149E-14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284.88646502866419</v>
      </c>
      <c r="CZ200" s="60">
        <f t="shared" si="208"/>
        <v>190.4880882944471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-9.6633812063373625E-13</v>
      </c>
      <c r="DP200" s="18">
        <f>DO200*VLOOKUP('Données projet'!$B$14,Paramètres!$A$1:$I$89,3,0)*VLOOKUP('Données projet'!$B$14,Paramètres!$A$1:$I$89,5,0)</f>
        <v>-1.0401663530501537E-12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502.07782026233912</v>
      </c>
      <c r="DU200" s="60">
        <f t="shared" si="209"/>
        <v>285.83623046025156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-1.7053025658242404E-13</v>
      </c>
      <c r="EK200" s="18">
        <f>EJ200*VLOOKUP('Données projet'!$B$15,Paramètres!$A$1:$I$89,3,0)*VLOOKUP('Données projet'!$B$15,Paramètres!$A$1:$I$89,5,0)</f>
        <v>-1.4897523215040567E-13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339.58437495284466</v>
      </c>
      <c r="EP200" s="60">
        <f t="shared" si="210"/>
        <v>371.26234252426531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-9.6633812063373625E-13</v>
      </c>
      <c r="FF200" s="18">
        <f>FE200*VLOOKUP('Données projet'!$B$16,Paramètres!$A$1:$I$89,3,0)*VLOOKUP('Données projet'!$B$16,Paramètres!$A$1:$I$89,5,0)</f>
        <v>-9.3464223027694966E-13</v>
      </c>
      <c r="FG200" s="14" t="e">
        <f t="shared" si="182"/>
        <v>#NUM!</v>
      </c>
      <c r="FH200" s="22" t="e">
        <f t="shared" si="183"/>
        <v>#NUM!</v>
      </c>
      <c r="FI200" s="60" t="e">
        <f t="shared" si="199"/>
        <v>#NUM!</v>
      </c>
      <c r="FJ200" s="60">
        <f ca="1">AVERAGE(OFFSET($FI$3,0,0,'Données projet'!$E$16+1,1))-AVERAGE(OFFSET($H$3,0,0,'Données projet'!$E$16+1,1))</f>
        <v>455.50822833641354</v>
      </c>
      <c r="FK200" s="60">
        <f t="shared" si="211"/>
        <v>261.14722581688039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-9.7986685432260874E-13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475.47920969424894</v>
      </c>
      <c r="T201" s="60">
        <f t="shared" si="204"/>
        <v>271.73544012419364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-2.8421709430404007E-13</v>
      </c>
      <c r="AJ201" s="14">
        <f>AI201*VLOOKUP('Données projet'!$B$10,Paramètres!$A$1:$I$89,3,0)*VLOOKUP('Données projet'!$B$10,Paramètres!$A$1:$I$89,5,0)</f>
        <v>-1.69961822393816E-13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289.24721145176682</v>
      </c>
      <c r="AO201" s="60">
        <f t="shared" si="205"/>
        <v>229.06617320689003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2.1506441195043594E-2</v>
      </c>
      <c r="AW201" s="23">
        <f>EXP(-LN(2)/2)*AW200+(1-EXP(-LN(2)/2))/(LN(2)/2)*AQ201*AT201*VLOOKUP('Données projet'!$B$10,Paramètres!$A$1:$I$89,3,0)*0.475*44/12</f>
        <v>2.2920669995355953E-25</v>
      </c>
      <c r="AX201" s="23">
        <f t="shared" si="166"/>
        <v>2.1506441195043594E-2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5.6843418860808015E-14</v>
      </c>
      <c r="BE201" s="14">
        <f>BD201*VLOOKUP('Données projet'!$B$11,Paramètres!$A$1:$I$89,3,0)*VLOOKUP('Données projet'!$B$11,Paramètres!$A$1:$I$89,5,0)</f>
        <v>3.3992364478763198E-14</v>
      </c>
      <c r="BF201" s="14">
        <f t="shared" si="167"/>
        <v>5.790027782444094E-13</v>
      </c>
      <c r="BG201" s="22">
        <f t="shared" si="168"/>
        <v>1.0676332069095257E-12</v>
      </c>
      <c r="BH201" s="60">
        <f t="shared" si="194"/>
        <v>293.33333333333439</v>
      </c>
      <c r="BI201" s="60">
        <f ca="1">AVERAGE(OFFSET($BH$3,0,0,'Données projet'!$E$11+1,1))-AVERAGE(OFFSET($H$3,0,0,'Données projet'!$E$11+1,1))</f>
        <v>287.91374663515506</v>
      </c>
      <c r="BJ201" s="60">
        <f t="shared" si="206"/>
        <v>217.76240797006147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-9.6633812063373625E-13</v>
      </c>
      <c r="BZ201" s="14">
        <f>BY201*VLOOKUP('Données projet'!$B$12,Paramètres!$A$1:$I$89,3,0)*VLOOKUP('Données projet'!$B$12,Paramètres!$A$1:$I$89,5,0)</f>
        <v>-8.7434273154940449E-13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428.8489304403459</v>
      </c>
      <c r="CE201" s="60">
        <f t="shared" si="207"/>
        <v>247.01165577562966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-2.6602720026858149E-14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284.88646502866419</v>
      </c>
      <c r="CZ201" s="60">
        <f t="shared" si="208"/>
        <v>190.4880882944471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-9.6633812063373625E-13</v>
      </c>
      <c r="DP201" s="18">
        <f>DO201*VLOOKUP('Données projet'!$B$14,Paramètres!$A$1:$I$89,3,0)*VLOOKUP('Données projet'!$B$14,Paramètres!$A$1:$I$89,5,0)</f>
        <v>-1.0401663530501537E-12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502.07782026233912</v>
      </c>
      <c r="DU201" s="60">
        <f t="shared" si="209"/>
        <v>285.83623046025156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-1.7053025658242404E-13</v>
      </c>
      <c r="EK201" s="18">
        <f>EJ201*VLOOKUP('Données projet'!$B$15,Paramètres!$A$1:$I$89,3,0)*VLOOKUP('Données projet'!$B$15,Paramètres!$A$1:$I$89,5,0)</f>
        <v>-1.4897523215040567E-13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339.58437495284466</v>
      </c>
      <c r="EP201" s="60">
        <f t="shared" si="210"/>
        <v>371.26234252426531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-9.6633812063373625E-13</v>
      </c>
      <c r="FF201" s="18">
        <f>FE201*VLOOKUP('Données projet'!$B$16,Paramètres!$A$1:$I$89,3,0)*VLOOKUP('Données projet'!$B$16,Paramètres!$A$1:$I$89,5,0)</f>
        <v>-9.3464223027694966E-13</v>
      </c>
      <c r="FG201" s="14" t="e">
        <f t="shared" si="182"/>
        <v>#NUM!</v>
      </c>
      <c r="FH201" s="22" t="e">
        <f t="shared" si="183"/>
        <v>#NUM!</v>
      </c>
      <c r="FI201" s="60" t="e">
        <f t="shared" si="199"/>
        <v>#NUM!</v>
      </c>
      <c r="FJ201" s="60">
        <f ca="1">AVERAGE(OFFSET($FI$3,0,0,'Données projet'!$E$16+1,1))-AVERAGE(OFFSET($H$3,0,0,'Données projet'!$E$16+1,1))</f>
        <v>455.50822833641354</v>
      </c>
      <c r="FK201" s="60">
        <f t="shared" si="211"/>
        <v>261.14722581688039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-9.7986685432260874E-13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475.47920969424894</v>
      </c>
      <c r="T202" s="60">
        <f t="shared" si="204"/>
        <v>271.73544012419364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-2.8421709430404007E-13</v>
      </c>
      <c r="AJ202" s="14">
        <f>AI202*VLOOKUP('Données projet'!$B$10,Paramètres!$A$1:$I$89,3,0)*VLOOKUP('Données projet'!$B$10,Paramètres!$A$1:$I$89,5,0)</f>
        <v>-1.69961822393816E-13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289.24721145176682</v>
      </c>
      <c r="AO202" s="60">
        <f t="shared" si="205"/>
        <v>229.06617320689003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2.0918346429590538E-2</v>
      </c>
      <c r="AW202" s="23">
        <f>EXP(-LN(2)/2)*AW201+(1-EXP(-LN(2)/2))/(LN(2)/2)*AQ202*AT202*VLOOKUP('Données projet'!$B$10,Paramètres!$A$1:$I$89,3,0)*0.475*44/12</f>
        <v>1.6207361183055227E-25</v>
      </c>
      <c r="AX202" s="23">
        <f t="shared" si="166"/>
        <v>2.0918346429590538E-2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5.6843418860808015E-14</v>
      </c>
      <c r="BE202" s="14">
        <f>BD202*VLOOKUP('Données projet'!$B$11,Paramètres!$A$1:$I$89,3,0)*VLOOKUP('Données projet'!$B$11,Paramètres!$A$1:$I$89,5,0)</f>
        <v>3.3992364478763198E-14</v>
      </c>
      <c r="BF202" s="14">
        <f t="shared" si="167"/>
        <v>5.790027782444094E-13</v>
      </c>
      <c r="BG202" s="22">
        <f t="shared" si="168"/>
        <v>1.0676332069095257E-12</v>
      </c>
      <c r="BH202" s="60">
        <f t="shared" si="194"/>
        <v>293.33333333333439</v>
      </c>
      <c r="BI202" s="60">
        <f ca="1">AVERAGE(OFFSET($BH$3,0,0,'Données projet'!$E$11+1,1))-AVERAGE(OFFSET($H$3,0,0,'Données projet'!$E$11+1,1))</f>
        <v>287.91374663515506</v>
      </c>
      <c r="BJ202" s="60">
        <f t="shared" si="206"/>
        <v>217.76240797006147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-9.6633812063373625E-13</v>
      </c>
      <c r="BZ202" s="14">
        <f>BY202*VLOOKUP('Données projet'!$B$12,Paramètres!$A$1:$I$89,3,0)*VLOOKUP('Données projet'!$B$12,Paramètres!$A$1:$I$89,5,0)</f>
        <v>-8.7434273154940449E-13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428.8489304403459</v>
      </c>
      <c r="CE202" s="60">
        <f t="shared" si="207"/>
        <v>247.01165577562966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-2.6602720026858149E-14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284.88646502866419</v>
      </c>
      <c r="CZ202" s="60">
        <f t="shared" si="208"/>
        <v>190.4880882944471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-9.6633812063373625E-13</v>
      </c>
      <c r="DP202" s="18">
        <f>DO202*VLOOKUP('Données projet'!$B$14,Paramètres!$A$1:$I$89,3,0)*VLOOKUP('Données projet'!$B$14,Paramètres!$A$1:$I$89,5,0)</f>
        <v>-1.0401663530501537E-12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502.07782026233912</v>
      </c>
      <c r="DU202" s="60">
        <f t="shared" si="209"/>
        <v>285.83623046025156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-1.7053025658242404E-13</v>
      </c>
      <c r="EK202" s="18">
        <f>EJ202*VLOOKUP('Données projet'!$B$15,Paramètres!$A$1:$I$89,3,0)*VLOOKUP('Données projet'!$B$15,Paramètres!$A$1:$I$89,5,0)</f>
        <v>-1.4897523215040567E-13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339.58437495284466</v>
      </c>
      <c r="EP202" s="60">
        <f t="shared" si="210"/>
        <v>371.26234252426531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-9.6633812063373625E-13</v>
      </c>
      <c r="FF202" s="18">
        <f>FE202*VLOOKUP('Données projet'!$B$16,Paramètres!$A$1:$I$89,3,0)*VLOOKUP('Données projet'!$B$16,Paramètres!$A$1:$I$89,5,0)</f>
        <v>-9.3464223027694966E-13</v>
      </c>
      <c r="FG202" s="14" t="e">
        <f t="shared" si="182"/>
        <v>#NUM!</v>
      </c>
      <c r="FH202" s="22" t="e">
        <f t="shared" si="183"/>
        <v>#NUM!</v>
      </c>
      <c r="FI202" s="60" t="e">
        <f t="shared" si="199"/>
        <v>#NUM!</v>
      </c>
      <c r="FJ202" s="60">
        <f ca="1">AVERAGE(OFFSET($FI$3,0,0,'Données projet'!$E$16+1,1))-AVERAGE(OFFSET($H$3,0,0,'Données projet'!$E$16+1,1))</f>
        <v>455.50822833641354</v>
      </c>
      <c r="FK202" s="60">
        <f t="shared" si="211"/>
        <v>261.14722581688039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-9.7986685432260874E-13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475.47920969424894</v>
      </c>
      <c r="T203" s="60">
        <f t="shared" si="204"/>
        <v>271.73544012419364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-2.8421709430404007E-13</v>
      </c>
      <c r="AJ203" s="14">
        <f>AI203*VLOOKUP('Données projet'!$B$10,Paramètres!$A$1:$I$89,3,0)*VLOOKUP('Données projet'!$B$10,Paramètres!$A$1:$I$89,5,0)</f>
        <v>-1.69961822393816E-13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289.24721145176682</v>
      </c>
      <c r="AO203" s="60">
        <f t="shared" si="205"/>
        <v>229.06617320689003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2.0346333146425356E-2</v>
      </c>
      <c r="AW203" s="23">
        <f>EXP(-LN(2)/2)*AW202+(1-EXP(-LN(2)/2))/(LN(2)/2)*AQ203*AT203*VLOOKUP('Données projet'!$B$10,Paramètres!$A$1:$I$89,3,0)*0.475*44/12</f>
        <v>1.1460334997677977E-25</v>
      </c>
      <c r="AX203" s="23">
        <f t="shared" si="166"/>
        <v>2.0346333146425356E-2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5.6843418860808015E-14</v>
      </c>
      <c r="BE203" s="14">
        <f>BD203*VLOOKUP('Données projet'!$B$11,Paramètres!$A$1:$I$89,3,0)*VLOOKUP('Données projet'!$B$11,Paramètres!$A$1:$I$89,5,0)</f>
        <v>3.3992364478763198E-14</v>
      </c>
      <c r="BF203" s="14">
        <f t="shared" si="167"/>
        <v>5.790027782444094E-13</v>
      </c>
      <c r="BG203" s="22">
        <f t="shared" si="168"/>
        <v>1.0676332069095257E-12</v>
      </c>
      <c r="BH203" s="60">
        <f t="shared" si="194"/>
        <v>293.33333333333439</v>
      </c>
      <c r="BI203" s="60">
        <f ca="1">AVERAGE(OFFSET($BH$3,0,0,'Données projet'!$E$11+1,1))-AVERAGE(OFFSET($H$3,0,0,'Données projet'!$E$11+1,1))</f>
        <v>287.91374663515506</v>
      </c>
      <c r="BJ203" s="60">
        <f t="shared" si="206"/>
        <v>217.76240797006147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-9.6633812063373625E-13</v>
      </c>
      <c r="BZ203" s="14">
        <f>BY203*VLOOKUP('Données projet'!$B$12,Paramètres!$A$1:$I$89,3,0)*VLOOKUP('Données projet'!$B$12,Paramètres!$A$1:$I$89,5,0)</f>
        <v>-8.7434273154940449E-13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428.8489304403459</v>
      </c>
      <c r="CE203" s="60">
        <f t="shared" si="207"/>
        <v>247.01165577562966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-2.6602720026858149E-14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284.88646502866419</v>
      </c>
      <c r="CZ203" s="60">
        <f t="shared" si="208"/>
        <v>190.4880882944471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-9.6633812063373625E-13</v>
      </c>
      <c r="DP203" s="18">
        <f>DO203*VLOOKUP('Données projet'!$B$14,Paramètres!$A$1:$I$89,3,0)*VLOOKUP('Données projet'!$B$14,Paramètres!$A$1:$I$89,5,0)</f>
        <v>-1.0401663530501537E-12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502.07782026233912</v>
      </c>
      <c r="DU203" s="60">
        <f t="shared" si="209"/>
        <v>285.83623046025156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-1.7053025658242404E-13</v>
      </c>
      <c r="EK203" s="18">
        <f>EJ203*VLOOKUP('Données projet'!$B$15,Paramètres!$A$1:$I$89,3,0)*VLOOKUP('Données projet'!$B$15,Paramètres!$A$1:$I$89,5,0)</f>
        <v>-1.4897523215040567E-13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339.58437495284466</v>
      </c>
      <c r="EP203" s="60">
        <f t="shared" si="210"/>
        <v>371.26234252426531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-9.6633812063373625E-13</v>
      </c>
      <c r="FF203" s="18">
        <f>FE203*VLOOKUP('Données projet'!$B$16,Paramètres!$A$1:$I$89,3,0)*VLOOKUP('Données projet'!$B$16,Paramètres!$A$1:$I$89,5,0)</f>
        <v>-9.3464223027694966E-13</v>
      </c>
      <c r="FG203" s="14" t="e">
        <f t="shared" si="182"/>
        <v>#NUM!</v>
      </c>
      <c r="FH203" s="22" t="e">
        <f t="shared" si="183"/>
        <v>#NUM!</v>
      </c>
      <c r="FI203" s="60" t="e">
        <f t="shared" si="199"/>
        <v>#NUM!</v>
      </c>
      <c r="FJ203" s="60">
        <f ca="1">AVERAGE(OFFSET($FI$3,0,0,'Données projet'!$E$16+1,1))-AVERAGE(OFFSET($H$3,0,0,'Données projet'!$E$16+1,1))</f>
        <v>455.50822833641354</v>
      </c>
      <c r="FK203" s="60">
        <f t="shared" si="211"/>
        <v>261.14722581688039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1.2691631451226497</v>
      </c>
      <c r="BA205" s="86">
        <f>EXP(LN('Données projet'!B88)/'Données projet'!A88)</f>
        <v>1.2095213708815553</v>
      </c>
      <c r="BV205" s="86">
        <f>EXP(LN('Données projet'!B114)/'Données projet'!A114)</f>
        <v>1.2054868146447177</v>
      </c>
      <c r="CQ205" s="86">
        <f>EXP(LN('Données projet'!B140)/'Données projet'!A140)</f>
        <v>1.1810516433311786</v>
      </c>
      <c r="DL205" s="86">
        <f>EXP(LN('Données projet'!B166)/'Données projet'!A166)</f>
        <v>1.2054868146447177</v>
      </c>
      <c r="EG205" s="86">
        <f>EXP(LN('Données projet'!B192)/'Données projet'!A192)</f>
        <v>1.2721747796233518</v>
      </c>
      <c r="FB205" s="86">
        <f>EXP(LN('Données projet'!B218)/'Données projet'!A218)</f>
        <v>1.2054868146447177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60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L22" sqref="L2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Chêne pubescent</v>
      </c>
      <c r="B6" s="153">
        <f>'Données projet'!D9</f>
        <v>5.3490500000000001</v>
      </c>
      <c r="C6" s="154">
        <f ca="1">IF(OR('Données projet'!B9="",'Données projet'!C9="",'Données projet'!C9=0%),0,Calculateur!S3)</f>
        <v>475.47920969424894</v>
      </c>
      <c r="D6" s="154">
        <f>IF(OR('Données projet'!B9="",'Données projet'!C9="",'Données projet'!C9=0%),0,Calculateur!T3)</f>
        <v>271.73544012419364</v>
      </c>
      <c r="E6" s="154">
        <f ca="1">MIN(C6,D6)</f>
        <v>271.73544012419364</v>
      </c>
      <c r="F6" s="154">
        <f ca="1">E6*B6</f>
        <v>1453.526455996318</v>
      </c>
      <c r="G6" s="154">
        <f ca="1">F6*(100%-'Données projet'!$C$24)*(100%-'Données projet'!$C$25)*(100%-'Données projet'!$C$26)*(100%-'Données projet'!$C$27)</f>
        <v>1308.1738103966861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38.780612500000004</v>
      </c>
      <c r="K6" s="158">
        <f>J6*(100%-'Données projet'!$C$24)*(100%-'Données projet'!$C$25)*(100%-'Données projet'!$C$26)*(100%-'Données projet'!$C$27)</f>
        <v>34.902551250000002</v>
      </c>
      <c r="L6" s="159">
        <f ca="1">G6+I6+K6</f>
        <v>1343.0763616466861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Pin laricio</v>
      </c>
      <c r="B7" s="161">
        <f>'Données projet'!D10</f>
        <v>4.8009500000000003</v>
      </c>
      <c r="C7" s="154">
        <f ca="1">IF(OR('Données projet'!B10="",'Données projet'!C10="",'Données projet'!C10=0%),0,Calculateur!AN3)</f>
        <v>289.24721145176682</v>
      </c>
      <c r="D7" s="154">
        <f>IF(OR('Données projet'!B10="",'Données projet'!C10="",'Données projet'!C10=0%),0,Calculateur!AO3)</f>
        <v>229.06617320689003</v>
      </c>
      <c r="E7" s="154">
        <f t="shared" ref="E7:E15" ca="1" si="0">MIN(C7,D7)</f>
        <v>229.06617320689003</v>
      </c>
      <c r="F7" s="154">
        <f t="shared" ref="F7:F15" ca="1" si="1">E7*B7</f>
        <v>1099.7352442576187</v>
      </c>
      <c r="G7" s="154">
        <f ca="1">F7*(100%-'Données projet'!$C$24)*(100%-'Données projet'!$C$25)*(100%-'Données projet'!$C$26)*(100%-'Données projet'!$C$27)</f>
        <v>989.76171983185679</v>
      </c>
      <c r="H7" s="162">
        <f>IF(OR('Données projet'!B10="",'Données projet'!C10="",'Données projet'!C10=0%),0,AVERAGE(Calculateur!$AX$3:$AX$33)*B7)</f>
        <v>14.210412067613372</v>
      </c>
      <c r="I7" s="156">
        <f>H7*(100%-'Données projet'!$C$24)*(100%-'Données projet'!$C$25)*(100%-'Données projet'!$C$26)*(100%-'Données projet'!$C$27)</f>
        <v>12.789370860852035</v>
      </c>
      <c r="J7" s="157">
        <f>IF(OR('Données projet'!B10="",'Données projet'!C10="",'Données projet'!C10=0%),0,SUM(Calculateur!$AQ$3:$AQ$33)*VLOOKUP('Données projet'!$B$10,Paramètres!$A$1:$I$89,9,0)*B7)</f>
        <v>180.41342283461535</v>
      </c>
      <c r="K7" s="158">
        <f>J7*(100%-'Données projet'!$C$24)*(100%-'Données projet'!$C$25)*(100%-'Données projet'!$C$26)*(100%-'Données projet'!$C$27)</f>
        <v>162.37208055115383</v>
      </c>
      <c r="L7" s="159">
        <f t="shared" ref="L7:L15" ca="1" si="2">G7+I7+K7</f>
        <v>1164.9231712438627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Pin noir d'Autriche</v>
      </c>
      <c r="B8" s="161">
        <f>'Données projet'!D11</f>
        <v>2.8805700000000001</v>
      </c>
      <c r="C8" s="154">
        <f ca="1">IF(OR('Données projet'!B11="",'Données projet'!C11="",'Données projet'!C11=0%),0,Calculateur!BI3)</f>
        <v>287.91374663515506</v>
      </c>
      <c r="D8" s="154">
        <f>IF(OR('Données projet'!B11="",'Données projet'!C11="",'Données projet'!C11=0%),0,Calculateur!BJ3)</f>
        <v>217.76240797006147</v>
      </c>
      <c r="E8" s="154">
        <f t="shared" ca="1" si="0"/>
        <v>217.76240797006147</v>
      </c>
      <c r="F8" s="154">
        <f t="shared" ca="1" si="1"/>
        <v>627.27985952632002</v>
      </c>
      <c r="G8" s="154">
        <f ca="1">F8*(100%-'Données projet'!$C$24)*(100%-'Données projet'!$C$25)*(100%-'Données projet'!$C$26)*(100%-'Données projet'!$C$27)</f>
        <v>564.551873573688</v>
      </c>
      <c r="H8" s="162">
        <f>IF(OR('Données projet'!B11="",'Données projet'!C11="",'Données projet'!C11=0%),0,AVERAGE(Calculateur!$BS$3:$BS$33)*B8)</f>
        <v>0</v>
      </c>
      <c r="I8" s="156">
        <f>H8*(100%-'Données projet'!$C$24)*(100%-'Données projet'!$C$25)*(100%-'Données projet'!$C$26)*(100%-'Données projet'!$C$27)</f>
        <v>0</v>
      </c>
      <c r="J8" s="157">
        <f>IF(OR('Données projet'!B11="",'Données projet'!C11="",'Données projet'!C11=0%),0,SUM(Calculateur!$BL$3:$BL$33)*VLOOKUP('Données projet'!$B$11,Paramètres!$A$1:$I$89,9,0)*B8)</f>
        <v>0</v>
      </c>
      <c r="K8" s="158">
        <f>J8*(100%-'Données projet'!$C$24)*(100%-'Données projet'!$C$25)*(100%-'Données projet'!$C$26)*(100%-'Données projet'!$C$27)</f>
        <v>0</v>
      </c>
      <c r="L8" s="159">
        <f t="shared" ca="1" si="2"/>
        <v>564.551873573688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Chêne sessile</v>
      </c>
      <c r="B9" s="161">
        <f>'Données projet'!D12</f>
        <v>2.1396199999999999</v>
      </c>
      <c r="C9" s="154">
        <f ca="1">IF(OR('Données projet'!B12="",'Données projet'!C12="",'Données projet'!C12=0%),0,Calculateur!CD3)</f>
        <v>428.8489304403459</v>
      </c>
      <c r="D9" s="154">
        <f>IF(OR('Données projet'!B12="",'Données projet'!C12="",'Données projet'!C12=0%),0,Calculateur!CE3)</f>
        <v>247.01165577562966</v>
      </c>
      <c r="E9" s="154">
        <f t="shared" ca="1" si="0"/>
        <v>247.01165577562966</v>
      </c>
      <c r="F9" s="154">
        <f t="shared" ca="1" si="1"/>
        <v>528.51107893065273</v>
      </c>
      <c r="G9" s="154">
        <f ca="1">F9*(100%-'Données projet'!$C$24)*(100%-'Données projet'!$C$25)*(100%-'Données projet'!$C$26)*(100%-'Données projet'!$C$27)</f>
        <v>475.65997103758747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15.512244999999998</v>
      </c>
      <c r="K9" s="158">
        <f>J9*(100%-'Données projet'!$C$24)*(100%-'Données projet'!$C$25)*(100%-'Données projet'!$C$26)*(100%-'Données projet'!$C$27)</f>
        <v>13.961020499999998</v>
      </c>
      <c r="L9" s="159">
        <f t="shared" ca="1" si="2"/>
        <v>489.62099153758749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Cèdre de l'Atlas</v>
      </c>
      <c r="B10" s="161">
        <f>'Données projet'!D13</f>
        <v>1.9203800000000002</v>
      </c>
      <c r="C10" s="154">
        <f ca="1">IF(OR('Données projet'!B13="",'Données projet'!C13="",'Données projet'!C13=0%),0,Calculateur!CY3)</f>
        <v>284.88646502866419</v>
      </c>
      <c r="D10" s="154">
        <f>IF(OR('Données projet'!B13="",'Données projet'!C13="",'Données projet'!C13=0%),0,Calculateur!CZ3)</f>
        <v>190.4880882944471</v>
      </c>
      <c r="E10" s="154">
        <f t="shared" ca="1" si="0"/>
        <v>190.4880882944471</v>
      </c>
      <c r="F10" s="154">
        <f t="shared" ca="1" si="1"/>
        <v>365.80951499889034</v>
      </c>
      <c r="G10" s="154">
        <f ca="1">F10*(100%-'Données projet'!$C$24)*(100%-'Données projet'!$C$25)*(100%-'Données projet'!$C$26)*(100%-'Données projet'!$C$27)</f>
        <v>329.22856349900132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ca="1" si="2"/>
        <v>329.22856349900132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Cormier</v>
      </c>
      <c r="B11" s="161">
        <f>'Données projet'!D14</f>
        <v>1.6057300000000001</v>
      </c>
      <c r="C11" s="154">
        <f ca="1">IF(OR('Données projet'!B14="",'Données projet'!C14="",'Données projet'!C14=0%),0,Calculateur!DT3)</f>
        <v>502.07782026233912</v>
      </c>
      <c r="D11" s="154">
        <f>IF(OR('Données projet'!B14="",'Données projet'!C14="",'Données projet'!C14=0%),0,Calculateur!DU3)</f>
        <v>285.83623046025156</v>
      </c>
      <c r="E11" s="154">
        <f t="shared" ca="1" si="0"/>
        <v>285.83623046025156</v>
      </c>
      <c r="F11" s="154">
        <f t="shared" ca="1" si="1"/>
        <v>458.97581033693979</v>
      </c>
      <c r="G11" s="154">
        <f ca="1">F11*(100%-'Données projet'!$C$24)*(100%-'Données projet'!$C$25)*(100%-'Données projet'!$C$26)*(100%-'Données projet'!$C$27)</f>
        <v>413.07822930324579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11.6415425</v>
      </c>
      <c r="K11" s="158">
        <f>J11*(100%-'Données projet'!$C$24)*(100%-'Données projet'!$C$25)*(100%-'Données projet'!$C$26)*(100%-'Données projet'!$C$27)</f>
        <v>10.477388250000001</v>
      </c>
      <c r="L11" s="159">
        <f t="shared" ca="1" si="2"/>
        <v>423.55561755324578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>Erable champêtre</v>
      </c>
      <c r="B12" s="161">
        <f>'Données projet'!D15</f>
        <v>1.0698099999999999</v>
      </c>
      <c r="C12" s="154">
        <f ca="1">IF(OR('Données projet'!B15="",'Données projet'!C15="",'Données projet'!C15=0%),0,Calculateur!EO3)</f>
        <v>339.58437495284466</v>
      </c>
      <c r="D12" s="154">
        <f>IF(OR('Données projet'!B15="",'Données projet'!C15="",'Données projet'!C15=0%),0,Calculateur!EP3)</f>
        <v>371.26234252426531</v>
      </c>
      <c r="E12" s="154">
        <f t="shared" ca="1" si="0"/>
        <v>339.58437495284466</v>
      </c>
      <c r="F12" s="154">
        <f t="shared" ca="1" si="1"/>
        <v>363.29076016830271</v>
      </c>
      <c r="G12" s="154">
        <f ca="1">F12*(100%-'Données projet'!$C$24)*(100%-'Données projet'!$C$25)*(100%-'Données projet'!$C$26)*(100%-'Données projet'!$C$27)</f>
        <v>326.96168415147247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26.477797499999998</v>
      </c>
      <c r="K12" s="158">
        <f>J12*(100%-'Données projet'!$C$24)*(100%-'Données projet'!$C$25)*(100%-'Données projet'!$C$26)*(100%-'Données projet'!$C$27)</f>
        <v>23.83001775</v>
      </c>
      <c r="L12" s="159">
        <f t="shared" ca="1" si="2"/>
        <v>350.79170190147249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>Alisier torminal</v>
      </c>
      <c r="B13" s="161">
        <f>'Données projet'!D16</f>
        <v>0.53388999999999998</v>
      </c>
      <c r="C13" s="154">
        <f ca="1">IF(OR('Données projet'!B16="",'Données projet'!C16="",'Données projet'!C16=0%),0,Calculateur!FJ3)</f>
        <v>455.50822833641354</v>
      </c>
      <c r="D13" s="154">
        <f>IF(OR('Données projet'!B16="",'Données projet'!C16="",'Données projet'!C16=0%),0,Calculateur!FK3)</f>
        <v>261.14722581688039</v>
      </c>
      <c r="E13" s="154">
        <f t="shared" ca="1" si="0"/>
        <v>261.14722581688039</v>
      </c>
      <c r="F13" s="154">
        <f t="shared" ca="1" si="1"/>
        <v>139.42389239137427</v>
      </c>
      <c r="G13" s="154">
        <f ca="1">F13*(100%-'Données projet'!$C$24)*(100%-'Données projet'!$C$25)*(100%-'Données projet'!$C$26)*(100%-'Données projet'!$C$27)</f>
        <v>125.48150315223684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3.8707024999999997</v>
      </c>
      <c r="K13" s="158">
        <f>J13*(100%-'Données projet'!$C$24)*(100%-'Données projet'!$C$25)*(100%-'Données projet'!$C$26)*(100%-'Données projet'!$C$27)</f>
        <v>3.4836322499999999</v>
      </c>
      <c r="L13" s="159">
        <f t="shared" ca="1" si="2"/>
        <v>128.96513540223685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5036.5526166064164</v>
      </c>
      <c r="G16" s="173">
        <f t="shared" ca="1" si="3"/>
        <v>4532.8973549457742</v>
      </c>
      <c r="H16" s="174">
        <f t="shared" si="3"/>
        <v>14.210412067613372</v>
      </c>
      <c r="I16" s="174">
        <f t="shared" si="3"/>
        <v>12.789370860852035</v>
      </c>
      <c r="J16" s="175">
        <f t="shared" si="3"/>
        <v>276.69632283461539</v>
      </c>
      <c r="K16" s="175">
        <f t="shared" si="3"/>
        <v>249.02669055115379</v>
      </c>
      <c r="L16" s="176">
        <f t="shared" ca="1" si="3"/>
        <v>4794.7134163577803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Chêne pubescent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Pin laricio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Pin noir d'Autriche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Chêne sessile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Cèdre de l'Atlas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Cormier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>Erable champêtre</v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>Alisier torminal</v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80" zoomScaleNormal="80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37" t="s">
        <v>315</v>
      </c>
      <c r="I4" s="337"/>
      <c r="K4" s="334" t="s">
        <v>253</v>
      </c>
      <c r="L4" s="335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26" t="s">
        <v>310</v>
      </c>
      <c r="S7" s="327"/>
      <c r="T7" s="327"/>
      <c r="U7" s="327"/>
      <c r="V7" s="328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Chêne pubescent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591.11058663896722</v>
      </c>
      <c r="U10" s="188">
        <f>'Données projet'!D9</f>
        <v>5.3490500000000001</v>
      </c>
      <c r="V10" s="187">
        <f>U10*T10</f>
        <v>3161.8800834611675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Pin laricio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1611.3804197092406</v>
      </c>
      <c r="U11" s="188">
        <f>'Données projet'!D10</f>
        <v>4.8009500000000003</v>
      </c>
      <c r="V11" s="187">
        <f>U11*T11</f>
        <v>7736.156826003079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Pin noir d'Autriche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638.15736134546069</v>
      </c>
      <c r="U12" s="188">
        <f>'Données projet'!D11</f>
        <v>2.8805700000000001</v>
      </c>
      <c r="V12" s="187">
        <f t="shared" ref="V12:V19" si="0">U12*T12</f>
        <v>1838.2569503708937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sessile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591.11058663896722</v>
      </c>
      <c r="U13" s="188">
        <f>'Données projet'!D12</f>
        <v>2.1396199999999999</v>
      </c>
      <c r="V13" s="187">
        <f t="shared" si="0"/>
        <v>1264.752033384467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Chêne pubescent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Cèdre de l'Atlas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1088.3877564881834</v>
      </c>
      <c r="U14" s="188">
        <f>'Données projet'!D13</f>
        <v>1.9203800000000002</v>
      </c>
      <c r="V14" s="187">
        <f t="shared" si="0"/>
        <v>2090.1180798047781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38" t="s">
        <v>318</v>
      </c>
      <c r="H15" s="201">
        <v>0</v>
      </c>
      <c r="I15" s="202">
        <v>0</v>
      </c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Cormier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591.11058663896722</v>
      </c>
      <c r="U15" s="188">
        <f>'Données projet'!D14</f>
        <v>1.6057300000000001</v>
      </c>
      <c r="V15" s="187">
        <f t="shared" si="0"/>
        <v>949.16400228378893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38"/>
      <c r="H16" s="201"/>
      <c r="I16" s="202"/>
      <c r="J16" s="214"/>
      <c r="K16" s="223"/>
      <c r="L16" s="334" t="s">
        <v>254</v>
      </c>
      <c r="M16" s="335"/>
      <c r="N16" s="2"/>
      <c r="O16" s="25"/>
      <c r="P16" s="25"/>
      <c r="Q16" s="263"/>
      <c r="R16" s="25"/>
      <c r="S16" s="183" t="str">
        <f>B200</f>
        <v>Erable champêtre</v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1361.6754437681484</v>
      </c>
      <c r="U16" s="188">
        <f>'Données projet'!D15</f>
        <v>1.0698099999999999</v>
      </c>
      <c r="V16" s="187">
        <f t="shared" si="0"/>
        <v>1456.7340064976026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38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3"/>
      <c r="R17" s="25"/>
      <c r="S17" s="183" t="str">
        <f>B231</f>
        <v>Alisier torminal</v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591.11058663896722</v>
      </c>
      <c r="U17" s="188">
        <f>'Données projet'!D16</f>
        <v>0.53388999999999998</v>
      </c>
      <c r="V17" s="187">
        <f t="shared" si="0"/>
        <v>315.58803110067822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38"/>
      <c r="J18" s="214"/>
      <c r="K18" s="223"/>
      <c r="L18" s="292" t="s">
        <v>255</v>
      </c>
      <c r="M18" s="294"/>
      <c r="N18" s="203"/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38"/>
      <c r="H19" s="230" t="s">
        <v>178</v>
      </c>
      <c r="I19" s="230" t="s">
        <v>287</v>
      </c>
      <c r="J19" s="258"/>
      <c r="K19" s="181"/>
      <c r="L19" s="334" t="s">
        <v>288</v>
      </c>
      <c r="M19" s="335"/>
      <c r="N19" s="189">
        <f>N17*N18</f>
        <v>0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38"/>
      <c r="H20" s="201">
        <v>0</v>
      </c>
      <c r="I20" s="202">
        <v>8000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/>
      <c r="I21" s="202"/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/>
      <c r="I22" s="202"/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20</v>
      </c>
      <c r="B23" s="191">
        <f>'Données projet'!D36</f>
        <v>0</v>
      </c>
      <c r="C23" s="204"/>
      <c r="D23" s="192">
        <f>B23*C23</f>
        <v>0</v>
      </c>
      <c r="E23" s="204"/>
      <c r="F23" s="259"/>
      <c r="H23" s="201"/>
      <c r="I23" s="202"/>
      <c r="K23" s="223"/>
      <c r="L23" s="336" t="s">
        <v>260</v>
      </c>
      <c r="M23" s="336"/>
      <c r="N23" s="336"/>
      <c r="O23" s="25"/>
      <c r="P23" s="25"/>
      <c r="Q23" s="263"/>
      <c r="R23" s="25"/>
      <c r="S23" s="183" t="s">
        <v>264</v>
      </c>
      <c r="T23" s="33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-143587.34998709353</v>
      </c>
      <c r="U23" s="331"/>
      <c r="V23" s="331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25</v>
      </c>
      <c r="B24" s="191">
        <f>'Données projet'!D37</f>
        <v>0</v>
      </c>
      <c r="C24" s="204"/>
      <c r="D24" s="192">
        <f t="shared" ref="D24:D42" si="1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2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2"/>
      <c r="V24" s="332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30</v>
      </c>
      <c r="B25" s="191">
        <f>'Données projet'!D38</f>
        <v>29</v>
      </c>
      <c r="C25" s="204">
        <v>10</v>
      </c>
      <c r="D25" s="192">
        <f t="shared" si="1"/>
        <v>290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>
        <v>0</v>
      </c>
      <c r="Q25" s="263"/>
      <c r="R25" s="25"/>
      <c r="S25" s="196" t="s">
        <v>266</v>
      </c>
      <c r="T25" s="333">
        <f ca="1">T23-T24</f>
        <v>-143587.34998709353</v>
      </c>
      <c r="U25" s="333"/>
      <c r="V25" s="333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35</v>
      </c>
      <c r="B26" s="191">
        <f>'Données projet'!D39</f>
        <v>0</v>
      </c>
      <c r="C26" s="204"/>
      <c r="D26" s="192">
        <f t="shared" si="1"/>
        <v>0</v>
      </c>
      <c r="E26" s="204"/>
      <c r="F26" s="262"/>
      <c r="G26" s="257"/>
      <c r="H26" s="201"/>
      <c r="I26" s="202"/>
      <c r="K26" s="223"/>
      <c r="L26" s="320" t="s">
        <v>258</v>
      </c>
      <c r="M26" s="321"/>
      <c r="N26" s="321"/>
      <c r="O26" s="321"/>
      <c r="P26" s="322"/>
      <c r="Q26" s="263"/>
      <c r="R26" s="25"/>
      <c r="S26" s="196" t="s">
        <v>265</v>
      </c>
      <c r="T26" s="330" t="str">
        <f ca="1">IF(T25&lt;0,"Votre projet est additionnel","Votre projet n'est pas additionnel")</f>
        <v>Votre projet est additionnel</v>
      </c>
      <c r="U26" s="330"/>
      <c r="V26" s="330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40</v>
      </c>
      <c r="B27" s="191">
        <f>'Données projet'!D40</f>
        <v>42</v>
      </c>
      <c r="C27" s="204">
        <v>10</v>
      </c>
      <c r="D27" s="192">
        <f t="shared" si="1"/>
        <v>420</v>
      </c>
      <c r="E27" s="204"/>
      <c r="F27" s="262"/>
      <c r="G27" s="257"/>
      <c r="H27" s="201"/>
      <c r="I27" s="202"/>
      <c r="K27" s="223"/>
      <c r="L27" s="323"/>
      <c r="M27" s="324"/>
      <c r="N27" s="324"/>
      <c r="O27" s="324"/>
      <c r="P27" s="325"/>
      <c r="Q27" s="263"/>
      <c r="R27" s="25"/>
      <c r="S27" s="329" t="s">
        <v>267</v>
      </c>
      <c r="T27" s="329"/>
      <c r="U27" s="329"/>
      <c r="V27" s="329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45</v>
      </c>
      <c r="B28" s="191">
        <f>'Données projet'!D41</f>
        <v>0</v>
      </c>
      <c r="C28" s="204"/>
      <c r="D28" s="192">
        <f t="shared" si="1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50</v>
      </c>
      <c r="B29" s="191">
        <f>'Données projet'!D42</f>
        <v>42</v>
      </c>
      <c r="C29" s="204">
        <v>20</v>
      </c>
      <c r="D29" s="192">
        <f t="shared" si="1"/>
        <v>840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55</v>
      </c>
      <c r="B30" s="191">
        <f>'Données projet'!D43</f>
        <v>0</v>
      </c>
      <c r="C30" s="204"/>
      <c r="D30" s="192">
        <f t="shared" si="1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60</v>
      </c>
      <c r="B31" s="191">
        <f>'Données projet'!D44</f>
        <v>42</v>
      </c>
      <c r="C31" s="204">
        <v>20</v>
      </c>
      <c r="D31" s="192">
        <f t="shared" si="1"/>
        <v>840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65</v>
      </c>
      <c r="B32" s="191">
        <f>'Données projet'!D45</f>
        <v>0</v>
      </c>
      <c r="C32" s="204"/>
      <c r="D32" s="192">
        <f t="shared" si="1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70</v>
      </c>
      <c r="B33" s="191">
        <f>'Données projet'!D46</f>
        <v>42</v>
      </c>
      <c r="C33" s="204">
        <v>30</v>
      </c>
      <c r="D33" s="192">
        <f t="shared" si="1"/>
        <v>1260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2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75</v>
      </c>
      <c r="B34" s="191">
        <f>'Données projet'!D47</f>
        <v>0</v>
      </c>
      <c r="C34" s="204"/>
      <c r="D34" s="192">
        <f t="shared" si="1"/>
        <v>0</v>
      </c>
      <c r="E34" s="204"/>
      <c r="F34" s="262"/>
      <c r="G34" s="216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2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80</v>
      </c>
      <c r="B35" s="191">
        <f>'Données projet'!D48</f>
        <v>42</v>
      </c>
      <c r="C35" s="204">
        <v>40</v>
      </c>
      <c r="D35" s="192">
        <f t="shared" si="1"/>
        <v>1680</v>
      </c>
      <c r="E35" s="204"/>
      <c r="F35" s="262"/>
      <c r="G35" s="216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2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90</v>
      </c>
      <c r="B36" s="191">
        <f>'Données projet'!D49</f>
        <v>42</v>
      </c>
      <c r="C36" s="204">
        <v>50</v>
      </c>
      <c r="D36" s="192">
        <f t="shared" si="1"/>
        <v>2100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2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100</v>
      </c>
      <c r="B37" s="191">
        <f>'Données projet'!D50</f>
        <v>42</v>
      </c>
      <c r="C37" s="204">
        <v>60</v>
      </c>
      <c r="D37" s="192">
        <f t="shared" si="1"/>
        <v>2520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2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110</v>
      </c>
      <c r="B38" s="191">
        <f>'Données projet'!D51</f>
        <v>39</v>
      </c>
      <c r="C38" s="204">
        <v>70</v>
      </c>
      <c r="D38" s="192">
        <f t="shared" si="1"/>
        <v>2730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2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120</v>
      </c>
      <c r="B39" s="191">
        <f>'Données projet'!D52</f>
        <v>35</v>
      </c>
      <c r="C39" s="204">
        <v>80</v>
      </c>
      <c r="D39" s="192">
        <f t="shared" si="1"/>
        <v>2800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2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130</v>
      </c>
      <c r="B40" s="191">
        <f>'Données projet'!D53</f>
        <v>31</v>
      </c>
      <c r="C40" s="204">
        <v>90</v>
      </c>
      <c r="D40" s="192">
        <f t="shared" si="1"/>
        <v>2790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2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140</v>
      </c>
      <c r="B41" s="191">
        <f>'Données projet'!D54</f>
        <v>27</v>
      </c>
      <c r="C41" s="204">
        <v>100</v>
      </c>
      <c r="D41" s="192">
        <f t="shared" si="1"/>
        <v>2700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2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150</v>
      </c>
      <c r="B42" s="191">
        <f>'Données projet'!D55</f>
        <v>293</v>
      </c>
      <c r="C42" s="204">
        <v>150</v>
      </c>
      <c r="D42" s="192">
        <f t="shared" si="1"/>
        <v>43950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2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2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2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Pin laricio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2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2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2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2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2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2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2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2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 t="s">
        <v>132</v>
      </c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2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15</v>
      </c>
      <c r="B54" s="191">
        <f>'Données projet'!D62</f>
        <v>0</v>
      </c>
      <c r="C54" s="202"/>
      <c r="D54" s="189">
        <f>B54*C54</f>
        <v>0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2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22</v>
      </c>
      <c r="B55" s="191">
        <f>'Données projet'!D63</f>
        <v>52.746153846153838</v>
      </c>
      <c r="C55" s="202">
        <v>15</v>
      </c>
      <c r="D55" s="189">
        <f t="shared" ref="D55:D73" si="3">B55*C55</f>
        <v>791.19230769230762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2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24</v>
      </c>
      <c r="B56" s="191">
        <f>'Données projet'!D64</f>
        <v>0</v>
      </c>
      <c r="C56" s="204"/>
      <c r="D56" s="189">
        <f t="shared" si="3"/>
        <v>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2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27</v>
      </c>
      <c r="B57" s="191">
        <f>'Données projet'!D65</f>
        <v>34.646153846153844</v>
      </c>
      <c r="C57" s="204">
        <v>15</v>
      </c>
      <c r="D57" s="189">
        <f t="shared" si="3"/>
        <v>519.69230769230762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2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30</v>
      </c>
      <c r="B58" s="191">
        <f>'Données projet'!D66</f>
        <v>0</v>
      </c>
      <c r="C58" s="204"/>
      <c r="D58" s="189">
        <f t="shared" si="3"/>
        <v>0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2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33</v>
      </c>
      <c r="B59" s="191">
        <f>'Données projet'!D67</f>
        <v>43.007692307692302</v>
      </c>
      <c r="C59" s="204">
        <v>20</v>
      </c>
      <c r="D59" s="189">
        <f t="shared" si="3"/>
        <v>860.15384615384608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2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41</v>
      </c>
      <c r="B60" s="191">
        <f>'Données projet'!D68</f>
        <v>58.484615384615381</v>
      </c>
      <c r="C60" s="204">
        <v>25</v>
      </c>
      <c r="D60" s="189">
        <f t="shared" si="3"/>
        <v>1462.1153846153845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2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50</v>
      </c>
      <c r="B61" s="191">
        <f>'Données projet'!D69</f>
        <v>55.292307692307688</v>
      </c>
      <c r="C61" s="204">
        <v>30</v>
      </c>
      <c r="D61" s="189">
        <f t="shared" si="3"/>
        <v>1658.7692307692307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2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60</v>
      </c>
      <c r="B62" s="191">
        <f>'Données projet'!D70</f>
        <v>54.261538461538464</v>
      </c>
      <c r="C62" s="204">
        <v>35</v>
      </c>
      <c r="D62" s="189">
        <f t="shared" si="3"/>
        <v>1899.1538461538462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2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70</v>
      </c>
      <c r="B63" s="191">
        <f>'Données projet'!D71</f>
        <v>52.669230769230765</v>
      </c>
      <c r="C63" s="204">
        <v>40</v>
      </c>
      <c r="D63" s="189">
        <f t="shared" si="3"/>
        <v>2106.7692307692305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2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80</v>
      </c>
      <c r="B64" s="191">
        <f>'Données projet'!D72</f>
        <v>402.90769230769229</v>
      </c>
      <c r="C64" s="204">
        <v>50</v>
      </c>
      <c r="D64" s="189">
        <f t="shared" si="3"/>
        <v>20145.384615384613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2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4"/>
      <c r="D65" s="189">
        <f t="shared" si="3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4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4"/>
      <c r="D66" s="189">
        <f t="shared" si="3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4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4"/>
      <c r="D67" s="189">
        <f t="shared" si="3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4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4"/>
      <c r="D68" s="189">
        <f t="shared" si="3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4"/>
        <v>0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4"/>
      <c r="D69" s="189">
        <f t="shared" si="3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4"/>
        <v>0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4"/>
      <c r="D70" s="189">
        <f t="shared" si="3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4"/>
        <v>0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4"/>
      <c r="D71" s="189">
        <f t="shared" si="3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4"/>
        <v>0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4"/>
      <c r="D72" s="189">
        <f t="shared" si="3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4"/>
        <v>0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4"/>
      <c r="D73" s="189">
        <f t="shared" si="3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4"/>
        <v>0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4"/>
        <v>0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4"/>
        <v>0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Pin noir d'Autriche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4"/>
        <v>0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4"/>
        <v>0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4"/>
        <v>0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4"/>
        <v>0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4"/>
        <v>0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4"/>
        <v>0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4"/>
        <v>0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4"/>
        <v>0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4"/>
        <v>0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15</v>
      </c>
      <c r="B85" s="191">
        <f>'Données projet'!D88</f>
        <v>0</v>
      </c>
      <c r="C85" s="202"/>
      <c r="D85" s="189">
        <f>B85*C85</f>
        <v>0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4"/>
        <v>0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20</v>
      </c>
      <c r="B86" s="191">
        <f>'Données projet'!D89</f>
        <v>0</v>
      </c>
      <c r="C86" s="202"/>
      <c r="D86" s="189">
        <f t="shared" ref="D86:D104" si="5">B86*C86</f>
        <v>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4"/>
        <v>0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25</v>
      </c>
      <c r="B87" s="191">
        <f>'Données projet'!D90</f>
        <v>0</v>
      </c>
      <c r="C87" s="202"/>
      <c r="D87" s="189">
        <f t="shared" si="5"/>
        <v>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4"/>
        <v>0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30</v>
      </c>
      <c r="B88" s="191">
        <f>'Données projet'!D91</f>
        <v>0</v>
      </c>
      <c r="C88" s="202"/>
      <c r="D88" s="189">
        <f t="shared" si="5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4"/>
        <v>0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35</v>
      </c>
      <c r="B89" s="191">
        <f>'Données projet'!D92</f>
        <v>0</v>
      </c>
      <c r="C89" s="202"/>
      <c r="D89" s="189">
        <f t="shared" si="5"/>
        <v>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4"/>
        <v>0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40</v>
      </c>
      <c r="B90" s="191">
        <f>'Données projet'!D93</f>
        <v>65.969230769230776</v>
      </c>
      <c r="C90" s="202">
        <v>15</v>
      </c>
      <c r="D90" s="189">
        <f t="shared" si="5"/>
        <v>989.53846153846166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4"/>
        <v>0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45</v>
      </c>
      <c r="B91" s="191">
        <f>'Données projet'!D94</f>
        <v>0</v>
      </c>
      <c r="C91" s="202"/>
      <c r="D91" s="189">
        <f t="shared" si="5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4"/>
        <v>0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50</v>
      </c>
      <c r="B92" s="191">
        <f>'Données projet'!D95</f>
        <v>0</v>
      </c>
      <c r="C92" s="202"/>
      <c r="D92" s="189">
        <f t="shared" si="5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4"/>
        <v>0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55</v>
      </c>
      <c r="B93" s="191">
        <f>'Données projet'!D96</f>
        <v>65.053846153846152</v>
      </c>
      <c r="C93" s="202">
        <v>20</v>
      </c>
      <c r="D93" s="189">
        <f t="shared" si="5"/>
        <v>1301.0769230769231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4"/>
        <v>0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60</v>
      </c>
      <c r="B94" s="191">
        <f>'Données projet'!D97</f>
        <v>0</v>
      </c>
      <c r="C94" s="202"/>
      <c r="D94" s="189">
        <f t="shared" si="5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4"/>
        <v>0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65</v>
      </c>
      <c r="B95" s="191">
        <f>'Données projet'!D98</f>
        <v>0</v>
      </c>
      <c r="C95" s="202"/>
      <c r="D95" s="189">
        <f t="shared" si="5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4"/>
        <v>0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70</v>
      </c>
      <c r="B96" s="191">
        <f>'Données projet'!D99</f>
        <v>62.976923076923079</v>
      </c>
      <c r="C96" s="202">
        <v>25</v>
      </c>
      <c r="D96" s="189">
        <f t="shared" si="5"/>
        <v>1574.4230769230769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4"/>
        <v>0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75</v>
      </c>
      <c r="B97" s="191">
        <f>'Données projet'!D100</f>
        <v>0</v>
      </c>
      <c r="C97" s="202"/>
      <c r="D97" s="189">
        <f t="shared" si="5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6">$P$25/(1+$M$4)^O97</f>
        <v>0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80</v>
      </c>
      <c r="B98" s="191">
        <f>'Données projet'!D101</f>
        <v>56.992307692307691</v>
      </c>
      <c r="C98" s="202">
        <v>30</v>
      </c>
      <c r="D98" s="189">
        <f t="shared" si="5"/>
        <v>1709.7692307692307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6"/>
        <v>0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85</v>
      </c>
      <c r="B99" s="191">
        <f>'Données projet'!D102</f>
        <v>0</v>
      </c>
      <c r="C99" s="202"/>
      <c r="D99" s="189">
        <f t="shared" si="5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6"/>
        <v>0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90</v>
      </c>
      <c r="B100" s="191">
        <f>'Données projet'!D103</f>
        <v>0</v>
      </c>
      <c r="C100" s="202"/>
      <c r="D100" s="189">
        <f t="shared" si="5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6"/>
        <v>0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95</v>
      </c>
      <c r="B101" s="191">
        <f>'Données projet'!D104</f>
        <v>203.73846153846154</v>
      </c>
      <c r="C101" s="202">
        <v>40</v>
      </c>
      <c r="D101" s="189">
        <f t="shared" si="5"/>
        <v>8149.538461538461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6"/>
        <v>0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100</v>
      </c>
      <c r="B102" s="191">
        <f>'Données projet'!D105</f>
        <v>0</v>
      </c>
      <c r="C102" s="202"/>
      <c r="D102" s="189">
        <f t="shared" si="5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6"/>
        <v>0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105</v>
      </c>
      <c r="B103" s="191">
        <f>'Données projet'!D106</f>
        <v>213.82307692307694</v>
      </c>
      <c r="C103" s="202">
        <v>50</v>
      </c>
      <c r="D103" s="189">
        <f t="shared" si="5"/>
        <v>10691.153846153848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>
        <f>IF(O102+1&lt;=MIN('Données projet'!$E$9:$E$18),O102+1,"STOP")</f>
        <v>70</v>
      </c>
      <c r="P103" s="195">
        <f t="shared" si="6"/>
        <v>0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5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>
        <f>IF(O103+1&lt;=MIN('Données projet'!$E$9:$E$18),O103+1,"STOP")</f>
        <v>71</v>
      </c>
      <c r="P104" s="195">
        <f t="shared" si="6"/>
        <v>0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>
        <f>IF(O104+1&lt;=MIN('Données projet'!$E$9:$E$18),O104+1,"STOP")</f>
        <v>72</v>
      </c>
      <c r="P105" s="195">
        <f t="shared" si="6"/>
        <v>0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>
        <f>IF(O105+1&lt;=MIN('Données projet'!$E$9:$E$18),O105+1,"STOP")</f>
        <v>73</v>
      </c>
      <c r="P106" s="195">
        <f t="shared" si="6"/>
        <v>0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Chêne sessile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>
        <f>IF(O106+1&lt;=MIN('Données projet'!$E$9:$E$18),O106+1,"STOP")</f>
        <v>74</v>
      </c>
      <c r="P107" s="195">
        <f t="shared" si="6"/>
        <v>0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>
        <f>IF(O107+1&lt;=MIN('Données projet'!$E$9:$E$18),O107+1,"STOP")</f>
        <v>75</v>
      </c>
      <c r="P108" s="195">
        <f t="shared" si="6"/>
        <v>0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>
        <f>IF(O108+1&lt;=MIN('Données projet'!$E$9:$E$18),O108+1,"STOP")</f>
        <v>76</v>
      </c>
      <c r="P109" s="195">
        <f t="shared" si="6"/>
        <v>0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>
        <f>IF(O109+1&lt;=MIN('Données projet'!$E$9:$E$18),O109+1,"STOP")</f>
        <v>77</v>
      </c>
      <c r="P110" s="195">
        <f t="shared" si="6"/>
        <v>0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>
        <f>IF(O110+1&lt;=MIN('Données projet'!$E$9:$E$18),O110+1,"STOP")</f>
        <v>78</v>
      </c>
      <c r="P111" s="195">
        <f t="shared" si="6"/>
        <v>0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>
        <f>IF(O111+1&lt;=MIN('Données projet'!$E$9:$E$18),O111+1,"STOP")</f>
        <v>79</v>
      </c>
      <c r="P112" s="195">
        <f t="shared" si="6"/>
        <v>0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>
        <f>IF(O112+1&lt;=MIN('Données projet'!$E$9:$E$18),O112+1,"STOP")</f>
        <v>80</v>
      </c>
      <c r="P113" s="195">
        <f t="shared" si="6"/>
        <v>0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str">
        <f>IF(O113+1&lt;=MIN('Données projet'!$E$9:$E$18),O113+1,"STOP")</f>
        <v>STOP</v>
      </c>
      <c r="P114" s="195" t="e">
        <f t="shared" si="6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 t="s">
        <v>132</v>
      </c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6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0</v>
      </c>
      <c r="C116" s="202"/>
      <c r="D116" s="189">
        <f>B116*C116</f>
        <v>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6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0</v>
      </c>
      <c r="C117" s="202"/>
      <c r="D117" s="189">
        <f t="shared" ref="D117:D135" si="7">B117*C117</f>
        <v>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6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29</v>
      </c>
      <c r="C118" s="204">
        <v>10</v>
      </c>
      <c r="D118" s="189">
        <f t="shared" si="7"/>
        <v>290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6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0</v>
      </c>
      <c r="C119" s="204"/>
      <c r="D119" s="189">
        <f t="shared" si="7"/>
        <v>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6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42</v>
      </c>
      <c r="C120" s="204">
        <v>10</v>
      </c>
      <c r="D120" s="189">
        <f t="shared" si="7"/>
        <v>420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6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0</v>
      </c>
      <c r="C121" s="204"/>
      <c r="D121" s="189">
        <f t="shared" si="7"/>
        <v>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6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42</v>
      </c>
      <c r="C122" s="204">
        <v>20</v>
      </c>
      <c r="D122" s="189">
        <f t="shared" si="7"/>
        <v>840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6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0</v>
      </c>
      <c r="C123" s="204"/>
      <c r="D123" s="189">
        <f t="shared" si="7"/>
        <v>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6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42</v>
      </c>
      <c r="C124" s="204">
        <v>20</v>
      </c>
      <c r="D124" s="189">
        <f t="shared" si="7"/>
        <v>840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6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0</v>
      </c>
      <c r="C125" s="204"/>
      <c r="D125" s="189">
        <f t="shared" si="7"/>
        <v>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6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42</v>
      </c>
      <c r="C126" s="204">
        <v>30</v>
      </c>
      <c r="D126" s="189">
        <f t="shared" si="7"/>
        <v>1260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6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0</v>
      </c>
      <c r="C127" s="204"/>
      <c r="D127" s="189">
        <f t="shared" si="7"/>
        <v>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6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42</v>
      </c>
      <c r="C128" s="204">
        <v>40</v>
      </c>
      <c r="D128" s="189">
        <f t="shared" si="7"/>
        <v>1680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6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90</v>
      </c>
      <c r="B129" s="191">
        <f>'Données projet'!D127</f>
        <v>42</v>
      </c>
      <c r="C129" s="204">
        <v>50</v>
      </c>
      <c r="D129" s="189">
        <f t="shared" si="7"/>
        <v>2100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100</v>
      </c>
      <c r="B130" s="191">
        <f>'Données projet'!D128</f>
        <v>42</v>
      </c>
      <c r="C130" s="204">
        <v>60</v>
      </c>
      <c r="D130" s="189">
        <f t="shared" si="7"/>
        <v>2520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>$P$25/(1+$M$4)^O130</f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110</v>
      </c>
      <c r="B131" s="191">
        <f>'Données projet'!D129</f>
        <v>39</v>
      </c>
      <c r="C131" s="204">
        <v>70</v>
      </c>
      <c r="D131" s="189">
        <f t="shared" si="7"/>
        <v>2730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>$P$25/(1+$M$4)^O131</f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120</v>
      </c>
      <c r="B132" s="191">
        <f>'Données projet'!D130</f>
        <v>35</v>
      </c>
      <c r="C132" s="204">
        <v>80</v>
      </c>
      <c r="D132" s="189">
        <f t="shared" si="7"/>
        <v>2800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>$P$25/(1+$M$4)^O132</f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130</v>
      </c>
      <c r="B133" s="191">
        <f>'Données projet'!D131</f>
        <v>31</v>
      </c>
      <c r="C133" s="204">
        <v>90</v>
      </c>
      <c r="D133" s="189">
        <f t="shared" si="7"/>
        <v>2790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140</v>
      </c>
      <c r="B134" s="191">
        <f>'Données projet'!D132</f>
        <v>27</v>
      </c>
      <c r="C134" s="204">
        <v>100</v>
      </c>
      <c r="D134" s="189">
        <f t="shared" si="7"/>
        <v>2700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150</v>
      </c>
      <c r="B135" s="191">
        <f>'Données projet'!D133</f>
        <v>293</v>
      </c>
      <c r="C135" s="204">
        <v>150</v>
      </c>
      <c r="D135" s="189">
        <f t="shared" si="7"/>
        <v>43950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Cèdre de l'Atlas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30</v>
      </c>
      <c r="B147" s="185">
        <f>'Données projet'!D140</f>
        <v>0</v>
      </c>
      <c r="C147" s="202"/>
      <c r="D147" s="192">
        <f>B147*C147</f>
        <v>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40</v>
      </c>
      <c r="B148" s="185">
        <f>'Données projet'!D141</f>
        <v>0</v>
      </c>
      <c r="C148" s="202"/>
      <c r="D148" s="192">
        <f t="shared" ref="D148:D166" si="8">B148*C148</f>
        <v>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51</v>
      </c>
      <c r="B149" s="185">
        <f>'Données projet'!D142</f>
        <v>170.16153846153847</v>
      </c>
      <c r="C149" s="204">
        <v>25</v>
      </c>
      <c r="D149" s="192">
        <f t="shared" si="8"/>
        <v>4254.0384615384619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56</v>
      </c>
      <c r="B150" s="185">
        <f>'Données projet'!D143</f>
        <v>0</v>
      </c>
      <c r="C150" s="204"/>
      <c r="D150" s="192">
        <f t="shared" si="8"/>
        <v>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61</v>
      </c>
      <c r="B151" s="185">
        <f>'Données projet'!D144</f>
        <v>94.76153846153845</v>
      </c>
      <c r="C151" s="204">
        <v>30</v>
      </c>
      <c r="D151" s="192">
        <f t="shared" si="8"/>
        <v>2842.8461538461534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67</v>
      </c>
      <c r="B152" s="185">
        <f>'Données projet'!D145</f>
        <v>0</v>
      </c>
      <c r="C152" s="204"/>
      <c r="D152" s="192">
        <f t="shared" si="8"/>
        <v>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73</v>
      </c>
      <c r="B153" s="185">
        <f>'Données projet'!D146</f>
        <v>93.584615384615375</v>
      </c>
      <c r="C153" s="204">
        <v>35</v>
      </c>
      <c r="D153" s="192">
        <f t="shared" si="8"/>
        <v>3275.4615384615381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79</v>
      </c>
      <c r="B154" s="185">
        <f>'Données projet'!D147</f>
        <v>0</v>
      </c>
      <c r="C154" s="204"/>
      <c r="D154" s="192">
        <f t="shared" si="8"/>
        <v>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85</v>
      </c>
      <c r="B155" s="185">
        <f>'Données projet'!D148</f>
        <v>85.207692307692298</v>
      </c>
      <c r="C155" s="204">
        <v>40</v>
      </c>
      <c r="D155" s="192">
        <f t="shared" si="8"/>
        <v>3408.3076923076919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91</v>
      </c>
      <c r="B156" s="185">
        <f>'Données projet'!D149</f>
        <v>0</v>
      </c>
      <c r="C156" s="204"/>
      <c r="D156" s="192">
        <f t="shared" si="8"/>
        <v>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97</v>
      </c>
      <c r="B157" s="185">
        <f>'Données projet'!D150</f>
        <v>79.669230769230765</v>
      </c>
      <c r="C157" s="204">
        <v>50</v>
      </c>
      <c r="D157" s="192">
        <f t="shared" si="8"/>
        <v>3983.4615384615381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103</v>
      </c>
      <c r="B158" s="185">
        <f>'Données projet'!D151</f>
        <v>0</v>
      </c>
      <c r="C158" s="204"/>
      <c r="D158" s="192">
        <f t="shared" si="8"/>
        <v>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109</v>
      </c>
      <c r="B159" s="185">
        <f>'Données projet'!D152</f>
        <v>80.653846153846146</v>
      </c>
      <c r="C159" s="204">
        <v>60</v>
      </c>
      <c r="D159" s="192">
        <f t="shared" si="8"/>
        <v>4839.2307692307686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115</v>
      </c>
      <c r="B160" s="185">
        <f>'Données projet'!D153</f>
        <v>0</v>
      </c>
      <c r="C160" s="204"/>
      <c r="D160" s="192">
        <f t="shared" si="8"/>
        <v>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121</v>
      </c>
      <c r="B161" s="185">
        <f>'Données projet'!D154</f>
        <v>207.07692307692307</v>
      </c>
      <c r="C161" s="204">
        <v>70</v>
      </c>
      <c r="D161" s="192">
        <f t="shared" si="8"/>
        <v>14495.384615384615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126</v>
      </c>
      <c r="B162" s="185">
        <f>'Données projet'!D155</f>
        <v>0</v>
      </c>
      <c r="C162" s="204"/>
      <c r="D162" s="192">
        <f t="shared" si="8"/>
        <v>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131</v>
      </c>
      <c r="B163" s="185">
        <f>'Données projet'!D156</f>
        <v>259.61538461538458</v>
      </c>
      <c r="C163" s="204">
        <v>80</v>
      </c>
      <c r="D163" s="192">
        <f t="shared" si="8"/>
        <v>20769.230769230766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5">
        <f>'Données projet'!D157</f>
        <v>0</v>
      </c>
      <c r="C164" s="204"/>
      <c r="D164" s="192">
        <f t="shared" si="8"/>
        <v>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5">
        <f>'Données projet'!D158</f>
        <v>0</v>
      </c>
      <c r="C165" s="204"/>
      <c r="D165" s="192">
        <f t="shared" si="8"/>
        <v>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5">
        <f>'Données projet'!D159</f>
        <v>0</v>
      </c>
      <c r="C166" s="204"/>
      <c r="D166" s="192">
        <f t="shared" si="8"/>
        <v>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Cormier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20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25</v>
      </c>
      <c r="B179" s="191">
        <f>'Données projet'!D167</f>
        <v>0</v>
      </c>
      <c r="C179" s="204"/>
      <c r="D179" s="189">
        <f t="shared" ref="D179:D197" si="9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30</v>
      </c>
      <c r="B180" s="191">
        <f>'Données projet'!D168</f>
        <v>29</v>
      </c>
      <c r="C180" s="204">
        <v>10</v>
      </c>
      <c r="D180" s="189">
        <f t="shared" si="9"/>
        <v>290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35</v>
      </c>
      <c r="B181" s="191">
        <f>'Données projet'!D169</f>
        <v>0</v>
      </c>
      <c r="C181" s="204"/>
      <c r="D181" s="189">
        <f t="shared" si="9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40</v>
      </c>
      <c r="B182" s="191">
        <f>'Données projet'!D170</f>
        <v>42</v>
      </c>
      <c r="C182" s="204">
        <v>10</v>
      </c>
      <c r="D182" s="189">
        <f t="shared" si="9"/>
        <v>420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45</v>
      </c>
      <c r="B183" s="191">
        <f>'Données projet'!D171</f>
        <v>0</v>
      </c>
      <c r="C183" s="204"/>
      <c r="D183" s="189">
        <f t="shared" si="9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50</v>
      </c>
      <c r="B184" s="191">
        <f>'Données projet'!D172</f>
        <v>42</v>
      </c>
      <c r="C184" s="204">
        <v>20</v>
      </c>
      <c r="D184" s="189">
        <f t="shared" si="9"/>
        <v>840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55</v>
      </c>
      <c r="B185" s="191">
        <f>'Données projet'!D173</f>
        <v>0</v>
      </c>
      <c r="C185" s="204"/>
      <c r="D185" s="189">
        <f t="shared" si="9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60</v>
      </c>
      <c r="B186" s="191">
        <f>'Données projet'!D174</f>
        <v>42</v>
      </c>
      <c r="C186" s="204">
        <v>20</v>
      </c>
      <c r="D186" s="189">
        <f t="shared" si="9"/>
        <v>840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65</v>
      </c>
      <c r="B187" s="191">
        <f>'Données projet'!D175</f>
        <v>0</v>
      </c>
      <c r="C187" s="204"/>
      <c r="D187" s="189">
        <f t="shared" si="9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70</v>
      </c>
      <c r="B188" s="191">
        <f>'Données projet'!D176</f>
        <v>42</v>
      </c>
      <c r="C188" s="204">
        <v>30</v>
      </c>
      <c r="D188" s="189">
        <f t="shared" si="9"/>
        <v>1260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75</v>
      </c>
      <c r="B189" s="191">
        <f>'Données projet'!D177</f>
        <v>0</v>
      </c>
      <c r="C189" s="204"/>
      <c r="D189" s="189">
        <f t="shared" si="9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80</v>
      </c>
      <c r="B190" s="191">
        <f>'Données projet'!D178</f>
        <v>42</v>
      </c>
      <c r="C190" s="204">
        <v>40</v>
      </c>
      <c r="D190" s="189">
        <f t="shared" si="9"/>
        <v>1680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90</v>
      </c>
      <c r="B191" s="191">
        <f>'Données projet'!D179</f>
        <v>42</v>
      </c>
      <c r="C191" s="204">
        <v>50</v>
      </c>
      <c r="D191" s="189">
        <f t="shared" si="9"/>
        <v>2100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100</v>
      </c>
      <c r="B192" s="191">
        <f>'Données projet'!D180</f>
        <v>42</v>
      </c>
      <c r="C192" s="204">
        <v>60</v>
      </c>
      <c r="D192" s="189">
        <f t="shared" si="9"/>
        <v>2520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110</v>
      </c>
      <c r="B193" s="191">
        <f>'Données projet'!D181</f>
        <v>39</v>
      </c>
      <c r="C193" s="204">
        <v>70</v>
      </c>
      <c r="D193" s="189">
        <f t="shared" si="9"/>
        <v>2730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120</v>
      </c>
      <c r="B194" s="191">
        <f>'Données projet'!D182</f>
        <v>35</v>
      </c>
      <c r="C194" s="204">
        <v>80</v>
      </c>
      <c r="D194" s="189">
        <f t="shared" si="9"/>
        <v>2800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130</v>
      </c>
      <c r="B195" s="191">
        <f>'Données projet'!D183</f>
        <v>31</v>
      </c>
      <c r="C195" s="204">
        <v>90</v>
      </c>
      <c r="D195" s="189">
        <f t="shared" si="9"/>
        <v>2790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140</v>
      </c>
      <c r="B196" s="191">
        <f>'Données projet'!D184</f>
        <v>27</v>
      </c>
      <c r="C196" s="204">
        <v>100</v>
      </c>
      <c r="D196" s="189">
        <f t="shared" si="9"/>
        <v>2700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150</v>
      </c>
      <c r="B197" s="191">
        <f>'Données projet'!D185</f>
        <v>293</v>
      </c>
      <c r="C197" s="204">
        <v>150</v>
      </c>
      <c r="D197" s="189">
        <f t="shared" si="9"/>
        <v>43950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>Erable champêtre</v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15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20</v>
      </c>
      <c r="B210" s="191">
        <f>'Données projet'!D193</f>
        <v>43</v>
      </c>
      <c r="C210" s="204">
        <v>10</v>
      </c>
      <c r="D210" s="189">
        <f t="shared" ref="D210:D228" si="10">B210*C210</f>
        <v>430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25</v>
      </c>
      <c r="B211" s="191">
        <f>'Données projet'!D194</f>
        <v>0</v>
      </c>
      <c r="C211" s="204"/>
      <c r="D211" s="189">
        <f t="shared" si="10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30</v>
      </c>
      <c r="B212" s="191">
        <f>'Données projet'!D195</f>
        <v>56</v>
      </c>
      <c r="C212" s="204">
        <v>10</v>
      </c>
      <c r="D212" s="189">
        <f t="shared" si="10"/>
        <v>560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35</v>
      </c>
      <c r="B213" s="191">
        <f>'Données projet'!D196</f>
        <v>0</v>
      </c>
      <c r="C213" s="204"/>
      <c r="D213" s="189">
        <f t="shared" si="10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40</v>
      </c>
      <c r="B214" s="191">
        <f>'Données projet'!D197</f>
        <v>56</v>
      </c>
      <c r="C214" s="204">
        <v>15</v>
      </c>
      <c r="D214" s="189">
        <f t="shared" si="10"/>
        <v>840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45</v>
      </c>
      <c r="B215" s="191">
        <f>'Données projet'!D198</f>
        <v>0</v>
      </c>
      <c r="C215" s="204"/>
      <c r="D215" s="189">
        <f t="shared" si="10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50</v>
      </c>
      <c r="B216" s="191">
        <f>'Données projet'!D199</f>
        <v>39</v>
      </c>
      <c r="C216" s="204">
        <v>20</v>
      </c>
      <c r="D216" s="189">
        <f t="shared" si="10"/>
        <v>780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55</v>
      </c>
      <c r="B217" s="191">
        <f>'Données projet'!D200</f>
        <v>0</v>
      </c>
      <c r="C217" s="204"/>
      <c r="D217" s="189">
        <f t="shared" si="10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60</v>
      </c>
      <c r="B218" s="191">
        <f>'Données projet'!D201</f>
        <v>25</v>
      </c>
      <c r="C218" s="204">
        <v>40</v>
      </c>
      <c r="D218" s="189">
        <f t="shared" si="10"/>
        <v>1000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65</v>
      </c>
      <c r="B219" s="191">
        <f>'Données projet'!D202</f>
        <v>0</v>
      </c>
      <c r="C219" s="204"/>
      <c r="D219" s="189">
        <f t="shared" si="10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70</v>
      </c>
      <c r="B220" s="191">
        <f>'Données projet'!D203</f>
        <v>21</v>
      </c>
      <c r="C220" s="204">
        <v>60</v>
      </c>
      <c r="D220" s="189">
        <f t="shared" si="10"/>
        <v>1260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75</v>
      </c>
      <c r="B221" s="191">
        <f>'Données projet'!D204</f>
        <v>0</v>
      </c>
      <c r="C221" s="204"/>
      <c r="D221" s="189">
        <f t="shared" si="10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80</v>
      </c>
      <c r="B222" s="191">
        <f>'Données projet'!D205</f>
        <v>285</v>
      </c>
      <c r="C222" s="204">
        <v>80</v>
      </c>
      <c r="D222" s="189">
        <f t="shared" si="10"/>
        <v>22800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0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0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0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0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0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0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>Alisier torminal</v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20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25</v>
      </c>
      <c r="B241" s="191">
        <f>'Données projet'!D219</f>
        <v>0</v>
      </c>
      <c r="C241" s="204"/>
      <c r="D241" s="189">
        <f t="shared" ref="D241:D259" si="11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30</v>
      </c>
      <c r="B242" s="191">
        <f>'Données projet'!D220</f>
        <v>29</v>
      </c>
      <c r="C242" s="204">
        <v>10</v>
      </c>
      <c r="D242" s="189">
        <f t="shared" si="11"/>
        <v>290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35</v>
      </c>
      <c r="B243" s="191">
        <f>'Données projet'!D221</f>
        <v>0</v>
      </c>
      <c r="C243" s="204"/>
      <c r="D243" s="189">
        <f t="shared" si="11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40</v>
      </c>
      <c r="B244" s="191">
        <f>'Données projet'!D222</f>
        <v>42</v>
      </c>
      <c r="C244" s="204">
        <v>10</v>
      </c>
      <c r="D244" s="189">
        <f t="shared" si="11"/>
        <v>420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45</v>
      </c>
      <c r="B245" s="191">
        <f>'Données projet'!D223</f>
        <v>0</v>
      </c>
      <c r="C245" s="204"/>
      <c r="D245" s="189">
        <f t="shared" si="11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50</v>
      </c>
      <c r="B246" s="191">
        <f>'Données projet'!D224</f>
        <v>42</v>
      </c>
      <c r="C246" s="204">
        <v>20</v>
      </c>
      <c r="D246" s="189">
        <f t="shared" si="11"/>
        <v>840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55</v>
      </c>
      <c r="B247" s="191">
        <f>'Données projet'!D225</f>
        <v>0</v>
      </c>
      <c r="C247" s="204"/>
      <c r="D247" s="189">
        <f t="shared" si="11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60</v>
      </c>
      <c r="B248" s="191">
        <f>'Données projet'!D226</f>
        <v>42</v>
      </c>
      <c r="C248" s="204">
        <v>20</v>
      </c>
      <c r="D248" s="189">
        <f t="shared" si="11"/>
        <v>840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65</v>
      </c>
      <c r="B249" s="191">
        <f>'Données projet'!D227</f>
        <v>0</v>
      </c>
      <c r="C249" s="204"/>
      <c r="D249" s="189">
        <f t="shared" si="11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70</v>
      </c>
      <c r="B250" s="191">
        <f>'Données projet'!D228</f>
        <v>42</v>
      </c>
      <c r="C250" s="204">
        <v>30</v>
      </c>
      <c r="D250" s="189">
        <f t="shared" si="11"/>
        <v>1260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75</v>
      </c>
      <c r="B251" s="191">
        <f>'Données projet'!D229</f>
        <v>0</v>
      </c>
      <c r="C251" s="204"/>
      <c r="D251" s="189">
        <f t="shared" si="11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80</v>
      </c>
      <c r="B252" s="191">
        <f>'Données projet'!D230</f>
        <v>42</v>
      </c>
      <c r="C252" s="204">
        <v>40</v>
      </c>
      <c r="D252" s="189">
        <f t="shared" si="11"/>
        <v>1680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90</v>
      </c>
      <c r="B253" s="191">
        <f>'Données projet'!D231</f>
        <v>42</v>
      </c>
      <c r="C253" s="204">
        <v>50</v>
      </c>
      <c r="D253" s="189">
        <f t="shared" si="11"/>
        <v>2100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100</v>
      </c>
      <c r="B254" s="191">
        <f>'Données projet'!D232</f>
        <v>42</v>
      </c>
      <c r="C254" s="204">
        <v>60</v>
      </c>
      <c r="D254" s="189">
        <f t="shared" si="11"/>
        <v>2520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110</v>
      </c>
      <c r="B255" s="191">
        <f>'Données projet'!D233</f>
        <v>39</v>
      </c>
      <c r="C255" s="204">
        <v>70</v>
      </c>
      <c r="D255" s="189">
        <f t="shared" si="11"/>
        <v>2730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120</v>
      </c>
      <c r="B256" s="191">
        <f>'Données projet'!D234</f>
        <v>35</v>
      </c>
      <c r="C256" s="204">
        <v>80</v>
      </c>
      <c r="D256" s="189">
        <f t="shared" si="11"/>
        <v>2800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130</v>
      </c>
      <c r="B257" s="191">
        <f>'Données projet'!D235</f>
        <v>31</v>
      </c>
      <c r="C257" s="204">
        <v>90</v>
      </c>
      <c r="D257" s="189">
        <f t="shared" si="11"/>
        <v>2790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140</v>
      </c>
      <c r="B258" s="191">
        <f>'Données projet'!D236</f>
        <v>27</v>
      </c>
      <c r="C258" s="204">
        <v>100</v>
      </c>
      <c r="D258" s="189">
        <f t="shared" si="11"/>
        <v>2700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150</v>
      </c>
      <c r="B259" s="191">
        <f>'Données projet'!D237</f>
        <v>293</v>
      </c>
      <c r="C259" s="204">
        <v>150</v>
      </c>
      <c r="D259" s="189">
        <f t="shared" si="11"/>
        <v>43950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2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2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2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2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2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2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2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2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2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2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2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2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2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2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2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2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2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2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2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3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3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3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3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3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3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3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3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3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3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3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3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3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3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3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3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3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3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3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2024-07-19T16:54:47Z</dcterms:modified>
</cp:coreProperties>
</file>