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59_Bavinchove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9" i="1" l="1"/>
  <c r="B159" i="1"/>
  <c r="D158" i="1"/>
  <c r="B158" i="1"/>
  <c r="B157" i="1"/>
  <c r="B156" i="1"/>
  <c r="B155" i="1"/>
  <c r="B154" i="1"/>
  <c r="B153" i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I20" i="6" l="1"/>
  <c r="D93" i="1" l="1"/>
  <c r="D91" i="1"/>
  <c r="D89" i="1"/>
  <c r="D67" i="1"/>
  <c r="D65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D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D160" i="2"/>
  <c r="E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72" i="2" l="1" a="1"/>
  <c r="CS72" i="2" s="1"/>
  <c r="CS137" i="2" a="1"/>
  <c r="CS137" i="2" s="1"/>
  <c r="CS129" i="2" a="1"/>
  <c r="CS129" i="2" s="1"/>
  <c r="CS38" i="2" a="1"/>
  <c r="CS38" i="2" s="1"/>
  <c r="CS105" i="2" a="1"/>
  <c r="CS105" i="2" s="1"/>
  <c r="CS52" i="2" a="1"/>
  <c r="CS52" i="2" s="1"/>
  <c r="CS56" i="2" a="1"/>
  <c r="CS56" i="2" s="1"/>
  <c r="CS185" i="2" a="1"/>
  <c r="CS185" i="2" s="1"/>
  <c r="CS161" i="2" a="1"/>
  <c r="CS161" i="2" s="1"/>
  <c r="CS120" i="2" a="1"/>
  <c r="CS120" i="2" s="1"/>
  <c r="CS66" i="2" a="1"/>
  <c r="CS66" i="2" s="1"/>
  <c r="CS24" i="2" a="1"/>
  <c r="CS24" i="2" s="1"/>
  <c r="CS77" i="2" a="1"/>
  <c r="CS77" i="2" s="1"/>
  <c r="CS114" i="2" a="1"/>
  <c r="CS114" i="2" s="1"/>
  <c r="CS134" i="2" a="1"/>
  <c r="CS134" i="2" s="1"/>
  <c r="CS116" i="2" a="1"/>
  <c r="CS116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175" i="2" l="1"/>
  <c r="CY107" i="2"/>
  <c r="CY17" i="2"/>
  <c r="CY94" i="2"/>
  <c r="CY200" i="2"/>
  <c r="CY27" i="2"/>
  <c r="CY160" i="2"/>
  <c r="CY170" i="2"/>
  <c r="CY140" i="2"/>
  <c r="CY187" i="2"/>
  <c r="CY56" i="2"/>
  <c r="CY23" i="2"/>
  <c r="CY15" i="2"/>
  <c r="CY77" i="2"/>
  <c r="CY152" i="2"/>
  <c r="CY58" i="2"/>
  <c r="CY68" i="2"/>
  <c r="CY85" i="2"/>
  <c r="CY72" i="2"/>
  <c r="CY167" i="2"/>
  <c r="CY55" i="2"/>
  <c r="CY53" i="2"/>
  <c r="CY150" i="2"/>
  <c r="CY188" i="2"/>
  <c r="CY71" i="2"/>
  <c r="CY123" i="2"/>
  <c r="CY64" i="2"/>
  <c r="CY138" i="2"/>
  <c r="CY49" i="2"/>
  <c r="CY104" i="2"/>
  <c r="CY131" i="2"/>
  <c r="CY108" i="2"/>
  <c r="CY177" i="2"/>
  <c r="CY133" i="2"/>
  <c r="CY79" i="2"/>
  <c r="CY31" i="2"/>
  <c r="CY158" i="2"/>
  <c r="CY178" i="2"/>
  <c r="CY6" i="2"/>
  <c r="CY129" i="2"/>
  <c r="CY105" i="2"/>
  <c r="CY116" i="2"/>
  <c r="CY47" i="2"/>
  <c r="CY201" i="2"/>
  <c r="CY174" i="2"/>
  <c r="CY78" i="2"/>
  <c r="CY83" i="2"/>
  <c r="CY16" i="2"/>
  <c r="CY145" i="2"/>
  <c r="CY192" i="2"/>
  <c r="CY11" i="2"/>
  <c r="CY60" i="2"/>
  <c r="CY14" i="2"/>
  <c r="CY70" i="2"/>
  <c r="CY45" i="2"/>
  <c r="CY67" i="2"/>
  <c r="CY173" i="2"/>
  <c r="CY37" i="2"/>
  <c r="CY10" i="2"/>
  <c r="CY127" i="2"/>
  <c r="CY120" i="2"/>
  <c r="CY196" i="2"/>
  <c r="CY99" i="2"/>
  <c r="CY5" i="2"/>
  <c r="CY144" i="2"/>
  <c r="CY148" i="2"/>
  <c r="CY101" i="2"/>
  <c r="CY134" i="2"/>
  <c r="CY100" i="2"/>
  <c r="CY54" i="2"/>
  <c r="CY149" i="2"/>
  <c r="CY143" i="2"/>
  <c r="CY142" i="2"/>
  <c r="CY141" i="2"/>
  <c r="CY73" i="2"/>
  <c r="CY132" i="2"/>
  <c r="CY29" i="2"/>
  <c r="CY165" i="2"/>
  <c r="CY82" i="2"/>
  <c r="CY184" i="2"/>
  <c r="CY62" i="2"/>
  <c r="CY190" i="2"/>
  <c r="CY159" i="2"/>
  <c r="CY182" i="2"/>
  <c r="CY9" i="2"/>
  <c r="CY12" i="2"/>
  <c r="CY80" i="2"/>
  <c r="CY176" i="2"/>
  <c r="CY66" i="2"/>
  <c r="CY76" i="2"/>
  <c r="CY106" i="2"/>
  <c r="CY42" i="2"/>
  <c r="CY59" i="2"/>
  <c r="CY8" i="2"/>
  <c r="CY57" i="2"/>
  <c r="CY122" i="2"/>
  <c r="CY18" i="2"/>
  <c r="CY119" i="2"/>
  <c r="CY40" i="2"/>
  <c r="CY198" i="2"/>
  <c r="CY65" i="2"/>
  <c r="CY168" i="2"/>
  <c r="CY183" i="2"/>
  <c r="CY110" i="2"/>
  <c r="CY186" i="2"/>
  <c r="CY130" i="2"/>
  <c r="CY197" i="2"/>
  <c r="CY199" i="2"/>
  <c r="CY28" i="2"/>
  <c r="CY96" i="2"/>
  <c r="CY163" i="2"/>
  <c r="CY193" i="2"/>
  <c r="CY191" i="2"/>
  <c r="CY112" i="2"/>
  <c r="CY139" i="2"/>
  <c r="CY124" i="2"/>
  <c r="CY203" i="2"/>
  <c r="CY179" i="2"/>
  <c r="CY26" i="2"/>
  <c r="CY22" i="2"/>
  <c r="CY103" i="2"/>
  <c r="CY19" i="2"/>
  <c r="CY146" i="2"/>
  <c r="CY39" i="2"/>
  <c r="CY157" i="2"/>
  <c r="CY32" i="2"/>
  <c r="CY7" i="2"/>
  <c r="CY36" i="2"/>
  <c r="CY98" i="2"/>
  <c r="CY125" i="2"/>
  <c r="CY111" i="2"/>
  <c r="CY95" i="2"/>
  <c r="CY44" i="2"/>
  <c r="CY87" i="2"/>
  <c r="CY161" i="2"/>
  <c r="CY89" i="2"/>
  <c r="CY51" i="2"/>
  <c r="CY92" i="2"/>
  <c r="CY25" i="2"/>
  <c r="CY21" i="2"/>
  <c r="CY181" i="2"/>
  <c r="CY50" i="2"/>
  <c r="CY88" i="2"/>
  <c r="CY102" i="2"/>
  <c r="CY69" i="2"/>
  <c r="CY136" i="2"/>
  <c r="CY91" i="2"/>
  <c r="CY169" i="2"/>
  <c r="CY34" i="2"/>
  <c r="CY86" i="2"/>
  <c r="CY109" i="2"/>
  <c r="CY33" i="2"/>
  <c r="CY171" i="2"/>
  <c r="CY4" i="2"/>
  <c r="CY74" i="2"/>
  <c r="CY84" i="2"/>
  <c r="CY153" i="2"/>
  <c r="CY137" i="2"/>
  <c r="CY90" i="2"/>
  <c r="CY117" i="2"/>
  <c r="CY20" i="2"/>
  <c r="CY166" i="2"/>
  <c r="CY147" i="2"/>
  <c r="CY135" i="2"/>
  <c r="CY114" i="2"/>
  <c r="CY195" i="2"/>
  <c r="CY154" i="2"/>
  <c r="CY156" i="2"/>
  <c r="CY63" i="2"/>
  <c r="CY194" i="2"/>
  <c r="CY97" i="2"/>
  <c r="CY128" i="2"/>
  <c r="CY3" i="2"/>
  <c r="C10" i="4" s="1"/>
  <c r="E10" i="4" s="1"/>
  <c r="F10" i="4" s="1"/>
  <c r="G10" i="4" s="1"/>
  <c r="L10" i="4" s="1"/>
  <c r="CY13" i="2"/>
  <c r="CY61" i="2"/>
  <c r="CY43" i="2"/>
  <c r="CY24" i="2"/>
  <c r="CY38" i="2"/>
  <c r="CY113" i="2"/>
  <c r="CY189" i="2"/>
  <c r="CY151" i="2"/>
  <c r="CY81" i="2"/>
  <c r="CY126" i="2"/>
  <c r="CY115" i="2"/>
  <c r="CY121" i="2"/>
  <c r="CY46" i="2"/>
  <c r="CY52" i="2"/>
  <c r="CY185" i="2"/>
  <c r="CY35" i="2"/>
  <c r="CY162" i="2"/>
  <c r="CY48" i="2"/>
  <c r="CY172" i="2"/>
  <c r="CY118" i="2"/>
  <c r="CY164" i="2"/>
  <c r="CY155" i="2"/>
  <c r="CY30" i="2"/>
  <c r="CY93" i="2"/>
  <c r="CY41" i="2"/>
  <c r="CY180" i="2"/>
  <c r="CY202" i="2"/>
  <c r="CY7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36" i="2" l="1"/>
  <c r="CD24" i="2"/>
  <c r="CD60" i="2"/>
  <c r="CD145" i="2"/>
  <c r="CD16" i="2"/>
  <c r="CD37" i="2"/>
  <c r="CD87" i="2"/>
  <c r="CD94" i="2"/>
  <c r="CD119" i="2"/>
  <c r="CD203" i="2"/>
  <c r="CD156" i="2"/>
  <c r="CD115" i="2"/>
  <c r="CD129" i="2"/>
  <c r="CD140" i="2"/>
  <c r="CD39" i="2"/>
  <c r="CD43" i="2"/>
  <c r="CD197" i="2"/>
  <c r="CD160" i="2"/>
  <c r="CD120" i="2"/>
  <c r="CD65" i="2"/>
  <c r="CD107" i="2"/>
  <c r="CD67" i="2"/>
  <c r="CD103" i="2"/>
  <c r="CD188" i="2"/>
  <c r="CD176" i="2"/>
  <c r="CD86" i="2"/>
  <c r="CD177" i="2"/>
  <c r="CD200" i="2"/>
  <c r="CD184" i="2"/>
  <c r="CD147" i="2"/>
  <c r="CD7" i="2"/>
  <c r="CD202" i="2"/>
  <c r="CD186" i="2"/>
  <c r="CD134" i="2"/>
  <c r="CD3" i="2"/>
  <c r="C9" i="4" s="1"/>
  <c r="E9" i="4" s="1"/>
  <c r="F9" i="4" s="1"/>
  <c r="G9" i="4" s="1"/>
  <c r="L9" i="4" s="1"/>
  <c r="CD148" i="2"/>
  <c r="CD191" i="2"/>
  <c r="CD41" i="2"/>
  <c r="CD48" i="2"/>
  <c r="CD81" i="2"/>
  <c r="CD190" i="2"/>
  <c r="CD149" i="2"/>
  <c r="CD118" i="2"/>
  <c r="CD124" i="2"/>
  <c r="CD195" i="2"/>
  <c r="CD25" i="2"/>
  <c r="CD172" i="2"/>
  <c r="CD182" i="2"/>
  <c r="CD50" i="2"/>
  <c r="CD69" i="2"/>
  <c r="CD77" i="2"/>
  <c r="CD8" i="2"/>
  <c r="CD36" i="2"/>
  <c r="CD166" i="2"/>
  <c r="CD6" i="2"/>
  <c r="CD21" i="2"/>
  <c r="CD170" i="2"/>
  <c r="CD169" i="2"/>
  <c r="CD125" i="2"/>
  <c r="CD12" i="2"/>
  <c r="CD4" i="2"/>
  <c r="CD26" i="2"/>
  <c r="CD53" i="2"/>
  <c r="CD51" i="2"/>
  <c r="CD127" i="2"/>
  <c r="CD97" i="2"/>
  <c r="CD90" i="2"/>
  <c r="CD112" i="2"/>
  <c r="CD70" i="2"/>
  <c r="CD153" i="2"/>
  <c r="CD28" i="2"/>
  <c r="CD108" i="2"/>
  <c r="CD13" i="2"/>
  <c r="CD98" i="2"/>
  <c r="CD179" i="2"/>
  <c r="CD10" i="2"/>
  <c r="CD199" i="2"/>
  <c r="CD187" i="2"/>
  <c r="CD101" i="2"/>
  <c r="CD92" i="2"/>
  <c r="CD88" i="2"/>
  <c r="CD158" i="2"/>
  <c r="CD135" i="2"/>
  <c r="CD150" i="2"/>
  <c r="CD54" i="2"/>
  <c r="CD22" i="2"/>
  <c r="CD132" i="2"/>
  <c r="CD131" i="2"/>
  <c r="CD52" i="2"/>
  <c r="CD180" i="2"/>
  <c r="CD56" i="2"/>
  <c r="CD122" i="2"/>
  <c r="CD173" i="2"/>
  <c r="CD157" i="2"/>
  <c r="CD55" i="2"/>
  <c r="CD142" i="2"/>
  <c r="CD143" i="2"/>
  <c r="CD126" i="2"/>
  <c r="CD29" i="2"/>
  <c r="CD66" i="2"/>
  <c r="CD91" i="2"/>
  <c r="CD99" i="2"/>
  <c r="CD104" i="2"/>
  <c r="CD38" i="2"/>
  <c r="CD76" i="2"/>
  <c r="CD114" i="2"/>
  <c r="CD175" i="2"/>
  <c r="CD189" i="2"/>
  <c r="CD9" i="2"/>
  <c r="CD106" i="2"/>
  <c r="CD178" i="2"/>
  <c r="CD168" i="2"/>
  <c r="CD162" i="2"/>
  <c r="CD27" i="2"/>
  <c r="CD49" i="2"/>
  <c r="CD40" i="2"/>
  <c r="CD139" i="2"/>
  <c r="CD62" i="2"/>
  <c r="CD11" i="2"/>
  <c r="CD194" i="2"/>
  <c r="CD141" i="2"/>
  <c r="CD5" i="2"/>
  <c r="CD181" i="2"/>
  <c r="CD79" i="2"/>
  <c r="CD17" i="2"/>
  <c r="CD34" i="2"/>
  <c r="CD44" i="2"/>
  <c r="CD20" i="2"/>
  <c r="CD133" i="2"/>
  <c r="CD161" i="2"/>
  <c r="CD196" i="2"/>
  <c r="CD68" i="2"/>
  <c r="CD159" i="2"/>
  <c r="CD95" i="2"/>
  <c r="CD18" i="2"/>
  <c r="CD123" i="2"/>
  <c r="CD82" i="2"/>
  <c r="CD152" i="2"/>
  <c r="CD163" i="2"/>
  <c r="CD151" i="2"/>
  <c r="CD31" i="2"/>
  <c r="CD192" i="2"/>
  <c r="CD85" i="2"/>
  <c r="CD30" i="2"/>
  <c r="CD45" i="2"/>
  <c r="CD128" i="2"/>
  <c r="CD57" i="2"/>
  <c r="CD201" i="2"/>
  <c r="CD198" i="2"/>
  <c r="CD72" i="2"/>
  <c r="CD109" i="2"/>
  <c r="CD71" i="2"/>
  <c r="CD155" i="2"/>
  <c r="CD14" i="2"/>
  <c r="CD110" i="2"/>
  <c r="CD137" i="2"/>
  <c r="CD84" i="2"/>
  <c r="CD78" i="2"/>
  <c r="CD185" i="2"/>
  <c r="CD193" i="2"/>
  <c r="CD35" i="2"/>
  <c r="CD59" i="2"/>
  <c r="CD102" i="2"/>
  <c r="CD171" i="2"/>
  <c r="CD73" i="2"/>
  <c r="CD58" i="2"/>
  <c r="CD75" i="2"/>
  <c r="CD105" i="2"/>
  <c r="CD117" i="2"/>
  <c r="CD47" i="2"/>
  <c r="CD19" i="2"/>
  <c r="CD165" i="2"/>
  <c r="CD96" i="2"/>
  <c r="CD63" i="2"/>
  <c r="CD89" i="2"/>
  <c r="CD146" i="2"/>
  <c r="CD93" i="2"/>
  <c r="CD83" i="2"/>
  <c r="CD154" i="2"/>
  <c r="CD33" i="2"/>
  <c r="CD32" i="2"/>
  <c r="CD61" i="2"/>
  <c r="CD100" i="2"/>
  <c r="CD64" i="2"/>
  <c r="CD116" i="2"/>
  <c r="CD183" i="2"/>
  <c r="CD164" i="2"/>
  <c r="CD15" i="2"/>
  <c r="CD174" i="2"/>
  <c r="CD74" i="2"/>
  <c r="CD167" i="2"/>
  <c r="CD111" i="2"/>
  <c r="CD23" i="2"/>
  <c r="CD130" i="2"/>
  <c r="CD121" i="2"/>
  <c r="CD138" i="2"/>
  <c r="CD42" i="2"/>
  <c r="CD144" i="2"/>
  <c r="CD46" i="2"/>
  <c r="CD113" i="2"/>
  <c r="CD8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<sst xmlns="http://schemas.openxmlformats.org/spreadsheetml/2006/main" count="1168" uniqueCount="324">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</sst>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6052128"/>
        <c:axId val="-656047776"/>
      </c:scatterChart>
      <c:valAx>
        <c:axId val="-656052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6047776"/>
        <c:crosses val="autoZero"/>
        <c:crossBetween val="midCat"/>
      </c:valAx>
      <c:valAx>
        <c:axId val="-65604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6052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40128"/>
        <c:axId val="-825692432"/>
      </c:scatterChart>
      <c:valAx>
        <c:axId val="-553840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5692432"/>
        <c:crosses val="autoZero"/>
        <c:crossBetween val="midCat"/>
      </c:valAx>
      <c:valAx>
        <c:axId val="-82569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82.357003551703173</c:v>
                </c:pt>
                <c:pt idx="17">
                  <c:v>97.435579235164482</c:v>
                </c:pt>
                <c:pt idx="18">
                  <c:v>112.45603690749546</c:v>
                </c:pt>
                <c:pt idx="19">
                  <c:v>127.42725117721011</c:v>
                </c:pt>
                <c:pt idx="20">
                  <c:v>142.35583160682572</c:v>
                </c:pt>
                <c:pt idx="21">
                  <c:v>94.63497747993533</c:v>
                </c:pt>
                <c:pt idx="22">
                  <c:v>121.86186167582692</c:v>
                </c:pt>
                <c:pt idx="23">
                  <c:v>148.93996563525323</c:v>
                </c:pt>
                <c:pt idx="24">
                  <c:v>175.90027726143936</c:v>
                </c:pt>
                <c:pt idx="25">
                  <c:v>202.76343275622807</c:v>
                </c:pt>
                <c:pt idx="26">
                  <c:v>213.75966826195815</c:v>
                </c:pt>
                <c:pt idx="27">
                  <c:v>224.74287942627927</c:v>
                </c:pt>
                <c:pt idx="28">
                  <c:v>235.71379290964839</c:v>
                </c:pt>
                <c:pt idx="29">
                  <c:v>246.67306214732389</c:v>
                </c:pt>
                <c:pt idx="30">
                  <c:v>257.62127772428227</c:v>
                </c:pt>
                <c:pt idx="31">
                  <c:v>189.34297444965307</c:v>
                </c:pt>
                <c:pt idx="32">
                  <c:v>217.19328512238812</c:v>
                </c:pt>
                <c:pt idx="33">
                  <c:v>244.96141929271744</c:v>
                </c:pt>
                <c:pt idx="34">
                  <c:v>272.6580023613389</c:v>
                </c:pt>
                <c:pt idx="35">
                  <c:v>300.2913216340458</c:v>
                </c:pt>
                <c:pt idx="36">
                  <c:v>307.10541864100418</c:v>
                </c:pt>
                <c:pt idx="37">
                  <c:v>313.91615631143895</c:v>
                </c:pt>
                <c:pt idx="38">
                  <c:v>320.7236178929042</c:v>
                </c:pt>
                <c:pt idx="39">
                  <c:v>327.52788280677856</c:v>
                </c:pt>
                <c:pt idx="40">
                  <c:v>334.32902690172892</c:v>
                </c:pt>
                <c:pt idx="41">
                  <c:v>262.40778495948558</c:v>
                </c:pt>
                <c:pt idx="42">
                  <c:v>285.97038929413475</c:v>
                </c:pt>
                <c:pt idx="43">
                  <c:v>309.48955460516714</c:v>
                </c:pt>
                <c:pt idx="44">
                  <c:v>332.96904422153949</c:v>
                </c:pt>
                <c:pt idx="45">
                  <c:v>356.41204743833867</c:v>
                </c:pt>
                <c:pt idx="46">
                  <c:v>360.82499034748622</c:v>
                </c:pt>
                <c:pt idx="47">
                  <c:v>365.2367529708078</c:v>
                </c:pt>
                <c:pt idx="48">
                  <c:v>369.64735159591169</c:v>
                </c:pt>
                <c:pt idx="49">
                  <c:v>374.05680208950554</c:v>
                </c:pt>
                <c:pt idx="50">
                  <c:v>378.46511991321876</c:v>
                </c:pt>
                <c:pt idx="51">
                  <c:v>330.58877943904662</c:v>
                </c:pt>
                <c:pt idx="52">
                  <c:v>348.94125427596026</c:v>
                </c:pt>
                <c:pt idx="53">
                  <c:v>367.2725575433945</c:v>
                </c:pt>
                <c:pt idx="54">
                  <c:v>385.58389424489491</c:v>
                </c:pt>
                <c:pt idx="55">
                  <c:v>403.87634562786894</c:v>
                </c:pt>
                <c:pt idx="56">
                  <c:v>407.93887014257706</c:v>
                </c:pt>
                <c:pt idx="57">
                  <c:v>412.00052062729009</c:v>
                </c:pt>
                <c:pt idx="58">
                  <c:v>416.06130692450489</c:v>
                </c:pt>
                <c:pt idx="59">
                  <c:v>420.12123866869621</c:v>
                </c:pt>
                <c:pt idx="60">
                  <c:v>424.18032529272637</c:v>
                </c:pt>
                <c:pt idx="61">
                  <c:v>393.71614391217787</c:v>
                </c:pt>
                <c:pt idx="62">
                  <c:v>405.56917103469499</c:v>
                </c:pt>
                <c:pt idx="63">
                  <c:v>417.41471198632934</c:v>
                </c:pt>
                <c:pt idx="64">
                  <c:v>429.25300917701105</c:v>
                </c:pt>
                <c:pt idx="65">
                  <c:v>441.08429055375791</c:v>
                </c:pt>
                <c:pt idx="66">
                  <c:v>443.7876210096145</c:v>
                </c:pt>
                <c:pt idx="67">
                  <c:v>446.49059866524152</c:v>
                </c:pt>
                <c:pt idx="68">
                  <c:v>449.19322596047977</c:v>
                </c:pt>
                <c:pt idx="69">
                  <c:v>451.89550530337857</c:v>
                </c:pt>
                <c:pt idx="70">
                  <c:v>454.59743907080457</c:v>
                </c:pt>
                <c:pt idx="71">
                  <c:v>428.57672614990469</c:v>
                </c:pt>
                <c:pt idx="72">
                  <c:v>438.04261900487001</c:v>
                </c:pt>
                <c:pt idx="73">
                  <c:v>447.50412482878806</c:v>
                </c:pt>
                <c:pt idx="74">
                  <c:v>456.96134948264512</c:v>
                </c:pt>
                <c:pt idx="75">
                  <c:v>466.41439408694424</c:v>
                </c:pt>
                <c:pt idx="76">
                  <c:v>456.28597323169151</c:v>
                </c:pt>
                <c:pt idx="77">
                  <c:v>461.35077692036316</c:v>
                </c:pt>
                <c:pt idx="78">
                  <c:v>466.41439408694424</c:v>
                </c:pt>
                <c:pt idx="79">
                  <c:v>471.47683944067677</c:v>
                </c:pt>
                <c:pt idx="80">
                  <c:v>476.5381273489059</c:v>
                </c:pt>
                <c:pt idx="81">
                  <c:v>4.7326673552561798E-12</c:v>
                </c:pt>
                <c:pt idx="82">
                  <c:v>4.7326673552561798E-12</c:v>
                </c:pt>
                <c:pt idx="83">
                  <c:v>4.7326673552561798E-12</c:v>
                </c:pt>
                <c:pt idx="84">
                  <c:v>4.7326673552561798E-12</c:v>
                </c:pt>
                <c:pt idx="85">
                  <c:v>4.7326673552561798E-12</c:v>
                </c:pt>
                <c:pt idx="86">
                  <c:v>4.7326673552561798E-12</c:v>
                </c:pt>
                <c:pt idx="87">
                  <c:v>4.7326673552561798E-12</c:v>
                </c:pt>
                <c:pt idx="88">
                  <c:v>4.7326673552561798E-12</c:v>
                </c:pt>
                <c:pt idx="89">
                  <c:v>4.7326673552561798E-12</c:v>
                </c:pt>
                <c:pt idx="90">
                  <c:v>4.7326673552561798E-12</c:v>
                </c:pt>
                <c:pt idx="91">
                  <c:v>4.7326673552561798E-12</c:v>
                </c:pt>
                <c:pt idx="92">
                  <c:v>4.7326673552561798E-12</c:v>
                </c:pt>
                <c:pt idx="93">
                  <c:v>4.7326673552561798E-12</c:v>
                </c:pt>
                <c:pt idx="94">
                  <c:v>4.7326673552561798E-12</c:v>
                </c:pt>
                <c:pt idx="95">
                  <c:v>4.7326673552561798E-12</c:v>
                </c:pt>
                <c:pt idx="96">
                  <c:v>4.7326673552561798E-12</c:v>
                </c:pt>
                <c:pt idx="97">
                  <c:v>4.7326673552561798E-12</c:v>
                </c:pt>
                <c:pt idx="98">
                  <c:v>4.7326673552561798E-12</c:v>
                </c:pt>
                <c:pt idx="99">
                  <c:v>4.7326673552561798E-12</c:v>
                </c:pt>
                <c:pt idx="100">
                  <c:v>4.7326673552561798E-12</c:v>
                </c:pt>
                <c:pt idx="101">
                  <c:v>4.7326673552561798E-12</c:v>
                </c:pt>
                <c:pt idx="102">
                  <c:v>4.7326673552561798E-12</c:v>
                </c:pt>
                <c:pt idx="103">
                  <c:v>4.7326673552561798E-12</c:v>
                </c:pt>
                <c:pt idx="104">
                  <c:v>4.7326673552561798E-12</c:v>
                </c:pt>
                <c:pt idx="105">
                  <c:v>4.7326673552561798E-12</c:v>
                </c:pt>
                <c:pt idx="106">
                  <c:v>4.7326673552561798E-12</c:v>
                </c:pt>
                <c:pt idx="107">
                  <c:v>4.7326673552561798E-12</c:v>
                </c:pt>
                <c:pt idx="108">
                  <c:v>4.7326673552561798E-12</c:v>
                </c:pt>
                <c:pt idx="109">
                  <c:v>4.7326673552561798E-12</c:v>
                </c:pt>
                <c:pt idx="110">
                  <c:v>4.7326673552561798E-12</c:v>
                </c:pt>
                <c:pt idx="111">
                  <c:v>4.7326673552561798E-12</c:v>
                </c:pt>
                <c:pt idx="112">
                  <c:v>4.7326673552561798E-12</c:v>
                </c:pt>
                <c:pt idx="113">
                  <c:v>4.7326673552561798E-12</c:v>
                </c:pt>
                <c:pt idx="114">
                  <c:v>4.7326673552561798E-12</c:v>
                </c:pt>
                <c:pt idx="115">
                  <c:v>4.7326673552561798E-12</c:v>
                </c:pt>
                <c:pt idx="116">
                  <c:v>4.7326673552561798E-12</c:v>
                </c:pt>
                <c:pt idx="117">
                  <c:v>4.7326673552561798E-12</c:v>
                </c:pt>
                <c:pt idx="118">
                  <c:v>4.7326673552561798E-12</c:v>
                </c:pt>
                <c:pt idx="119">
                  <c:v>4.7326673552561798E-12</c:v>
                </c:pt>
                <c:pt idx="120">
                  <c:v>4.7326673552561798E-12</c:v>
                </c:pt>
                <c:pt idx="121">
                  <c:v>4.7326673552561798E-12</c:v>
                </c:pt>
                <c:pt idx="122">
                  <c:v>4.7326673552561798E-12</c:v>
                </c:pt>
                <c:pt idx="123">
                  <c:v>4.7326673552561798E-12</c:v>
                </c:pt>
                <c:pt idx="124">
                  <c:v>4.7326673552561798E-12</c:v>
                </c:pt>
                <c:pt idx="125">
                  <c:v>4.7326673552561798E-12</c:v>
                </c:pt>
                <c:pt idx="126">
                  <c:v>4.7326673552561798E-12</c:v>
                </c:pt>
                <c:pt idx="127">
                  <c:v>4.7326673552561798E-12</c:v>
                </c:pt>
                <c:pt idx="128">
                  <c:v>4.7326673552561798E-12</c:v>
                </c:pt>
                <c:pt idx="129">
                  <c:v>4.7326673552561798E-12</c:v>
                </c:pt>
                <c:pt idx="130">
                  <c:v>4.7326673552561798E-12</c:v>
                </c:pt>
                <c:pt idx="131">
                  <c:v>4.7326673552561798E-12</c:v>
                </c:pt>
                <c:pt idx="132">
                  <c:v>4.7326673552561798E-12</c:v>
                </c:pt>
                <c:pt idx="133">
                  <c:v>4.7326673552561798E-12</c:v>
                </c:pt>
                <c:pt idx="134">
                  <c:v>4.7326673552561798E-12</c:v>
                </c:pt>
                <c:pt idx="135">
                  <c:v>4.7326673552561798E-12</c:v>
                </c:pt>
                <c:pt idx="136">
                  <c:v>4.7326673552561798E-12</c:v>
                </c:pt>
                <c:pt idx="137">
                  <c:v>4.7326673552561798E-12</c:v>
                </c:pt>
                <c:pt idx="138">
                  <c:v>4.7326673552561798E-12</c:v>
                </c:pt>
                <c:pt idx="139">
                  <c:v>4.7326673552561798E-12</c:v>
                </c:pt>
                <c:pt idx="140">
                  <c:v>4.7326673552561798E-12</c:v>
                </c:pt>
                <c:pt idx="141">
                  <c:v>4.7326673552561798E-12</c:v>
                </c:pt>
                <c:pt idx="142">
                  <c:v>4.7326673552561798E-12</c:v>
                </c:pt>
                <c:pt idx="143">
                  <c:v>4.7326673552561798E-12</c:v>
                </c:pt>
                <c:pt idx="144">
                  <c:v>4.7326673552561798E-12</c:v>
                </c:pt>
                <c:pt idx="145">
                  <c:v>4.7326673552561798E-12</c:v>
                </c:pt>
                <c:pt idx="146">
                  <c:v>4.7326673552561798E-12</c:v>
                </c:pt>
                <c:pt idx="147">
                  <c:v>4.7326673552561798E-12</c:v>
                </c:pt>
                <c:pt idx="148">
                  <c:v>4.7326673552561798E-12</c:v>
                </c:pt>
                <c:pt idx="149">
                  <c:v>4.7326673552561798E-12</c:v>
                </c:pt>
                <c:pt idx="150">
                  <c:v>4.7326673552561798E-12</c:v>
                </c:pt>
                <c:pt idx="151">
                  <c:v>4.7326673552561798E-12</c:v>
                </c:pt>
                <c:pt idx="152">
                  <c:v>4.7326673552561798E-12</c:v>
                </c:pt>
                <c:pt idx="153">
                  <c:v>4.7326673552561798E-12</c:v>
                </c:pt>
                <c:pt idx="154">
                  <c:v>4.7326673552561798E-12</c:v>
                </c:pt>
                <c:pt idx="155">
                  <c:v>4.7326673552561798E-12</c:v>
                </c:pt>
                <c:pt idx="156">
                  <c:v>4.7326673552561798E-12</c:v>
                </c:pt>
                <c:pt idx="157">
                  <c:v>4.7326673552561798E-12</c:v>
                </c:pt>
                <c:pt idx="158">
                  <c:v>4.7326673552561798E-12</c:v>
                </c:pt>
                <c:pt idx="159">
                  <c:v>4.7326673552561798E-12</c:v>
                </c:pt>
                <c:pt idx="160">
                  <c:v>4.7326673552561798E-12</c:v>
                </c:pt>
                <c:pt idx="161">
                  <c:v>4.7326673552561798E-12</c:v>
                </c:pt>
                <c:pt idx="162">
                  <c:v>4.7326673552561798E-12</c:v>
                </c:pt>
                <c:pt idx="163">
                  <c:v>4.7326673552561798E-12</c:v>
                </c:pt>
                <c:pt idx="164">
                  <c:v>4.7326673552561798E-12</c:v>
                </c:pt>
                <c:pt idx="165">
                  <c:v>4.7326673552561798E-12</c:v>
                </c:pt>
                <c:pt idx="166">
                  <c:v>4.7326673552561798E-12</c:v>
                </c:pt>
                <c:pt idx="167">
                  <c:v>4.7326673552561798E-12</c:v>
                </c:pt>
                <c:pt idx="168">
                  <c:v>4.7326673552561798E-12</c:v>
                </c:pt>
                <c:pt idx="169">
                  <c:v>4.7326673552561798E-12</c:v>
                </c:pt>
                <c:pt idx="170">
                  <c:v>4.7326673552561798E-12</c:v>
                </c:pt>
                <c:pt idx="171">
                  <c:v>4.7326673552561798E-12</c:v>
                </c:pt>
                <c:pt idx="172">
                  <c:v>4.7326673552561798E-12</c:v>
                </c:pt>
                <c:pt idx="173">
                  <c:v>4.7326673552561798E-12</c:v>
                </c:pt>
                <c:pt idx="174">
                  <c:v>4.7326673552561798E-12</c:v>
                </c:pt>
                <c:pt idx="175">
                  <c:v>4.7326673552561798E-12</c:v>
                </c:pt>
                <c:pt idx="176">
                  <c:v>4.7326673552561798E-12</c:v>
                </c:pt>
                <c:pt idx="177">
                  <c:v>4.7326673552561798E-12</c:v>
                </c:pt>
                <c:pt idx="178">
                  <c:v>4.7326673552561798E-12</c:v>
                </c:pt>
                <c:pt idx="179">
                  <c:v>4.7326673552561798E-12</c:v>
                </c:pt>
                <c:pt idx="180">
                  <c:v>4.7326673552561798E-12</c:v>
                </c:pt>
                <c:pt idx="181">
                  <c:v>4.7326673552561798E-12</c:v>
                </c:pt>
                <c:pt idx="182">
                  <c:v>4.7326673552561798E-12</c:v>
                </c:pt>
                <c:pt idx="183">
                  <c:v>4.7326673552561798E-12</c:v>
                </c:pt>
                <c:pt idx="184">
                  <c:v>4.7326673552561798E-12</c:v>
                </c:pt>
                <c:pt idx="185">
                  <c:v>4.7326673552561798E-12</c:v>
                </c:pt>
                <c:pt idx="186">
                  <c:v>4.7326673552561798E-12</c:v>
                </c:pt>
                <c:pt idx="187">
                  <c:v>4.7326673552561798E-12</c:v>
                </c:pt>
                <c:pt idx="188">
                  <c:v>4.7326673552561798E-12</c:v>
                </c:pt>
                <c:pt idx="189">
                  <c:v>4.7326673552561798E-12</c:v>
                </c:pt>
                <c:pt idx="190">
                  <c:v>4.7326673552561798E-12</c:v>
                </c:pt>
                <c:pt idx="191">
                  <c:v>4.7326673552561798E-12</c:v>
                </c:pt>
                <c:pt idx="192">
                  <c:v>4.7326673552561798E-12</c:v>
                </c:pt>
                <c:pt idx="193">
                  <c:v>4.7326673552561798E-12</c:v>
                </c:pt>
                <c:pt idx="194">
                  <c:v>4.7326673552561798E-12</c:v>
                </c:pt>
                <c:pt idx="195">
                  <c:v>4.7326673552561798E-12</c:v>
                </c:pt>
                <c:pt idx="196">
                  <c:v>4.7326673552561798E-12</c:v>
                </c:pt>
                <c:pt idx="197">
                  <c:v>4.7326673552561798E-12</c:v>
                </c:pt>
                <c:pt idx="198">
                  <c:v>4.7326673552561798E-12</c:v>
                </c:pt>
                <c:pt idx="199">
                  <c:v>4.7326673552561798E-12</c:v>
                </c:pt>
                <c:pt idx="200">
                  <c:v>4.7326673552561798E-12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6046144"/>
        <c:axId val="-553842304"/>
      </c:scatterChart>
      <c:valAx>
        <c:axId val="-656046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2304"/>
        <c:crosses val="autoZero"/>
        <c:crossBetween val="midCat"/>
      </c:valAx>
      <c:valAx>
        <c:axId val="-55384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6046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76.066396503410189</c:v>
                </c:pt>
                <c:pt idx="17">
                  <c:v>89.990173613778268</c:v>
                </c:pt>
                <c:pt idx="18">
                  <c:v>103.85987935040144</c:v>
                </c:pt>
                <c:pt idx="19">
                  <c:v>117.68377040108562</c:v>
                </c:pt>
                <c:pt idx="20">
                  <c:v>131.46799611812642</c:v>
                </c:pt>
                <c:pt idx="21">
                  <c:v>87.404089833269822</c:v>
                </c:pt>
                <c:pt idx="22">
                  <c:v>112.54492319347281</c:v>
                </c:pt>
                <c:pt idx="23">
                  <c:v>137.54733557857185</c:v>
                </c:pt>
                <c:pt idx="24">
                  <c:v>162.44015726792901</c:v>
                </c:pt>
                <c:pt idx="25">
                  <c:v>187.24258760716546</c:v>
                </c:pt>
                <c:pt idx="26">
                  <c:v>197.39510651187894</c:v>
                </c:pt>
                <c:pt idx="27">
                  <c:v>207.53550793324425</c:v>
                </c:pt>
                <c:pt idx="28">
                  <c:v>217.66446793584763</c:v>
                </c:pt>
                <c:pt idx="29">
                  <c:v>227.7825944575965</c:v>
                </c:pt>
                <c:pt idx="30">
                  <c:v>237.89043696225227</c:v>
                </c:pt>
                <c:pt idx="31">
                  <c:v>174.85171765460962</c:v>
                </c:pt>
                <c:pt idx="32">
                  <c:v>200.56525039888083</c:v>
                </c:pt>
                <c:pt idx="33">
                  <c:v>226.20232842131611</c:v>
                </c:pt>
                <c:pt idx="34">
                  <c:v>251.77283729785225</c:v>
                </c:pt>
                <c:pt idx="35">
                  <c:v>277.28448730625303</c:v>
                </c:pt>
                <c:pt idx="36">
                  <c:v>283.57533816627671</c:v>
                </c:pt>
                <c:pt idx="37">
                  <c:v>289.86306359345832</c:v>
                </c:pt>
                <c:pt idx="38">
                  <c:v>296.14774103899612</c:v>
                </c:pt>
                <c:pt idx="39">
                  <c:v>302.4294443943221</c:v>
                </c:pt>
                <c:pt idx="40">
                  <c:v>308.70824422691641</c:v>
                </c:pt>
                <c:pt idx="41">
                  <c:v>242.30951333230917</c:v>
                </c:pt>
                <c:pt idx="42">
                  <c:v>264.06316066374637</c:v>
                </c:pt>
                <c:pt idx="43">
                  <c:v>285.77639354129207</c:v>
                </c:pt>
                <c:pt idx="44">
                  <c:v>307.45271326106052</c:v>
                </c:pt>
                <c:pt idx="45">
                  <c:v>329.09508705409206</c:v>
                </c:pt>
                <c:pt idx="46">
                  <c:v>333.16904934303915</c:v>
                </c:pt>
                <c:pt idx="47">
                  <c:v>337.24191352703087</c:v>
                </c:pt>
                <c:pt idx="48">
                  <c:v>341.31369475960292</c:v>
                </c:pt>
                <c:pt idx="49">
                  <c:v>345.38440780269661</c:v>
                </c:pt>
                <c:pt idx="50">
                  <c:v>349.45406704138003</c:v>
                </c:pt>
                <c:pt idx="51">
                  <c:v>305.25525952531069</c:v>
                </c:pt>
                <c:pt idx="52">
                  <c:v>322.19814390009697</c:v>
                </c:pt>
                <c:pt idx="53">
                  <c:v>339.12133083817082</c:v>
                </c:pt>
                <c:pt idx="54">
                  <c:v>356.02594144116352</c:v>
                </c:pt>
                <c:pt idx="55">
                  <c:v>372.91298167145311</c:v>
                </c:pt>
                <c:pt idx="56">
                  <c:v>376.66336420737179</c:v>
                </c:pt>
                <c:pt idx="57">
                  <c:v>380.41293357020317</c:v>
                </c:pt>
                <c:pt idx="58">
                  <c:v>384.16169891713162</c:v>
                </c:pt>
                <c:pt idx="59">
                  <c:v>387.90966921180319</c:v>
                </c:pt>
                <c:pt idx="60">
                  <c:v>391.65685323028919</c:v>
                </c:pt>
                <c:pt idx="61">
                  <c:v>363.53340578528702</c:v>
                </c:pt>
                <c:pt idx="62">
                  <c:v>374.47574048007596</c:v>
                </c:pt>
                <c:pt idx="63">
                  <c:v>385.41111025063856</c:v>
                </c:pt>
                <c:pt idx="64">
                  <c:v>396.33974062840053</c:v>
                </c:pt>
                <c:pt idx="65">
                  <c:v>407.26184368889881</c:v>
                </c:pt>
                <c:pt idx="66">
                  <c:v>409.75742897022025</c:v>
                </c:pt>
                <c:pt idx="67">
                  <c:v>412.25268601606558</c:v>
                </c:pt>
                <c:pt idx="68">
                  <c:v>414.74761709639392</c:v>
                </c:pt>
                <c:pt idx="69">
                  <c:v>417.24222445158756</c:v>
                </c:pt>
                <c:pt idx="70">
                  <c:v>419.73651029301664</c:v>
                </c:pt>
                <c:pt idx="71">
                  <c:v>395.71542525626728</c:v>
                </c:pt>
                <c:pt idx="72">
                  <c:v>404.45391503834031</c:v>
                </c:pt>
                <c:pt idx="73">
                  <c:v>413.18832324930037</c:v>
                </c:pt>
                <c:pt idx="74">
                  <c:v>421.91874837925076</c:v>
                </c:pt>
                <c:pt idx="75">
                  <c:v>430.64528450788265</c:v>
                </c:pt>
                <c:pt idx="76">
                  <c:v>421.29527664631456</c:v>
                </c:pt>
                <c:pt idx="77">
                  <c:v>425.97083253059947</c:v>
                </c:pt>
                <c:pt idx="78">
                  <c:v>430.64528450788265</c:v>
                </c:pt>
                <c:pt idx="79">
                  <c:v>435.31864626323181</c:v>
                </c:pt>
                <c:pt idx="80">
                  <c:v>439.99093116362383</c:v>
                </c:pt>
                <c:pt idx="81">
                  <c:v>4.400367824666284E-12</c:v>
                </c:pt>
                <c:pt idx="82">
                  <c:v>4.400367824666284E-12</c:v>
                </c:pt>
                <c:pt idx="83">
                  <c:v>4.400367824666284E-12</c:v>
                </c:pt>
                <c:pt idx="84">
                  <c:v>4.400367824666284E-12</c:v>
                </c:pt>
                <c:pt idx="85">
                  <c:v>4.400367824666284E-12</c:v>
                </c:pt>
                <c:pt idx="86">
                  <c:v>4.400367824666284E-12</c:v>
                </c:pt>
                <c:pt idx="87">
                  <c:v>4.400367824666284E-12</c:v>
                </c:pt>
                <c:pt idx="88">
                  <c:v>4.400367824666284E-12</c:v>
                </c:pt>
                <c:pt idx="89">
                  <c:v>4.400367824666284E-12</c:v>
                </c:pt>
                <c:pt idx="90">
                  <c:v>4.400367824666284E-12</c:v>
                </c:pt>
                <c:pt idx="91">
                  <c:v>4.400367824666284E-12</c:v>
                </c:pt>
                <c:pt idx="92">
                  <c:v>4.400367824666284E-12</c:v>
                </c:pt>
                <c:pt idx="93">
                  <c:v>4.400367824666284E-12</c:v>
                </c:pt>
                <c:pt idx="94">
                  <c:v>4.400367824666284E-12</c:v>
                </c:pt>
                <c:pt idx="95">
                  <c:v>4.400367824666284E-12</c:v>
                </c:pt>
                <c:pt idx="96">
                  <c:v>4.400367824666284E-12</c:v>
                </c:pt>
                <c:pt idx="97">
                  <c:v>4.400367824666284E-12</c:v>
                </c:pt>
                <c:pt idx="98">
                  <c:v>4.400367824666284E-12</c:v>
                </c:pt>
                <c:pt idx="99">
                  <c:v>4.400367824666284E-12</c:v>
                </c:pt>
                <c:pt idx="100">
                  <c:v>4.400367824666284E-12</c:v>
                </c:pt>
                <c:pt idx="101">
                  <c:v>4.400367824666284E-12</c:v>
                </c:pt>
                <c:pt idx="102">
                  <c:v>4.400367824666284E-12</c:v>
                </c:pt>
                <c:pt idx="103">
                  <c:v>4.400367824666284E-12</c:v>
                </c:pt>
                <c:pt idx="104">
                  <c:v>4.400367824666284E-12</c:v>
                </c:pt>
                <c:pt idx="105">
                  <c:v>4.400367824666284E-12</c:v>
                </c:pt>
                <c:pt idx="106">
                  <c:v>4.400367824666284E-12</c:v>
                </c:pt>
                <c:pt idx="107">
                  <c:v>4.400367824666284E-12</c:v>
                </c:pt>
                <c:pt idx="108">
                  <c:v>4.400367824666284E-12</c:v>
                </c:pt>
                <c:pt idx="109">
                  <c:v>4.400367824666284E-12</c:v>
                </c:pt>
                <c:pt idx="110">
                  <c:v>4.400367824666284E-12</c:v>
                </c:pt>
                <c:pt idx="111">
                  <c:v>4.400367824666284E-12</c:v>
                </c:pt>
                <c:pt idx="112">
                  <c:v>4.400367824666284E-12</c:v>
                </c:pt>
                <c:pt idx="113">
                  <c:v>4.400367824666284E-12</c:v>
                </c:pt>
                <c:pt idx="114">
                  <c:v>4.400367824666284E-12</c:v>
                </c:pt>
                <c:pt idx="115">
                  <c:v>4.400367824666284E-12</c:v>
                </c:pt>
                <c:pt idx="116">
                  <c:v>4.400367824666284E-12</c:v>
                </c:pt>
                <c:pt idx="117">
                  <c:v>4.400367824666284E-12</c:v>
                </c:pt>
                <c:pt idx="118">
                  <c:v>4.400367824666284E-12</c:v>
                </c:pt>
                <c:pt idx="119">
                  <c:v>4.400367824666284E-12</c:v>
                </c:pt>
                <c:pt idx="120">
                  <c:v>4.400367824666284E-12</c:v>
                </c:pt>
                <c:pt idx="121">
                  <c:v>4.400367824666284E-12</c:v>
                </c:pt>
                <c:pt idx="122">
                  <c:v>4.400367824666284E-12</c:v>
                </c:pt>
                <c:pt idx="123">
                  <c:v>4.400367824666284E-12</c:v>
                </c:pt>
                <c:pt idx="124">
                  <c:v>4.400367824666284E-12</c:v>
                </c:pt>
                <c:pt idx="125">
                  <c:v>4.400367824666284E-12</c:v>
                </c:pt>
                <c:pt idx="126">
                  <c:v>4.400367824666284E-12</c:v>
                </c:pt>
                <c:pt idx="127">
                  <c:v>4.400367824666284E-12</c:v>
                </c:pt>
                <c:pt idx="128">
                  <c:v>4.400367824666284E-12</c:v>
                </c:pt>
                <c:pt idx="129">
                  <c:v>4.400367824666284E-12</c:v>
                </c:pt>
                <c:pt idx="130">
                  <c:v>4.400367824666284E-12</c:v>
                </c:pt>
                <c:pt idx="131">
                  <c:v>4.400367824666284E-12</c:v>
                </c:pt>
                <c:pt idx="132">
                  <c:v>4.400367824666284E-12</c:v>
                </c:pt>
                <c:pt idx="133">
                  <c:v>4.400367824666284E-12</c:v>
                </c:pt>
                <c:pt idx="134">
                  <c:v>4.400367824666284E-12</c:v>
                </c:pt>
                <c:pt idx="135">
                  <c:v>4.400367824666284E-12</c:v>
                </c:pt>
                <c:pt idx="136">
                  <c:v>4.400367824666284E-12</c:v>
                </c:pt>
                <c:pt idx="137">
                  <c:v>4.400367824666284E-12</c:v>
                </c:pt>
                <c:pt idx="138">
                  <c:v>4.400367824666284E-12</c:v>
                </c:pt>
                <c:pt idx="139">
                  <c:v>4.400367824666284E-12</c:v>
                </c:pt>
                <c:pt idx="140">
                  <c:v>4.400367824666284E-12</c:v>
                </c:pt>
                <c:pt idx="141">
                  <c:v>4.400367824666284E-12</c:v>
                </c:pt>
                <c:pt idx="142">
                  <c:v>4.400367824666284E-12</c:v>
                </c:pt>
                <c:pt idx="143">
                  <c:v>4.400367824666284E-12</c:v>
                </c:pt>
                <c:pt idx="144">
                  <c:v>4.400367824666284E-12</c:v>
                </c:pt>
                <c:pt idx="145">
                  <c:v>4.400367824666284E-12</c:v>
                </c:pt>
                <c:pt idx="146">
                  <c:v>4.400367824666284E-12</c:v>
                </c:pt>
                <c:pt idx="147">
                  <c:v>4.400367824666284E-12</c:v>
                </c:pt>
                <c:pt idx="148">
                  <c:v>4.400367824666284E-12</c:v>
                </c:pt>
                <c:pt idx="149">
                  <c:v>4.400367824666284E-12</c:v>
                </c:pt>
                <c:pt idx="150">
                  <c:v>4.400367824666284E-12</c:v>
                </c:pt>
                <c:pt idx="151">
                  <c:v>4.400367824666284E-12</c:v>
                </c:pt>
                <c:pt idx="152">
                  <c:v>4.400367824666284E-12</c:v>
                </c:pt>
                <c:pt idx="153">
                  <c:v>4.400367824666284E-12</c:v>
                </c:pt>
                <c:pt idx="154">
                  <c:v>4.400367824666284E-12</c:v>
                </c:pt>
                <c:pt idx="155">
                  <c:v>4.400367824666284E-12</c:v>
                </c:pt>
                <c:pt idx="156">
                  <c:v>4.400367824666284E-12</c:v>
                </c:pt>
                <c:pt idx="157">
                  <c:v>4.400367824666284E-12</c:v>
                </c:pt>
                <c:pt idx="158">
                  <c:v>4.400367824666284E-12</c:v>
                </c:pt>
                <c:pt idx="159">
                  <c:v>4.400367824666284E-12</c:v>
                </c:pt>
                <c:pt idx="160">
                  <c:v>4.400367824666284E-12</c:v>
                </c:pt>
                <c:pt idx="161">
                  <c:v>4.400367824666284E-12</c:v>
                </c:pt>
                <c:pt idx="162">
                  <c:v>4.400367824666284E-12</c:v>
                </c:pt>
                <c:pt idx="163">
                  <c:v>4.400367824666284E-12</c:v>
                </c:pt>
                <c:pt idx="164">
                  <c:v>4.400367824666284E-12</c:v>
                </c:pt>
                <c:pt idx="165">
                  <c:v>4.400367824666284E-12</c:v>
                </c:pt>
                <c:pt idx="166">
                  <c:v>4.400367824666284E-12</c:v>
                </c:pt>
                <c:pt idx="167">
                  <c:v>4.400367824666284E-12</c:v>
                </c:pt>
                <c:pt idx="168">
                  <c:v>4.400367824666284E-12</c:v>
                </c:pt>
                <c:pt idx="169">
                  <c:v>4.400367824666284E-12</c:v>
                </c:pt>
                <c:pt idx="170">
                  <c:v>4.400367824666284E-12</c:v>
                </c:pt>
                <c:pt idx="171">
                  <c:v>4.400367824666284E-12</c:v>
                </c:pt>
                <c:pt idx="172">
                  <c:v>4.400367824666284E-12</c:v>
                </c:pt>
                <c:pt idx="173">
                  <c:v>4.400367824666284E-12</c:v>
                </c:pt>
                <c:pt idx="174">
                  <c:v>4.400367824666284E-12</c:v>
                </c:pt>
                <c:pt idx="175">
                  <c:v>4.400367824666284E-12</c:v>
                </c:pt>
                <c:pt idx="176">
                  <c:v>4.400367824666284E-12</c:v>
                </c:pt>
                <c:pt idx="177">
                  <c:v>4.400367824666284E-12</c:v>
                </c:pt>
                <c:pt idx="178">
                  <c:v>4.400367824666284E-12</c:v>
                </c:pt>
                <c:pt idx="179">
                  <c:v>4.400367824666284E-12</c:v>
                </c:pt>
                <c:pt idx="180">
                  <c:v>4.400367824666284E-12</c:v>
                </c:pt>
                <c:pt idx="181">
                  <c:v>4.400367824666284E-12</c:v>
                </c:pt>
                <c:pt idx="182">
                  <c:v>4.400367824666284E-12</c:v>
                </c:pt>
                <c:pt idx="183">
                  <c:v>4.400367824666284E-12</c:v>
                </c:pt>
                <c:pt idx="184">
                  <c:v>4.400367824666284E-12</c:v>
                </c:pt>
                <c:pt idx="185">
                  <c:v>4.400367824666284E-12</c:v>
                </c:pt>
                <c:pt idx="186">
                  <c:v>4.400367824666284E-12</c:v>
                </c:pt>
                <c:pt idx="187">
                  <c:v>4.400367824666284E-12</c:v>
                </c:pt>
                <c:pt idx="188">
                  <c:v>4.400367824666284E-12</c:v>
                </c:pt>
                <c:pt idx="189">
                  <c:v>4.400367824666284E-12</c:v>
                </c:pt>
                <c:pt idx="190">
                  <c:v>4.400367824666284E-12</c:v>
                </c:pt>
                <c:pt idx="191">
                  <c:v>4.400367824666284E-12</c:v>
                </c:pt>
                <c:pt idx="192">
                  <c:v>4.400367824666284E-12</c:v>
                </c:pt>
                <c:pt idx="193">
                  <c:v>4.400367824666284E-12</c:v>
                </c:pt>
                <c:pt idx="194">
                  <c:v>4.400367824666284E-12</c:v>
                </c:pt>
                <c:pt idx="195">
                  <c:v>4.400367824666284E-12</c:v>
                </c:pt>
                <c:pt idx="196">
                  <c:v>4.400367824666284E-12</c:v>
                </c:pt>
                <c:pt idx="197">
                  <c:v>4.400367824666284E-12</c:v>
                </c:pt>
                <c:pt idx="198">
                  <c:v>4.400367824666284E-12</c:v>
                </c:pt>
                <c:pt idx="199">
                  <c:v>4.400367824666284E-12</c:v>
                </c:pt>
                <c:pt idx="200">
                  <c:v>4.400367824666284E-12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43392"/>
        <c:axId val="-553846656"/>
      </c:scatterChart>
      <c:valAx>
        <c:axId val="-553843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6656"/>
        <c:crosses val="autoZero"/>
        <c:crossBetween val="midCat"/>
      </c:valAx>
      <c:valAx>
        <c:axId val="-5538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3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145.00665050019282</c:v>
                </c:pt>
                <c:pt idx="27">
                  <c:v>157.83692263801234</c:v>
                </c:pt>
                <c:pt idx="28">
                  <c:v>170.6424524976421</c:v>
                </c:pt>
                <c:pt idx="29">
                  <c:v>183.42535972935536</c:v>
                </c:pt>
                <c:pt idx="30">
                  <c:v>196.18744401776075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231.45994723108012</c:v>
                </c:pt>
                <c:pt idx="37">
                  <c:v>246.69319751240889</c:v>
                </c:pt>
                <c:pt idx="38">
                  <c:v>261.90509392198993</c:v>
                </c:pt>
                <c:pt idx="39">
                  <c:v>277.0970514904804</c:v>
                </c:pt>
                <c:pt idx="40">
                  <c:v>292.27031736625912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307.06534562328858</c:v>
                </c:pt>
                <c:pt idx="47">
                  <c:v>321.84453817650837</c:v>
                </c:pt>
                <c:pt idx="48">
                  <c:v>336.60872461695169</c:v>
                </c:pt>
                <c:pt idx="49">
                  <c:v>351.35865581477151</c:v>
                </c:pt>
                <c:pt idx="50">
                  <c:v>366.09501444973074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376.1513920342295</c:v>
                </c:pt>
                <c:pt idx="57">
                  <c:v>389.79000290566495</c:v>
                </c:pt>
                <c:pt idx="58">
                  <c:v>403.41826063463105</c:v>
                </c:pt>
                <c:pt idx="59">
                  <c:v>417.03656422780779</c:v>
                </c:pt>
                <c:pt idx="60">
                  <c:v>430.64528450788231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432.07723822137638</c:v>
                </c:pt>
                <c:pt idx="67">
                  <c:v>444.24476695077215</c:v>
                </c:pt>
                <c:pt idx="68">
                  <c:v>456.40515882712975</c:v>
                </c:pt>
                <c:pt idx="69">
                  <c:v>468.55863080015001</c:v>
                </c:pt>
                <c:pt idx="70">
                  <c:v>480.70538764731208</c:v>
                </c:pt>
                <c:pt idx="71">
                  <c:v>416.67831216352141</c:v>
                </c:pt>
                <c:pt idx="72">
                  <c:v>427.7810696781832</c:v>
                </c:pt>
                <c:pt idx="73">
                  <c:v>438.87763264294864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471.77459416013545</c:v>
                </c:pt>
                <c:pt idx="77">
                  <c:v>482.4911208700949</c:v>
                </c:pt>
                <c:pt idx="78">
                  <c:v>493.20259187340275</c:v>
                </c:pt>
                <c:pt idx="79">
                  <c:v>503.90913245527832</c:v>
                </c:pt>
                <c:pt idx="80">
                  <c:v>514.61086214265538</c:v>
                </c:pt>
                <c:pt idx="81">
                  <c:v>449.61051233832995</c:v>
                </c:pt>
                <c:pt idx="82">
                  <c:v>459.62291917328042</c:v>
                </c:pt>
                <c:pt idx="83">
                  <c:v>469.6306706784556</c:v>
                </c:pt>
                <c:pt idx="84">
                  <c:v>479.63388006306309</c:v>
                </c:pt>
                <c:pt idx="85">
                  <c:v>489.6326554281622</c:v>
                </c:pt>
                <c:pt idx="86">
                  <c:v>499.62710009899462</c:v>
                </c:pt>
                <c:pt idx="87">
                  <c:v>509.61731292933632</c:v>
                </c:pt>
                <c:pt idx="88">
                  <c:v>519.60338858074306</c:v>
                </c:pt>
                <c:pt idx="89">
                  <c:v>529.58541777921107</c:v>
                </c:pt>
                <c:pt idx="90">
                  <c:v>539.56348755148178</c:v>
                </c:pt>
                <c:pt idx="91">
                  <c:v>473.38240056334689</c:v>
                </c:pt>
                <c:pt idx="92">
                  <c:v>482.13398547834095</c:v>
                </c:pt>
                <c:pt idx="93">
                  <c:v>490.88219577778773</c:v>
                </c:pt>
                <c:pt idx="94">
                  <c:v>499.62710009899462</c:v>
                </c:pt>
                <c:pt idx="95">
                  <c:v>508.36876447997855</c:v>
                </c:pt>
                <c:pt idx="96">
                  <c:v>517.10725250186931</c:v>
                </c:pt>
                <c:pt idx="97">
                  <c:v>525.84262542118813</c:v>
                </c:pt>
                <c:pt idx="98">
                  <c:v>534.57494229287533</c:v>
                </c:pt>
                <c:pt idx="99">
                  <c:v>543.30426008486279</c:v>
                </c:pt>
                <c:pt idx="100">
                  <c:v>552.03063378489958</c:v>
                </c:pt>
                <c:pt idx="101">
                  <c:v>484.99091160498818</c:v>
                </c:pt>
                <c:pt idx="102">
                  <c:v>492.84562295362815</c:v>
                </c:pt>
                <c:pt idx="103">
                  <c:v>500.69768075588348</c:v>
                </c:pt>
                <c:pt idx="104">
                  <c:v>508.54713250848886</c:v>
                </c:pt>
                <c:pt idx="105">
                  <c:v>516.39402412186962</c:v>
                </c:pt>
                <c:pt idx="106">
                  <c:v>524.2383999969461</c:v>
                </c:pt>
                <c:pt idx="107">
                  <c:v>532.08030309710023</c:v>
                </c:pt>
                <c:pt idx="108">
                  <c:v>539.91977501567897</c:v>
                </c:pt>
                <c:pt idx="109">
                  <c:v>547.75685603937313</c:v>
                </c:pt>
                <c:pt idx="110">
                  <c:v>555.59158520777794</c:v>
                </c:pt>
                <c:pt idx="111">
                  <c:v>492.66713643818139</c:v>
                </c:pt>
                <c:pt idx="112">
                  <c:v>499.27022909127487</c:v>
                </c:pt>
                <c:pt idx="113">
                  <c:v>505.87147293953734</c:v>
                </c:pt>
                <c:pt idx="114">
                  <c:v>512.47089552301156</c:v>
                </c:pt>
                <c:pt idx="115">
                  <c:v>519.06852361425183</c:v>
                </c:pt>
                <c:pt idx="116">
                  <c:v>525.66438324941146</c:v>
                </c:pt>
                <c:pt idx="117">
                  <c:v>532.25849975768563</c:v>
                </c:pt>
                <c:pt idx="118">
                  <c:v>538.85089778922088</c:v>
                </c:pt>
                <c:pt idx="119">
                  <c:v>545.44160134158631</c:v>
                </c:pt>
                <c:pt idx="120">
                  <c:v>552.0306337848989</c:v>
                </c:pt>
                <c:pt idx="121">
                  <c:v>495.34429051823003</c:v>
                </c:pt>
                <c:pt idx="122">
                  <c:v>501.05453020073833</c:v>
                </c:pt>
                <c:pt idx="123">
                  <c:v>506.76339263133724</c:v>
                </c:pt>
                <c:pt idx="124">
                  <c:v>512.47089552301134</c:v>
                </c:pt>
                <c:pt idx="125">
                  <c:v>518.17705616178876</c:v>
                </c:pt>
                <c:pt idx="126">
                  <c:v>523.88189142172769</c:v>
                </c:pt>
                <c:pt idx="127">
                  <c:v>529.58541777920993</c:v>
                </c:pt>
                <c:pt idx="128">
                  <c:v>535.28765132659282</c:v>
                </c:pt>
                <c:pt idx="129">
                  <c:v>540.98860778524329</c:v>
                </c:pt>
                <c:pt idx="130">
                  <c:v>546.68830251799761</c:v>
                </c:pt>
                <c:pt idx="131">
                  <c:v>496.23660698450158</c:v>
                </c:pt>
                <c:pt idx="132">
                  <c:v>501.0545302007381</c:v>
                </c:pt>
                <c:pt idx="133">
                  <c:v>505.87147293953677</c:v>
                </c:pt>
                <c:pt idx="134">
                  <c:v>510.68744586077599</c:v>
                </c:pt>
                <c:pt idx="135">
                  <c:v>515.50245940674063</c:v>
                </c:pt>
                <c:pt idx="136">
                  <c:v>520.31652380860351</c:v>
                </c:pt>
                <c:pt idx="137">
                  <c:v>525.12964909264781</c:v>
                </c:pt>
                <c:pt idx="138">
                  <c:v>529.94184508625449</c:v>
                </c:pt>
                <c:pt idx="139">
                  <c:v>534.75312142365681</c:v>
                </c:pt>
                <c:pt idx="140">
                  <c:v>539.56348755148042</c:v>
                </c:pt>
                <c:pt idx="141">
                  <c:v>495.70122118881187</c:v>
                </c:pt>
                <c:pt idx="142">
                  <c:v>499.98396570940122</c:v>
                </c:pt>
                <c:pt idx="143">
                  <c:v>504.26593363931647</c:v>
                </c:pt>
                <c:pt idx="144">
                  <c:v>508.54713250848772</c:v>
                </c:pt>
                <c:pt idx="145">
                  <c:v>512.82756970962453</c:v>
                </c:pt>
                <c:pt idx="146">
                  <c:v>517.10725250186795</c:v>
                </c:pt>
                <c:pt idx="147">
                  <c:v>521.38618801431301</c:v>
                </c:pt>
                <c:pt idx="148">
                  <c:v>525.66438324941055</c:v>
                </c:pt>
                <c:pt idx="149">
                  <c:v>529.94184508625403</c:v>
                </c:pt>
                <c:pt idx="150">
                  <c:v>534.21858028375061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51552"/>
        <c:axId val="-553849376"/>
      </c:scatterChart>
      <c:valAx>
        <c:axId val="-553851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9376"/>
        <c:crosses val="autoZero"/>
        <c:crossBetween val="midCat"/>
      </c:valAx>
      <c:valAx>
        <c:axId val="-55384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51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148.01421375954016</c:v>
                </c:pt>
                <c:pt idx="22">
                  <c:v>160.74983504965459</c:v>
                </c:pt>
                <c:pt idx="23">
                  <c:v>173.46156278083515</c:v>
                </c:pt>
                <c:pt idx="24">
                  <c:v>186.1513958594079</c:v>
                </c:pt>
                <c:pt idx="25">
                  <c:v>198.82103804994404</c:v>
                </c:pt>
                <c:pt idx="26">
                  <c:v>156.24214880368183</c:v>
                </c:pt>
                <c:pt idx="27">
                  <c:v>169.22684490502496</c:v>
                </c:pt>
                <c:pt idx="28">
                  <c:v>182.18806689822361</c:v>
                </c:pt>
                <c:pt idx="29">
                  <c:v>195.12772108945578</c:v>
                </c:pt>
                <c:pt idx="30">
                  <c:v>208.04744001071947</c:v>
                </c:pt>
                <c:pt idx="31">
                  <c:v>220.68552368043743</c:v>
                </c:pt>
                <c:pt idx="32">
                  <c:v>233.30699569911027</c:v>
                </c:pt>
                <c:pt idx="33">
                  <c:v>245.9128817487364</c:v>
                </c:pt>
                <c:pt idx="34">
                  <c:v>258.50409369643472</c:v>
                </c:pt>
                <c:pt idx="35">
                  <c:v>271.0814472717563</c:v>
                </c:pt>
                <c:pt idx="36">
                  <c:v>229.1016182515626</c:v>
                </c:pt>
                <c:pt idx="37">
                  <c:v>240.92485492099104</c:v>
                </c:pt>
                <c:pt idx="38">
                  <c:v>252.73488898992335</c:v>
                </c:pt>
                <c:pt idx="39">
                  <c:v>264.53242465514222</c:v>
                </c:pt>
                <c:pt idx="40">
                  <c:v>276.31809813367369</c:v>
                </c:pt>
                <c:pt idx="41">
                  <c:v>287.83095256623977</c:v>
                </c:pt>
                <c:pt idx="42">
                  <c:v>299.33351098507438</c:v>
                </c:pt>
                <c:pt idx="43">
                  <c:v>310.8262249693355</c:v>
                </c:pt>
                <c:pt idx="44">
                  <c:v>322.30950996229876</c:v>
                </c:pt>
                <c:pt idx="45">
                  <c:v>333.78374937501832</c:v>
                </c:pt>
                <c:pt idx="46">
                  <c:v>287.04631762262659</c:v>
                </c:pt>
                <c:pt idx="47">
                  <c:v>297.76556965124479</c:v>
                </c:pt>
                <c:pt idx="48">
                  <c:v>308.47622271912411</c:v>
                </c:pt>
                <c:pt idx="49">
                  <c:v>319.17861763286845</c:v>
                </c:pt>
                <c:pt idx="50">
                  <c:v>329.87307046604047</c:v>
                </c:pt>
                <c:pt idx="51">
                  <c:v>339.7781670611667</c:v>
                </c:pt>
                <c:pt idx="52">
                  <c:v>349.67691259476118</c:v>
                </c:pt>
                <c:pt idx="53">
                  <c:v>359.56951229543256</c:v>
                </c:pt>
                <c:pt idx="54">
                  <c:v>369.45615917184494</c:v>
                </c:pt>
                <c:pt idx="55">
                  <c:v>379.33703505493219</c:v>
                </c:pt>
                <c:pt idx="56">
                  <c:v>331.69818048501043</c:v>
                </c:pt>
                <c:pt idx="57">
                  <c:v>341.34154369544399</c:v>
                </c:pt>
                <c:pt idx="58">
                  <c:v>350.97891730211518</c:v>
                </c:pt>
                <c:pt idx="59">
                  <c:v>360.61048905039712</c:v>
                </c:pt>
                <c:pt idx="60">
                  <c:v>370.23643583282006</c:v>
                </c:pt>
                <c:pt idx="61">
                  <c:v>379.3370350549323</c:v>
                </c:pt>
                <c:pt idx="62">
                  <c:v>388.4328841840873</c:v>
                </c:pt>
                <c:pt idx="63">
                  <c:v>397.52411019447635</c:v>
                </c:pt>
                <c:pt idx="64">
                  <c:v>406.61083377583185</c:v>
                </c:pt>
                <c:pt idx="65">
                  <c:v>415.69316978100875</c:v>
                </c:pt>
                <c:pt idx="66">
                  <c:v>367.37524535104586</c:v>
                </c:pt>
                <c:pt idx="67">
                  <c:v>376.21737131771482</c:v>
                </c:pt>
                <c:pt idx="68">
                  <c:v>385.05497224896385</c:v>
                </c:pt>
                <c:pt idx="69">
                  <c:v>393.88816670507435</c:v>
                </c:pt>
                <c:pt idx="70">
                  <c:v>402.7170674919883</c:v>
                </c:pt>
                <c:pt idx="71">
                  <c:v>410.76329650784623</c:v>
                </c:pt>
                <c:pt idx="72">
                  <c:v>418.80612334095326</c:v>
                </c:pt>
                <c:pt idx="73">
                  <c:v>426.84562257899665</c:v>
                </c:pt>
                <c:pt idx="74">
                  <c:v>434.88186576924096</c:v>
                </c:pt>
                <c:pt idx="75">
                  <c:v>442.91492159758701</c:v>
                </c:pt>
                <c:pt idx="76">
                  <c:v>396.22564203021716</c:v>
                </c:pt>
                <c:pt idx="77">
                  <c:v>404.01507966776506</c:v>
                </c:pt>
                <c:pt idx="78">
                  <c:v>411.80127018050945</c:v>
                </c:pt>
                <c:pt idx="79">
                  <c:v>419.58428366133921</c:v>
                </c:pt>
                <c:pt idx="80">
                  <c:v>427.3641873890769</c:v>
                </c:pt>
                <c:pt idx="81">
                  <c:v>434.88186576924096</c:v>
                </c:pt>
                <c:pt idx="82">
                  <c:v>442.39675481769376</c:v>
                </c:pt>
                <c:pt idx="83">
                  <c:v>449.90890862564248</c:v>
                </c:pt>
                <c:pt idx="84">
                  <c:v>457.41837932963108</c:v>
                </c:pt>
                <c:pt idx="85">
                  <c:v>464.92521721380871</c:v>
                </c:pt>
                <c:pt idx="86">
                  <c:v>420.36241288637984</c:v>
                </c:pt>
                <c:pt idx="87">
                  <c:v>427.62346471808149</c:v>
                </c:pt>
                <c:pt idx="88">
                  <c:v>434.88186576924096</c:v>
                </c:pt>
                <c:pt idx="89">
                  <c:v>442.13766655057469</c:v>
                </c:pt>
                <c:pt idx="90">
                  <c:v>449.39091577872478</c:v>
                </c:pt>
                <c:pt idx="91">
                  <c:v>456.12383221540227</c:v>
                </c:pt>
                <c:pt idx="92">
                  <c:v>462.85462553575684</c:v>
                </c:pt>
                <c:pt idx="93">
                  <c:v>469.58333098744288</c:v>
                </c:pt>
                <c:pt idx="94">
                  <c:v>476.30998272499346</c:v>
                </c:pt>
                <c:pt idx="95">
                  <c:v>483.03461385901966</c:v>
                </c:pt>
                <c:pt idx="96">
                  <c:v>441.61948025110092</c:v>
                </c:pt>
                <c:pt idx="97">
                  <c:v>448.095877722669</c:v>
                </c:pt>
                <c:pt idx="98">
                  <c:v>454.57027201710929</c:v>
                </c:pt>
                <c:pt idx="99">
                  <c:v>461.04269570891194</c:v>
                </c:pt>
                <c:pt idx="100">
                  <c:v>467.51318038276719</c:v>
                </c:pt>
                <c:pt idx="101">
                  <c:v>473.72304989047893</c:v>
                </c:pt>
                <c:pt idx="102">
                  <c:v>479.93118696287434</c:v>
                </c:pt>
                <c:pt idx="103">
                  <c:v>486.13761718470818</c:v>
                </c:pt>
                <c:pt idx="104">
                  <c:v>492.34236543378728</c:v>
                </c:pt>
                <c:pt idx="105">
                  <c:v>498.54545590936368</c:v>
                </c:pt>
                <c:pt idx="106">
                  <c:v>504.7469121590421</c:v>
                </c:pt>
                <c:pt idx="107">
                  <c:v>510.94675710429465</c:v>
                </c:pt>
                <c:pt idx="108">
                  <c:v>517.14501306467344</c:v>
                </c:pt>
                <c:pt idx="109">
                  <c:v>523.34170178080001</c:v>
                </c:pt>
                <c:pt idx="110">
                  <c:v>529.5368444362108</c:v>
                </c:pt>
                <c:pt idx="111">
                  <c:v>467.90134847617452</c:v>
                </c:pt>
                <c:pt idx="112">
                  <c:v>473.46434009613796</c:v>
                </c:pt>
                <c:pt idx="113">
                  <c:v>479.02594054825886</c:v>
                </c:pt>
                <c:pt idx="114">
                  <c:v>484.58616827417518</c:v>
                </c:pt>
                <c:pt idx="115">
                  <c:v>490.14504125750909</c:v>
                </c:pt>
                <c:pt idx="116">
                  <c:v>495.70257704042325</c:v>
                </c:pt>
                <c:pt idx="117">
                  <c:v>501.2587927393958</c:v>
                </c:pt>
                <c:pt idx="118">
                  <c:v>506.81370506025837</c:v>
                </c:pt>
                <c:pt idx="119">
                  <c:v>512.36733031254118</c:v>
                </c:pt>
                <c:pt idx="120">
                  <c:v>517.91968442316272</c:v>
                </c:pt>
                <c:pt idx="121">
                  <c:v>23.007566490539954</c:v>
                </c:pt>
                <c:pt idx="122">
                  <c:v>23.007566490539954</c:v>
                </c:pt>
                <c:pt idx="123">
                  <c:v>23.007566490539954</c:v>
                </c:pt>
                <c:pt idx="124">
                  <c:v>23.007566490539954</c:v>
                </c:pt>
                <c:pt idx="125">
                  <c:v>23.007566490539954</c:v>
                </c:pt>
                <c:pt idx="126">
                  <c:v>23.007566490539954</c:v>
                </c:pt>
                <c:pt idx="127">
                  <c:v>23.007566490539954</c:v>
                </c:pt>
                <c:pt idx="128">
                  <c:v>23.007566490539954</c:v>
                </c:pt>
                <c:pt idx="129">
                  <c:v>23.007566490539954</c:v>
                </c:pt>
                <c:pt idx="130">
                  <c:v>23.007566490539954</c:v>
                </c:pt>
                <c:pt idx="131">
                  <c:v>23.007566490539954</c:v>
                </c:pt>
                <c:pt idx="132">
                  <c:v>23.007566490539954</c:v>
                </c:pt>
                <c:pt idx="133">
                  <c:v>23.007566490539954</c:v>
                </c:pt>
                <c:pt idx="134">
                  <c:v>23.007566490539954</c:v>
                </c:pt>
                <c:pt idx="135">
                  <c:v>23.007566490539954</c:v>
                </c:pt>
                <c:pt idx="136">
                  <c:v>23.007566490539954</c:v>
                </c:pt>
                <c:pt idx="137">
                  <c:v>23.007566490539954</c:v>
                </c:pt>
                <c:pt idx="138">
                  <c:v>23.007566490539954</c:v>
                </c:pt>
                <c:pt idx="139">
                  <c:v>23.007566490539954</c:v>
                </c:pt>
                <c:pt idx="140">
                  <c:v>23.007566490539954</c:v>
                </c:pt>
                <c:pt idx="141">
                  <c:v>23.007566490539954</c:v>
                </c:pt>
                <c:pt idx="142">
                  <c:v>23.007566490539954</c:v>
                </c:pt>
                <c:pt idx="143">
                  <c:v>23.007566490539954</c:v>
                </c:pt>
                <c:pt idx="144">
                  <c:v>23.007566490539954</c:v>
                </c:pt>
                <c:pt idx="145">
                  <c:v>23.007566490539954</c:v>
                </c:pt>
                <c:pt idx="146">
                  <c:v>23.007566490539954</c:v>
                </c:pt>
                <c:pt idx="147">
                  <c:v>23.007566490539954</c:v>
                </c:pt>
                <c:pt idx="148">
                  <c:v>23.007566490539954</c:v>
                </c:pt>
                <c:pt idx="149">
                  <c:v>23.007566490539954</c:v>
                </c:pt>
                <c:pt idx="150">
                  <c:v>23.007566490539954</c:v>
                </c:pt>
                <c:pt idx="151">
                  <c:v>23.007566490539954</c:v>
                </c:pt>
                <c:pt idx="152">
                  <c:v>23.007566490539954</c:v>
                </c:pt>
                <c:pt idx="153">
                  <c:v>23.007566490539954</c:v>
                </c:pt>
                <c:pt idx="154">
                  <c:v>23.007566490539954</c:v>
                </c:pt>
                <c:pt idx="155">
                  <c:v>23.007566490539954</c:v>
                </c:pt>
                <c:pt idx="156">
                  <c:v>23.007566490539954</c:v>
                </c:pt>
                <c:pt idx="157">
                  <c:v>23.007566490539954</c:v>
                </c:pt>
                <c:pt idx="158">
                  <c:v>23.007566490539954</c:v>
                </c:pt>
                <c:pt idx="159">
                  <c:v>23.007566490539954</c:v>
                </c:pt>
                <c:pt idx="160">
                  <c:v>23.007566490539954</c:v>
                </c:pt>
                <c:pt idx="161">
                  <c:v>23.007566490539954</c:v>
                </c:pt>
                <c:pt idx="162">
                  <c:v>23.007566490539954</c:v>
                </c:pt>
                <c:pt idx="163">
                  <c:v>23.007566490539954</c:v>
                </c:pt>
                <c:pt idx="164">
                  <c:v>23.007566490539954</c:v>
                </c:pt>
                <c:pt idx="165">
                  <c:v>23.007566490539954</c:v>
                </c:pt>
                <c:pt idx="166">
                  <c:v>23.007566490539954</c:v>
                </c:pt>
                <c:pt idx="167">
                  <c:v>23.007566490539954</c:v>
                </c:pt>
                <c:pt idx="168">
                  <c:v>23.007566490539954</c:v>
                </c:pt>
                <c:pt idx="169">
                  <c:v>23.007566490539954</c:v>
                </c:pt>
                <c:pt idx="170">
                  <c:v>23.007566490539954</c:v>
                </c:pt>
                <c:pt idx="171">
                  <c:v>23.007566490539954</c:v>
                </c:pt>
                <c:pt idx="172">
                  <c:v>23.007566490539954</c:v>
                </c:pt>
                <c:pt idx="173">
                  <c:v>23.007566490539954</c:v>
                </c:pt>
                <c:pt idx="174">
                  <c:v>23.007566490539954</c:v>
                </c:pt>
                <c:pt idx="175">
                  <c:v>23.007566490539954</c:v>
                </c:pt>
                <c:pt idx="176">
                  <c:v>23.007566490539954</c:v>
                </c:pt>
                <c:pt idx="177">
                  <c:v>23.007566490539954</c:v>
                </c:pt>
                <c:pt idx="178">
                  <c:v>23.007566490539954</c:v>
                </c:pt>
                <c:pt idx="179">
                  <c:v>23.007566490539954</c:v>
                </c:pt>
                <c:pt idx="180">
                  <c:v>23.007566490539954</c:v>
                </c:pt>
                <c:pt idx="181">
                  <c:v>23.007566490539954</c:v>
                </c:pt>
                <c:pt idx="182">
                  <c:v>23.007566490539954</c:v>
                </c:pt>
                <c:pt idx="183">
                  <c:v>23.007566490539954</c:v>
                </c:pt>
                <c:pt idx="184">
                  <c:v>23.007566490539954</c:v>
                </c:pt>
                <c:pt idx="185">
                  <c:v>23.007566490539954</c:v>
                </c:pt>
                <c:pt idx="186">
                  <c:v>23.007566490539954</c:v>
                </c:pt>
                <c:pt idx="187">
                  <c:v>23.007566490539954</c:v>
                </c:pt>
                <c:pt idx="188">
                  <c:v>23.007566490539954</c:v>
                </c:pt>
                <c:pt idx="189">
                  <c:v>23.007566490539954</c:v>
                </c:pt>
                <c:pt idx="190">
                  <c:v>23.007566490539954</c:v>
                </c:pt>
                <c:pt idx="191">
                  <c:v>23.007566490539954</c:v>
                </c:pt>
                <c:pt idx="192">
                  <c:v>23.007566490539954</c:v>
                </c:pt>
                <c:pt idx="193">
                  <c:v>23.007566490539954</c:v>
                </c:pt>
                <c:pt idx="194">
                  <c:v>23.007566490539954</c:v>
                </c:pt>
                <c:pt idx="195">
                  <c:v>23.007566490539954</c:v>
                </c:pt>
                <c:pt idx="196">
                  <c:v>23.007566490539954</c:v>
                </c:pt>
                <c:pt idx="197">
                  <c:v>23.007566490539954</c:v>
                </c:pt>
                <c:pt idx="198">
                  <c:v>23.007566490539954</c:v>
                </c:pt>
                <c:pt idx="199">
                  <c:v>23.007566490539954</c:v>
                </c:pt>
                <c:pt idx="200">
                  <c:v>23.007566490539954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51008"/>
        <c:axId val="-553845568"/>
      </c:scatterChart>
      <c:valAx>
        <c:axId val="-553851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5568"/>
        <c:crosses val="autoZero"/>
        <c:crossBetween val="midCat"/>
      </c:valAx>
      <c:valAx>
        <c:axId val="-55384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51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54272"/>
        <c:axId val="-553840672"/>
      </c:scatterChart>
      <c:valAx>
        <c:axId val="-553854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0672"/>
        <c:crosses val="autoZero"/>
        <c:crossBetween val="midCat"/>
      </c:valAx>
      <c:valAx>
        <c:axId val="-55384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54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55360"/>
        <c:axId val="-553854816"/>
      </c:scatterChart>
      <c:valAx>
        <c:axId val="-553855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54816"/>
        <c:crosses val="autoZero"/>
        <c:crossBetween val="midCat"/>
      </c:valAx>
      <c:valAx>
        <c:axId val="-55385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55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47744"/>
        <c:axId val="-553847200"/>
      </c:scatterChart>
      <c:valAx>
        <c:axId val="-553847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7200"/>
        <c:crosses val="autoZero"/>
        <c:crossBetween val="midCat"/>
      </c:valAx>
      <c:valAx>
        <c:axId val="-55384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7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3845024"/>
        <c:axId val="-553844480"/>
      </c:scatterChart>
      <c:valAx>
        <c:axId val="-553845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4480"/>
        <c:crosses val="autoZero"/>
        <c:crossBetween val="midCat"/>
      </c:valAx>
      <c:valAx>
        <c:axId val="-5538444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3845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D40" sqref="D40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3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3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3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3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3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3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3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3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3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3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3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3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3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3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3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3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3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3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3" zoomScale="80" zoomScaleNormal="80" workbookViewId="0">
      <selection activeCell="C14" sqref="C1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4" t="s">
        <v>192</v>
      </c>
      <c r="C3" s="295"/>
      <c r="D3" s="295"/>
      <c r="E3" s="295"/>
      <c r="F3" s="296"/>
      <c r="G3" s="92"/>
      <c r="I3" s="225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4"/>
      <c r="B4" s="94"/>
      <c r="C4" s="94"/>
      <c r="D4" s="94"/>
      <c r="E4" s="94"/>
      <c r="F4" s="94"/>
      <c r="G4" s="235"/>
      <c r="I4" s="225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0" t="s">
        <v>231</v>
      </c>
      <c r="B5" s="300"/>
      <c r="C5" s="26">
        <v>3.04</v>
      </c>
      <c r="D5" s="301" t="s">
        <v>229</v>
      </c>
      <c r="E5" s="302"/>
      <c r="F5" s="94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5"/>
      <c r="B6" s="95"/>
      <c r="C6" s="96"/>
      <c r="D6" s="89"/>
      <c r="E6" s="89"/>
      <c r="F6" s="29"/>
      <c r="G6" s="237"/>
      <c r="H6" s="238"/>
      <c r="I6" s="238"/>
      <c r="J6" s="245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5.8" x14ac:dyDescent="0.3">
      <c r="A7" s="298" t="s">
        <v>226</v>
      </c>
      <c r="B7" s="298"/>
      <c r="C7" s="94"/>
      <c r="D7" s="94"/>
      <c r="E7" s="5"/>
      <c r="F7" s="94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0.4</v>
      </c>
      <c r="D9" s="36">
        <f t="shared" ref="D9:D18" si="0">C9*$C$5</f>
        <v>1.2160000000000002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23</v>
      </c>
      <c r="C10" s="35">
        <v>0.2</v>
      </c>
      <c r="D10" s="36">
        <f t="shared" si="0"/>
        <v>0.6080000000000001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8</v>
      </c>
      <c r="C11" s="35">
        <v>0.1</v>
      </c>
      <c r="D11" s="36">
        <f t="shared" si="0"/>
        <v>0.30400000000000005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11</v>
      </c>
      <c r="C12" s="35">
        <v>0.2</v>
      </c>
      <c r="D12" s="36">
        <f t="shared" si="0"/>
        <v>0.6080000000000001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6</v>
      </c>
      <c r="C13" s="35">
        <v>0.1</v>
      </c>
      <c r="D13" s="36">
        <f t="shared" si="0"/>
        <v>0.30400000000000005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7"/>
      <c r="B19" s="39" t="s">
        <v>175</v>
      </c>
      <c r="C19" s="40">
        <f>SUM(C9:C18)</f>
        <v>1.0000000000000002</v>
      </c>
      <c r="D19" s="41">
        <f>SUM(D9:D18)</f>
        <v>3.04</v>
      </c>
      <c r="E19" s="5"/>
      <c r="F19" s="98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7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7" t="s">
        <v>232</v>
      </c>
      <c r="B22" s="297"/>
      <c r="C22" s="96"/>
      <c r="H22" s="227"/>
      <c r="I22" s="245"/>
      <c r="J22" s="245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9"/>
      <c r="F26" s="99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9" t="s">
        <v>227</v>
      </c>
      <c r="B30" s="299"/>
      <c r="D30" s="247"/>
      <c r="H30" s="245"/>
      <c r="I30" s="245"/>
      <c r="J30" s="245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1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v>105</v>
      </c>
      <c r="C38" s="61">
        <v>1</v>
      </c>
      <c r="D38" s="61"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v>158</v>
      </c>
      <c r="C40" s="61">
        <v>2</v>
      </c>
      <c r="D40" s="61"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v>199</v>
      </c>
      <c r="C42" s="61">
        <v>3</v>
      </c>
      <c r="D42" s="61"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197</v>
      </c>
      <c r="C43" s="53"/>
      <c r="D43" s="5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sycomore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1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1">
        <v>37</v>
      </c>
      <c r="C62" s="61"/>
      <c r="D62" s="61"/>
      <c r="E62" s="54"/>
      <c r="F62" s="54"/>
      <c r="G62" s="54"/>
      <c r="H62" s="54"/>
      <c r="I62" s="56">
        <f>IFERROR(B62/A62,"")</f>
        <v>2.4666666666666668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1">
        <v>80</v>
      </c>
      <c r="C63" s="61">
        <v>1</v>
      </c>
      <c r="D63" s="61">
        <f>15+28</f>
        <v>43</v>
      </c>
      <c r="E63" s="54"/>
      <c r="F63" s="54"/>
      <c r="G63" s="54"/>
      <c r="H63" s="54">
        <v>1</v>
      </c>
      <c r="I63" s="52">
        <f>IF(A63&lt;&gt;0,(B63-(B62-D62))/(A63-A62),"")</f>
        <v>8.6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1">
        <v>115</v>
      </c>
      <c r="C64" s="61"/>
      <c r="D64" s="61"/>
      <c r="E64" s="54"/>
      <c r="F64" s="54"/>
      <c r="G64" s="54"/>
      <c r="H64" s="54"/>
      <c r="I64" s="52">
        <f>IF(A64&lt;&gt;0,(B64-(B63-D63))/(A64-A63),"")</f>
        <v>15.6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1">
        <v>147</v>
      </c>
      <c r="C65" s="61">
        <v>2</v>
      </c>
      <c r="D65" s="61">
        <f>28+28</f>
        <v>56</v>
      </c>
      <c r="E65" s="54"/>
      <c r="F65" s="54"/>
      <c r="G65" s="54"/>
      <c r="H65" s="54">
        <v>1</v>
      </c>
      <c r="I65" s="52">
        <f>IF(A65&lt;&gt;0,(B65-(B64-D64))/(A65-A64),"")</f>
        <v>6.4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1">
        <v>172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16.2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1">
        <v>192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1">
        <v>205</v>
      </c>
      <c r="C68" s="53"/>
      <c r="D68" s="61"/>
      <c r="E68" s="54"/>
      <c r="F68" s="54"/>
      <c r="G68" s="54"/>
      <c r="H68" s="54"/>
      <c r="I68" s="52">
        <f t="shared" si="2"/>
        <v>13.8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61">
        <v>218</v>
      </c>
      <c r="C69" s="53">
        <v>4</v>
      </c>
      <c r="D69" s="61">
        <v>39</v>
      </c>
      <c r="E69" s="54"/>
      <c r="F69" s="54"/>
      <c r="G69" s="54"/>
      <c r="H69" s="54"/>
      <c r="I69" s="52">
        <f t="shared" si="2"/>
        <v>2.6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61">
        <v>233</v>
      </c>
      <c r="C70" s="53"/>
      <c r="D70" s="61"/>
      <c r="E70" s="54"/>
      <c r="F70" s="54"/>
      <c r="G70" s="54"/>
      <c r="H70" s="54"/>
      <c r="I70" s="52">
        <f t="shared" si="2"/>
        <v>10.8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61">
        <v>245</v>
      </c>
      <c r="C71" s="53">
        <v>5</v>
      </c>
      <c r="D71" s="61">
        <v>25</v>
      </c>
      <c r="E71" s="54"/>
      <c r="F71" s="54"/>
      <c r="G71" s="54"/>
      <c r="H71" s="54"/>
      <c r="I71" s="52">
        <f t="shared" si="2"/>
        <v>2.4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61">
        <v>255</v>
      </c>
      <c r="C72" s="53"/>
      <c r="D72" s="61"/>
      <c r="E72" s="54"/>
      <c r="F72" s="54"/>
      <c r="G72" s="54"/>
      <c r="H72" s="54"/>
      <c r="I72" s="52">
        <f t="shared" si="2"/>
        <v>7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70</v>
      </c>
      <c r="B73" s="61">
        <v>263</v>
      </c>
      <c r="C73" s="53">
        <v>6</v>
      </c>
      <c r="D73" s="61">
        <v>21</v>
      </c>
      <c r="E73" s="54"/>
      <c r="F73" s="54"/>
      <c r="G73" s="54"/>
      <c r="H73" s="54"/>
      <c r="I73" s="52">
        <f t="shared" si="2"/>
        <v>1.6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75</v>
      </c>
      <c r="B74" s="61">
        <v>270</v>
      </c>
      <c r="C74" s="53">
        <v>7</v>
      </c>
      <c r="D74" s="61">
        <v>9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61">
        <v>276</v>
      </c>
      <c r="C75" s="53">
        <v>8</v>
      </c>
      <c r="D75" s="61">
        <v>276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Châtaignier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v>37</v>
      </c>
      <c r="C88" s="61"/>
      <c r="D88" s="61"/>
      <c r="E88" s="54"/>
      <c r="F88" s="54"/>
      <c r="G88" s="54"/>
      <c r="H88" s="54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v>80</v>
      </c>
      <c r="C89" s="61">
        <v>1</v>
      </c>
      <c r="D89" s="61">
        <f>15+28</f>
        <v>43</v>
      </c>
      <c r="E89" s="54"/>
      <c r="F89" s="54"/>
      <c r="G89" s="54"/>
      <c r="H89" s="54">
        <v>1</v>
      </c>
      <c r="I89" s="56">
        <f t="shared" ref="I89:I107" si="3">IF(A89&lt;&gt;0,(B89-(B88-D88))/(A89-A88),"")</f>
        <v>8.6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v>115</v>
      </c>
      <c r="C90" s="61"/>
      <c r="D90" s="61"/>
      <c r="E90" s="54"/>
      <c r="F90" s="54"/>
      <c r="G90" s="54"/>
      <c r="H90" s="54"/>
      <c r="I90" s="56">
        <f t="shared" si="3"/>
        <v>15.6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v>147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6.4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v>172</v>
      </c>
      <c r="C92" s="61"/>
      <c r="D92" s="61"/>
      <c r="E92" s="54"/>
      <c r="F92" s="54"/>
      <c r="G92" s="54"/>
      <c r="H92" s="54"/>
      <c r="I92" s="56">
        <f t="shared" si="3"/>
        <v>16.2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v>192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1">
        <v>205</v>
      </c>
      <c r="C94" s="53"/>
      <c r="D94" s="61"/>
      <c r="E94" s="54"/>
      <c r="F94" s="54"/>
      <c r="G94" s="54"/>
      <c r="H94" s="54"/>
      <c r="I94" s="56">
        <f t="shared" si="3"/>
        <v>13.8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1">
        <v>218</v>
      </c>
      <c r="C95" s="53">
        <v>4</v>
      </c>
      <c r="D95" s="61">
        <v>39</v>
      </c>
      <c r="E95" s="54"/>
      <c r="F95" s="54"/>
      <c r="G95" s="54"/>
      <c r="H95" s="54"/>
      <c r="I95" s="56">
        <f t="shared" si="3"/>
        <v>2.6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1">
        <v>233</v>
      </c>
      <c r="C96" s="53"/>
      <c r="D96" s="61"/>
      <c r="E96" s="54"/>
      <c r="F96" s="54"/>
      <c r="G96" s="54"/>
      <c r="H96" s="54"/>
      <c r="I96" s="56">
        <f t="shared" si="3"/>
        <v>10.8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1">
        <v>245</v>
      </c>
      <c r="C97" s="53">
        <v>5</v>
      </c>
      <c r="D97" s="61">
        <v>25</v>
      </c>
      <c r="E97" s="54"/>
      <c r="F97" s="54"/>
      <c r="G97" s="54"/>
      <c r="H97" s="54"/>
      <c r="I97" s="56">
        <f t="shared" si="3"/>
        <v>2.4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61">
        <v>255</v>
      </c>
      <c r="C98" s="53"/>
      <c r="D98" s="61"/>
      <c r="E98" s="54"/>
      <c r="F98" s="54"/>
      <c r="G98" s="54"/>
      <c r="H98" s="54"/>
      <c r="I98" s="56">
        <f t="shared" si="3"/>
        <v>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61">
        <v>263</v>
      </c>
      <c r="C99" s="53">
        <v>6</v>
      </c>
      <c r="D99" s="61">
        <v>21</v>
      </c>
      <c r="E99" s="54"/>
      <c r="F99" s="54"/>
      <c r="G99" s="54"/>
      <c r="H99" s="54"/>
      <c r="I99" s="56">
        <f t="shared" si="3"/>
        <v>1.6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61">
        <v>270</v>
      </c>
      <c r="C100" s="53">
        <v>7</v>
      </c>
      <c r="D100" s="61">
        <v>9</v>
      </c>
      <c r="E100" s="54"/>
      <c r="F100" s="54"/>
      <c r="G100" s="54"/>
      <c r="H100" s="54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61">
        <v>276</v>
      </c>
      <c r="C101" s="53">
        <v>8</v>
      </c>
      <c r="D101" s="61">
        <v>276</v>
      </c>
      <c r="E101" s="54"/>
      <c r="F101" s="54"/>
      <c r="G101" s="54"/>
      <c r="H101" s="54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pédonculé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v>105</v>
      </c>
      <c r="C116" s="61">
        <v>1</v>
      </c>
      <c r="D116" s="61"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v>158</v>
      </c>
      <c r="C118" s="61">
        <v>2</v>
      </c>
      <c r="D118" s="61"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v>199</v>
      </c>
      <c r="C120" s="61">
        <v>3</v>
      </c>
      <c r="D120" s="61"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53">
        <v>197</v>
      </c>
      <c r="C121" s="53"/>
      <c r="D121" s="5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Charme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f>53/1.56</f>
        <v>33.974358974358971</v>
      </c>
      <c r="C140" s="53"/>
      <c r="D140" s="61"/>
      <c r="E140" s="54"/>
      <c r="F140" s="54"/>
      <c r="G140" s="54"/>
      <c r="H140" s="64"/>
      <c r="I140" s="59">
        <f>IFERROR(B140/A140,"")</f>
        <v>2.2649572649572649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f>(89+10)/1.56</f>
        <v>63.46153846153846</v>
      </c>
      <c r="C141" s="53"/>
      <c r="D141" s="61"/>
      <c r="E141" s="64"/>
      <c r="F141" s="64"/>
      <c r="G141" s="64"/>
      <c r="H141" s="64"/>
      <c r="I141" s="59">
        <f t="shared" ref="I141:I159" si="5">IF(A141&lt;&gt;0,(B141-(B140-D140))/(A141-A140),"")</f>
        <v>5.8974358974358978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f>(123+10+14)/1.56</f>
        <v>94.230769230769226</v>
      </c>
      <c r="C142" s="53">
        <v>1</v>
      </c>
      <c r="D142" s="61">
        <f>(10+14+18)/1.56</f>
        <v>26.923076923076923</v>
      </c>
      <c r="E142" s="64"/>
      <c r="F142" s="64"/>
      <c r="G142" s="64"/>
      <c r="H142" s="64">
        <v>1</v>
      </c>
      <c r="I142" s="59">
        <f t="shared" si="5"/>
        <v>6.1538461538461533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1">
        <f>(154)/1.56</f>
        <v>98.717948717948715</v>
      </c>
      <c r="C143" s="53"/>
      <c r="D143" s="61"/>
      <c r="E143" s="64"/>
      <c r="F143" s="64"/>
      <c r="G143" s="64"/>
      <c r="H143" s="64"/>
      <c r="I143" s="59">
        <f t="shared" si="5"/>
        <v>6.2820512820512819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1">
        <f>(182+20)/1.56</f>
        <v>129.48717948717947</v>
      </c>
      <c r="C144" s="53">
        <v>2</v>
      </c>
      <c r="D144" s="61">
        <f>(20+21)/1.56</f>
        <v>26.282051282051281</v>
      </c>
      <c r="E144" s="64"/>
      <c r="F144" s="64"/>
      <c r="G144" s="64"/>
      <c r="H144" s="64"/>
      <c r="I144" s="59">
        <f t="shared" si="5"/>
        <v>6.1538461538461515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1">
        <f>(206)/1.56</f>
        <v>132.05128205128204</v>
      </c>
      <c r="C145" s="53"/>
      <c r="D145" s="61"/>
      <c r="E145" s="64"/>
      <c r="F145" s="64"/>
      <c r="G145" s="64"/>
      <c r="H145" s="64"/>
      <c r="I145" s="59">
        <f t="shared" si="5"/>
        <v>5.7692307692307709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1">
        <v>45</v>
      </c>
      <c r="B146" s="61">
        <f>(228+22)/1.56</f>
        <v>160.25641025641025</v>
      </c>
      <c r="C146" s="61">
        <v>3</v>
      </c>
      <c r="D146" s="61">
        <f>(22+22)/1.56</f>
        <v>28.205128205128204</v>
      </c>
      <c r="E146" s="64"/>
      <c r="F146" s="64"/>
      <c r="G146" s="64"/>
      <c r="H146" s="64"/>
      <c r="I146" s="59">
        <f t="shared" si="5"/>
        <v>5.6410256410256405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50</v>
      </c>
      <c r="B147" s="58">
        <f>(247)/1.56</f>
        <v>158.33333333333331</v>
      </c>
      <c r="C147" s="58"/>
      <c r="D147" s="58"/>
      <c r="E147" s="64"/>
      <c r="F147" s="64"/>
      <c r="G147" s="64"/>
      <c r="H147" s="64"/>
      <c r="I147" s="59">
        <f>IF(A147&lt;&gt;0,(B147-(B146-D146))/(A147-A146),"")</f>
        <v>5.2564102564102537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>
        <v>55</v>
      </c>
      <c r="B148" s="58">
        <f>(263+22)/1.56</f>
        <v>182.69230769230768</v>
      </c>
      <c r="C148" s="58">
        <v>4</v>
      </c>
      <c r="D148" s="58">
        <f>(22+22)/1.56</f>
        <v>28.205128205128204</v>
      </c>
      <c r="E148" s="64"/>
      <c r="F148" s="64"/>
      <c r="G148" s="64"/>
      <c r="H148" s="64"/>
      <c r="I148" s="59">
        <f t="shared" si="5"/>
        <v>4.8717948717948731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>
        <v>60</v>
      </c>
      <c r="B149" s="58">
        <f>(278)/1.56</f>
        <v>178.2051282051282</v>
      </c>
      <c r="C149" s="58"/>
      <c r="D149" s="58"/>
      <c r="E149" s="64"/>
      <c r="F149" s="64"/>
      <c r="G149" s="64"/>
      <c r="H149" s="64"/>
      <c r="I149" s="59">
        <f t="shared" si="5"/>
        <v>4.7435897435897463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>
        <v>65</v>
      </c>
      <c r="B150" s="58">
        <f>(291+22)/1.56</f>
        <v>200.64102564102564</v>
      </c>
      <c r="C150" s="58">
        <v>5</v>
      </c>
      <c r="D150" s="58">
        <f>(22+22)/1.56</f>
        <v>28.205128205128204</v>
      </c>
      <c r="E150" s="64"/>
      <c r="F150" s="64"/>
      <c r="G150" s="64"/>
      <c r="H150" s="64"/>
      <c r="I150" s="59">
        <f t="shared" si="5"/>
        <v>4.4871794871794863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>
        <v>70</v>
      </c>
      <c r="B151" s="58">
        <f>(303)/1.56</f>
        <v>194.23076923076923</v>
      </c>
      <c r="C151" s="58"/>
      <c r="D151" s="58"/>
      <c r="E151" s="64"/>
      <c r="F151" s="64"/>
      <c r="G151" s="64"/>
      <c r="H151" s="64"/>
      <c r="I151" s="59">
        <f t="shared" si="5"/>
        <v>4.3589743589743595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>
        <v>75</v>
      </c>
      <c r="B152" s="58">
        <f>(313+21)/1.56</f>
        <v>214.10256410256409</v>
      </c>
      <c r="C152" s="58">
        <v>6</v>
      </c>
      <c r="D152" s="58">
        <f>(21+21)/1.56</f>
        <v>26.923076923076923</v>
      </c>
      <c r="E152" s="65"/>
      <c r="F152" s="65"/>
      <c r="G152" s="65"/>
      <c r="H152" s="65"/>
      <c r="I152" s="59">
        <f t="shared" si="5"/>
        <v>3.9743589743589722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91">
        <v>80</v>
      </c>
      <c r="B153" s="61">
        <f>(322)/1.56</f>
        <v>206.41025641025641</v>
      </c>
      <c r="C153" s="91"/>
      <c r="D153" s="61"/>
      <c r="E153" s="57"/>
      <c r="F153" s="57"/>
      <c r="G153" s="57"/>
      <c r="H153" s="57"/>
      <c r="I153" s="59">
        <f t="shared" si="5"/>
        <v>3.8461538461538511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85</v>
      </c>
      <c r="B154" s="53">
        <f>(331+20)/1.56</f>
        <v>225</v>
      </c>
      <c r="C154" s="53">
        <v>7</v>
      </c>
      <c r="D154" s="53">
        <v>25.641025641025639</v>
      </c>
      <c r="E154" s="57"/>
      <c r="F154" s="57"/>
      <c r="G154" s="57"/>
      <c r="H154" s="57"/>
      <c r="I154" s="59">
        <f t="shared" si="5"/>
        <v>3.7179487179487181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90</v>
      </c>
      <c r="B155" s="53">
        <f>339/1.56</f>
        <v>217.30769230769229</v>
      </c>
      <c r="C155" s="53"/>
      <c r="D155" s="53"/>
      <c r="E155" s="57"/>
      <c r="F155" s="57"/>
      <c r="G155" s="57"/>
      <c r="H155" s="57"/>
      <c r="I155" s="59">
        <f t="shared" si="5"/>
        <v>3.5897435897435854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95</v>
      </c>
      <c r="B156" s="53">
        <f>(346+19)/1.56</f>
        <v>233.97435897435898</v>
      </c>
      <c r="C156" s="53">
        <v>8</v>
      </c>
      <c r="D156" s="53">
        <v>23.717948717948715</v>
      </c>
      <c r="E156" s="57"/>
      <c r="F156" s="57"/>
      <c r="G156" s="57"/>
      <c r="H156" s="57"/>
      <c r="I156" s="59">
        <f t="shared" si="5"/>
        <v>3.333333333333337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100</v>
      </c>
      <c r="B157" s="53">
        <f>353/1.56</f>
        <v>226.28205128205127</v>
      </c>
      <c r="C157" s="53"/>
      <c r="D157" s="53"/>
      <c r="E157" s="57"/>
      <c r="F157" s="57"/>
      <c r="G157" s="57"/>
      <c r="H157" s="57"/>
      <c r="I157" s="59">
        <f t="shared" si="5"/>
        <v>3.2051282051281986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110</v>
      </c>
      <c r="B158" s="53">
        <f>(366+17+18)/1.56</f>
        <v>257.05128205128204</v>
      </c>
      <c r="C158" s="53">
        <v>9</v>
      </c>
      <c r="D158" s="53">
        <f>(17+18+17)/1.56</f>
        <v>33.333333333333336</v>
      </c>
      <c r="E158" s="57"/>
      <c r="F158" s="57"/>
      <c r="G158" s="57"/>
      <c r="H158" s="57"/>
      <c r="I158" s="59">
        <f t="shared" si="5"/>
        <v>3.0769230769230775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120</v>
      </c>
      <c r="B159" s="53">
        <f>(376+16)/1.56</f>
        <v>251.28205128205127</v>
      </c>
      <c r="C159" s="53">
        <v>10</v>
      </c>
      <c r="D159" s="53">
        <f>(360+16)/1.56</f>
        <v>241.02564102564102</v>
      </c>
      <c r="E159" s="57"/>
      <c r="F159" s="57"/>
      <c r="G159" s="57"/>
      <c r="H159" s="57"/>
      <c r="I159" s="59">
        <f t="shared" si="5"/>
        <v>2.7564102564102568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61"/>
      <c r="D166" s="61"/>
      <c r="E166" s="54"/>
      <c r="F166" s="54"/>
      <c r="G166" s="54"/>
      <c r="H166" s="90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61"/>
      <c r="D167" s="61"/>
      <c r="E167" s="54"/>
      <c r="F167" s="54"/>
      <c r="G167" s="54"/>
      <c r="H167" s="90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61"/>
      <c r="D168" s="61"/>
      <c r="E168" s="90"/>
      <c r="F168" s="90"/>
      <c r="G168" s="90"/>
      <c r="H168" s="90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1"/>
      <c r="C169" s="61"/>
      <c r="D169" s="61"/>
      <c r="E169" s="90"/>
      <c r="F169" s="90"/>
      <c r="G169" s="90"/>
      <c r="H169" s="90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1"/>
      <c r="C170" s="61"/>
      <c r="D170" s="61"/>
      <c r="E170" s="90"/>
      <c r="F170" s="90"/>
      <c r="G170" s="90"/>
      <c r="H170" s="90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1"/>
      <c r="C171" s="61"/>
      <c r="D171" s="61"/>
      <c r="E171" s="90"/>
      <c r="F171" s="90"/>
      <c r="G171" s="90"/>
      <c r="H171" s="90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1"/>
      <c r="C172" s="61"/>
      <c r="D172" s="61"/>
      <c r="E172" s="90"/>
      <c r="F172" s="90"/>
      <c r="G172" s="90"/>
      <c r="H172" s="90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61"/>
      <c r="C173" s="61"/>
      <c r="D173" s="61"/>
      <c r="E173" s="90"/>
      <c r="F173" s="90"/>
      <c r="G173" s="90"/>
      <c r="H173" s="90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61"/>
      <c r="C174" s="61"/>
      <c r="D174" s="61"/>
      <c r="E174" s="90"/>
      <c r="F174" s="90"/>
      <c r="G174" s="90"/>
      <c r="H174" s="90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61"/>
      <c r="C175" s="61"/>
      <c r="D175" s="61"/>
      <c r="E175" s="90"/>
      <c r="F175" s="90"/>
      <c r="G175" s="90"/>
      <c r="H175" s="90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61"/>
      <c r="C176" s="61"/>
      <c r="D176" s="61"/>
      <c r="E176" s="90"/>
      <c r="F176" s="90"/>
      <c r="G176" s="90"/>
      <c r="H176" s="90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1"/>
      <c r="B231" s="61"/>
      <c r="C231" s="91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1"/>
      <c r="B257" s="61"/>
      <c r="C257" s="91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1"/>
      <c r="B283" s="61"/>
      <c r="C283" s="91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7" sqref="C2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5"/>
      <c r="B7" s="29" t="s">
        <v>295</v>
      </c>
      <c r="C7" s="106" t="s">
        <v>214</v>
      </c>
      <c r="D7" s="232"/>
      <c r="E7" s="107"/>
      <c r="F7" s="29" t="s">
        <v>295</v>
      </c>
      <c r="G7" s="106" t="s">
        <v>215</v>
      </c>
      <c r="H7" s="233"/>
      <c r="I7" s="233"/>
      <c r="J7" s="233"/>
      <c r="K7" s="233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3">
      <c r="A8" s="111">
        <v>1</v>
      </c>
      <c r="B8" s="62">
        <v>1</v>
      </c>
      <c r="C8" s="52" t="s">
        <v>177</v>
      </c>
      <c r="D8" s="25"/>
      <c r="E8" s="111">
        <v>4</v>
      </c>
      <c r="F8" s="62">
        <v>0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0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3"/>
      <c r="C13" s="104" t="s">
        <v>273</v>
      </c>
      <c r="D13" s="233"/>
      <c r="E13" s="105"/>
      <c r="F13" s="113"/>
      <c r="G13" s="104" t="s">
        <v>301</v>
      </c>
      <c r="H13" s="233"/>
      <c r="I13" s="233"/>
      <c r="J13" s="233"/>
      <c r="K13" s="233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3">
      <c r="A14" s="233"/>
      <c r="B14" s="113"/>
      <c r="C14" s="104" t="s">
        <v>309</v>
      </c>
      <c r="D14" s="233"/>
      <c r="E14" s="105"/>
      <c r="F14" s="113"/>
      <c r="G14" s="104" t="s">
        <v>294</v>
      </c>
      <c r="H14" s="233"/>
      <c r="I14" s="233"/>
      <c r="J14" s="233"/>
      <c r="K14" s="233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1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2">
        <f>SUM(B16:B18)</f>
        <v>1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sessile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Erable sycomore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Châtaignier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Chêne pédonculé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Charme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469.67944008675863</v>
      </c>
      <c r="T3" s="60">
        <f>IF('Données projet'!E9&gt;30,$R$33-$H$33,LOOKUP('Données projet'!$E$9,$A$3:$A$203,R3:R203)-LOOKUP('Données projet'!$E$9,$A$3:$A$203,$H$3:$H$203))</f>
        <v>266.11908070867173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323.1883858932618</v>
      </c>
      <c r="AO3" s="60">
        <f>IF('Données projet'!E10&gt;30,$AM$33-$H$33,LOOKUP('Données projet'!$E$10,$A$3:$A$203,AM3:AM203)-LOOKUP('Données projet'!$E$10,$A$3:$A$203,$H$3:$H$203))</f>
        <v>313.39536932399085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302.52480941204414</v>
      </c>
      <c r="BJ3" s="60">
        <f>IF('Données projet'!E11&gt;30,$BH$33-$H$33,LOOKUP('Données projet'!$E$11,$A$3:$A$203,BH3:BH203)-LOOKUP('Données projet'!$E$11,$A$3:$A$203,$H$3:$H$203))</f>
        <v>293.66452856196088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442.98179778678298</v>
      </c>
      <c r="CE3" s="60">
        <f>IF('Données projet'!E12&gt;30,$CC$33-$H$33,LOOKUP('Données projet'!$E$12,$A$3:$A$203,CC3:CC203)-LOOKUP('Données projet'!$E$12,$A$3:$A$203,$H$3:$H$203))</f>
        <v>251.96153561746942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388.53310909800695</v>
      </c>
      <c r="CZ3" s="60">
        <f>IF('Données projet'!E13&gt;30,$CX$33-$H$33,LOOKUP('Données projet'!$E$13,$A$3:$A$203,CX3:CX203)-LOOKUP('Données projet'!$E$13,$A$3:$A$203,$H$3:$H$203))</f>
        <v>263.82153161042811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170.57875918674947</v>
      </c>
      <c r="S4" s="60">
        <f ca="1">AVERAGE(OFFSET($R$3,0,0,'Données projet'!$E$9+1,1))-AVERAGE(OFFSET($H$3,0,0,'Données projet'!$E$9+1,1))</f>
        <v>469.67944008675863</v>
      </c>
      <c r="T4" s="60">
        <f>$T$3</f>
        <v>266.11908070867173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2.4666666666666668</v>
      </c>
      <c r="AI4" s="14">
        <f>IF('Données projet'!$A$62&gt;35,AI3+AH4-AQ3,IF(A4&lt;'Données projet'!$A$62,$AF$205^A4,IF(A4='Données projet'!$A$62,'Données projet'!$B$62,AI3+AH4-AQ3)))</f>
        <v>1.2721747796233518</v>
      </c>
      <c r="AJ4" s="14">
        <f>AI4*VLOOKUP('Données projet'!$B$10,Paramètres!$A$1:$I$89,3,0)*VLOOKUP('Données projet'!$B$10,Paramètres!$A$1:$I$89,5,0)</f>
        <v>1.0121422546683387</v>
      </c>
      <c r="AK4" s="14">
        <f>EXP(-1.0587+0.8836*LN(AJ4)+0.284)</f>
        <v>0.46578286063395047</v>
      </c>
      <c r="AL4" s="22">
        <f t="shared" ref="AL4:AL67" si="4">(AJ4+AK4)*0.475*44/12</f>
        <v>2.574052909151487</v>
      </c>
      <c r="AM4" s="60">
        <f t="shared" ref="AM4:AM67" si="5">AL4+(AD4+AE4)*44/12</f>
        <v>170.38648686207532</v>
      </c>
      <c r="AN4" s="60">
        <f ca="1">AVERAGE(OFFSET($AM$3,0,0,'Données projet'!$E$10+1,1))-AVERAGE(OFFSET($H$3,0,0,'Données projet'!$E$10+1,1))</f>
        <v>323.1883858932618</v>
      </c>
      <c r="AO4" s="60">
        <f>$AO$3</f>
        <v>313.39536932399085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0.9327585484198414</v>
      </c>
      <c r="BF4" s="14">
        <f>EXP(-1.0587+0.8836*LN(BE4)+0.284)</f>
        <v>0.43335135961225768</v>
      </c>
      <c r="BG4" s="22">
        <f t="shared" ref="BG4:BG67" si="7">(BE4+BF4)*0.475*44/12</f>
        <v>2.3793080898225729</v>
      </c>
      <c r="BH4" s="60">
        <f t="shared" ref="BH4:BH67" si="8">BG4+(AY4+AZ4)*44/12</f>
        <v>170.19174204274643</v>
      </c>
      <c r="BI4" s="60">
        <f ca="1">AVERAGE(OFFSET($BH$3,0,0,'Données projet'!$E$11+1,1))-AVERAGE(OFFSET($H$3,0,0,'Données projet'!$E$11+1,1))</f>
        <v>302.52480941204414</v>
      </c>
      <c r="BJ4" s="60">
        <f>$BJ$3</f>
        <v>293.66452856196088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1.0155020926567102</v>
      </c>
      <c r="CA4" s="14">
        <f>EXP(-1.0587+0.8836*LN(BZ4)+0.284)</f>
        <v>0.46714880239274614</v>
      </c>
      <c r="CB4" s="22">
        <f t="shared" ref="CB4:CB67" si="10">(BZ4+CA4)*0.475*44/12</f>
        <v>2.5822836422111366</v>
      </c>
      <c r="CC4" s="60">
        <f t="shared" ref="CC4:CC67" si="11">CB4+(BT4+BU4)*44/12</f>
        <v>170.39471759513498</v>
      </c>
      <c r="CD4" s="60">
        <f ca="1">AVERAGE(OFFSET($CC$3,0,0,'Données projet'!$E$12+1,1))-AVERAGE(OFFSET($H$3,0,0,'Données projet'!$E$12+1,1))</f>
        <v>442.98179778678298</v>
      </c>
      <c r="CE4" s="60">
        <f>$CE$3</f>
        <v>251.96153561746942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2.2649572649572649</v>
      </c>
      <c r="CT4" s="13">
        <f>IF('Données projet'!$A$140&gt;35,CT3+CS4-DB3,IF(A4&lt;'Données projet'!$A$140,$CQ$205^A4,IF(A4='Données projet'!$A$140,'Données projet'!$B$140,CT3+CS4-DB3)))</f>
        <v>1.2649598798623627</v>
      </c>
      <c r="CU4" s="18">
        <f>CT4*VLOOKUP('Données projet'!$B$13,Paramètres!$A$1:$I$89,3,0)*VLOOKUP('Données projet'!$B$13,Paramètres!$A$1:$I$89,5,0)</f>
        <v>1.2037358216770244</v>
      </c>
      <c r="CV4" s="14">
        <f>EXP(-1.0587+0.8836*LN(CU4)+0.284)</f>
        <v>0.54288697199953284</v>
      </c>
      <c r="CW4" s="22">
        <f t="shared" ref="CW4:CW67" si="13">(CU4+CV4)*0.475*44/12</f>
        <v>3.0420346989866704</v>
      </c>
      <c r="CX4" s="60">
        <f t="shared" ref="CX4:CX67" si="14">CW4+(CO4+CP4)*44/12</f>
        <v>170.85446865191051</v>
      </c>
      <c r="CY4" s="60">
        <f ca="1">AVERAGE(OFFSET($CX$3,0,0,'Données projet'!$E$13+1,1))-AVERAGE(OFFSET($H$3,0,0,'Données projet'!$E$13+1,1))</f>
        <v>388.53310909800695</v>
      </c>
      <c r="CZ4" s="60">
        <f>$CZ$3</f>
        <v>263.82153161042811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173.90956899732174</v>
      </c>
      <c r="S5" s="60">
        <f ca="1">AVERAGE(OFFSET($R$3,0,0,'Données projet'!$E$9+1,1))-AVERAGE(OFFSET($H$3,0,0,'Données projet'!$E$9+1,1))</f>
        <v>469.67944008675863</v>
      </c>
      <c r="T5" s="60">
        <f t="shared" ref="T5:T68" si="34">$T$3</f>
        <v>266.11908070867173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2.4666666666666668</v>
      </c>
      <c r="AI5" s="14">
        <f>IF('Données projet'!$A$62&gt;35,AI4+AH5-AQ4,IF(A5&lt;'Données projet'!$A$62,$AF$205^A5,IF(A5='Données projet'!$A$62,'Données projet'!$B$62,AI4+AH5-AQ4)))</f>
        <v>1.6184286699097237</v>
      </c>
      <c r="AJ5" s="14">
        <f>AI5*VLOOKUP('Données projet'!$B$10,Paramètres!$A$1:$I$89,3,0)*VLOOKUP('Données projet'!$B$10,Paramètres!$A$1:$I$89,5,0)</f>
        <v>1.2876218497801761</v>
      </c>
      <c r="AK5" s="14">
        <f t="shared" ref="AK5:AK68" si="35">EXP(-1.0587+0.8836*LN(AJ5)+0.284)</f>
        <v>0.57618379541883336</v>
      </c>
      <c r="AL5" s="22">
        <f t="shared" si="4"/>
        <v>3.2461281653882743</v>
      </c>
      <c r="AM5" s="60">
        <f t="shared" si="5"/>
        <v>173.84340945288912</v>
      </c>
      <c r="AN5" s="60">
        <f ca="1">AVERAGE(OFFSET($AM$3,0,0,'Données projet'!$E$10+1,1))-AVERAGE(OFFSET($H$3,0,0,'Données projet'!$E$10+1,1))</f>
        <v>323.1883858932618</v>
      </c>
      <c r="AO5" s="60">
        <f t="shared" ref="AO5:AO68" si="36">$AO$3</f>
        <v>313.39536932399085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1.1866319007778094</v>
      </c>
      <c r="BF5" s="14">
        <f t="shared" ref="BF5:BF68" si="37">EXP(-1.0587+0.8836*LN(BE5)+0.284)</f>
        <v>0.53606530474621483</v>
      </c>
      <c r="BG5" s="22">
        <f t="shared" si="7"/>
        <v>3.0003642996210083</v>
      </c>
      <c r="BH5" s="60">
        <f t="shared" si="8"/>
        <v>173.59764558712183</v>
      </c>
      <c r="BI5" s="60">
        <f ca="1">AVERAGE(OFFSET($BH$3,0,0,'Données projet'!$E$11+1,1))-AVERAGE(OFFSET($H$3,0,0,'Données projet'!$E$11+1,1))</f>
        <v>302.52480941204414</v>
      </c>
      <c r="BJ5" s="60">
        <f t="shared" ref="BJ5:BJ68" si="38">$BJ$3</f>
        <v>293.66452856196088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1.2241743829417828</v>
      </c>
      <c r="CA5" s="14">
        <f t="shared" ref="CA5:CA68" si="39">EXP(-1.0587+0.8836*LN(BZ5)+0.284)</f>
        <v>0.55102384568700224</v>
      </c>
      <c r="CB5" s="22">
        <f t="shared" si="10"/>
        <v>3.0918035815284672</v>
      </c>
      <c r="CC5" s="60">
        <f t="shared" si="11"/>
        <v>173.6890848690293</v>
      </c>
      <c r="CD5" s="60">
        <f ca="1">AVERAGE(OFFSET($CC$3,0,0,'Données projet'!$E$12+1,1))-AVERAGE(OFFSET($H$3,0,0,'Données projet'!$E$12+1,1))</f>
        <v>442.98179778678298</v>
      </c>
      <c r="CE5" s="60">
        <f t="shared" ref="CE5:CE68" si="40">$CE$3</f>
        <v>251.96153561746942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2.2649572649572649</v>
      </c>
      <c r="CT5" s="13">
        <f>IF('Données projet'!$A$140&gt;35,CT4+CS5-DB4,IF(A5&lt;'Données projet'!$A$140,$CQ$205^A5,IF(A5='Données projet'!$A$140,'Données projet'!$B$140,CT4+CS5-DB4)))</f>
        <v>1.6001234976614032</v>
      </c>
      <c r="CU5" s="18">
        <f>CT5*VLOOKUP('Données projet'!$B$13,Paramètres!$A$1:$I$89,3,0)*VLOOKUP('Données projet'!$B$13,Paramètres!$A$1:$I$89,5,0)</f>
        <v>1.5226775203745913</v>
      </c>
      <c r="CV5" s="14">
        <f t="shared" ref="CV5:CV68" si="41">EXP(-1.0587+0.8836*LN(CU5)+0.284)</f>
        <v>0.66819687050841592</v>
      </c>
      <c r="CW5" s="22">
        <f t="shared" si="13"/>
        <v>3.8157728974545706</v>
      </c>
      <c r="CX5" s="60">
        <f t="shared" si="14"/>
        <v>174.4130541849554</v>
      </c>
      <c r="CY5" s="60">
        <f ca="1">AVERAGE(OFFSET($CX$3,0,0,'Données projet'!$E$13+1,1))-AVERAGE(OFFSET($H$3,0,0,'Données projet'!$E$13+1,1))</f>
        <v>388.53310909800695</v>
      </c>
      <c r="CZ5" s="60">
        <f t="shared" ref="CZ5:CZ68" si="42">$CZ$3</f>
        <v>263.82153161042811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177.32142247633229</v>
      </c>
      <c r="S6" s="60">
        <f ca="1">AVERAGE(OFFSET($R$3,0,0,'Données projet'!$E$9+1,1))-AVERAGE(OFFSET($H$3,0,0,'Données projet'!$E$9+1,1))</f>
        <v>469.67944008675863</v>
      </c>
      <c r="T6" s="60">
        <f t="shared" si="34"/>
        <v>266.11908070867173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2.4666666666666668</v>
      </c>
      <c r="AI6" s="14">
        <f>IF('Données projet'!$A$62&gt;35,AI5+AH6-AQ5,IF(A6&lt;'Données projet'!$A$62,$AF$205^A6,IF(A6='Données projet'!$A$62,'Données projet'!$B$62,AI5+AH6-AQ5)))</f>
        <v>2.0589241364785171</v>
      </c>
      <c r="AJ6" s="14">
        <f>AI6*VLOOKUP('Données projet'!$B$10,Paramètres!$A$1:$I$89,3,0)*VLOOKUP('Données projet'!$B$10,Paramètres!$A$1:$I$89,5,0)</f>
        <v>1.6380800429823084</v>
      </c>
      <c r="AK6" s="14">
        <f t="shared" si="35"/>
        <v>0.71275221602487127</v>
      </c>
      <c r="AL6" s="22">
        <f t="shared" si="4"/>
        <v>4.0943661844375043</v>
      </c>
      <c r="AM6" s="60">
        <f t="shared" si="5"/>
        <v>177.4493867543224</v>
      </c>
      <c r="AN6" s="60">
        <f ca="1">AVERAGE(OFFSET($AM$3,0,0,'Données projet'!$E$10+1,1))-AVERAGE(OFFSET($H$3,0,0,'Données projet'!$E$10+1,1))</f>
        <v>323.1883858932618</v>
      </c>
      <c r="AO6" s="60">
        <f t="shared" si="36"/>
        <v>313.39536932399085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1.5096031768660487</v>
      </c>
      <c r="BF6" s="14">
        <f t="shared" si="37"/>
        <v>0.66312474757151718</v>
      </c>
      <c r="BG6" s="22">
        <f t="shared" si="7"/>
        <v>3.7841678017287599</v>
      </c>
      <c r="BH6" s="60">
        <f t="shared" si="8"/>
        <v>177.13918837161364</v>
      </c>
      <c r="BI6" s="60">
        <f ca="1">AVERAGE(OFFSET($BH$3,0,0,'Données projet'!$E$11+1,1))-AVERAGE(OFFSET($H$3,0,0,'Données projet'!$E$11+1,1))</f>
        <v>302.52480941204414</v>
      </c>
      <c r="BJ6" s="60">
        <f t="shared" si="38"/>
        <v>293.66452856196088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1.4757260774621526</v>
      </c>
      <c r="CA6" s="14">
        <f t="shared" si="39"/>
        <v>0.64995837934402878</v>
      </c>
      <c r="CB6" s="22">
        <f t="shared" si="10"/>
        <v>3.7022337622707653</v>
      </c>
      <c r="CC6" s="60">
        <f t="shared" si="11"/>
        <v>177.05725433215565</v>
      </c>
      <c r="CD6" s="60">
        <f ca="1">AVERAGE(OFFSET($CC$3,0,0,'Données projet'!$E$12+1,1))-AVERAGE(OFFSET($H$3,0,0,'Données projet'!$E$12+1,1))</f>
        <v>442.98179778678298</v>
      </c>
      <c r="CE6" s="60">
        <f t="shared" si="40"/>
        <v>251.96153561746942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2.2649572649572649</v>
      </c>
      <c r="CT6" s="13">
        <f>IF('Données projet'!$A$140&gt;35,CT5+CS6-DB5,IF(A6&lt;'Données projet'!$A$140,$CQ$205^A6,IF(A6='Données projet'!$A$140,'Données projet'!$B$140,CT5+CS6-DB5)))</f>
        <v>2.024092027366712</v>
      </c>
      <c r="CU6" s="18">
        <f>CT6*VLOOKUP('Données projet'!$B$13,Paramètres!$A$1:$I$89,3,0)*VLOOKUP('Données projet'!$B$13,Paramètres!$A$1:$I$89,5,0)</f>
        <v>1.9261259732421634</v>
      </c>
      <c r="CV6" s="14">
        <f t="shared" si="41"/>
        <v>0.8224309677441014</v>
      </c>
      <c r="CW6" s="22">
        <f t="shared" si="13"/>
        <v>4.7870700055510769</v>
      </c>
      <c r="CX6" s="60">
        <f t="shared" si="14"/>
        <v>178.14209057543596</v>
      </c>
      <c r="CY6" s="60">
        <f ca="1">AVERAGE(OFFSET($CX$3,0,0,'Données projet'!$E$13+1,1))-AVERAGE(OFFSET($H$3,0,0,'Données projet'!$E$13+1,1))</f>
        <v>388.53310909800695</v>
      </c>
      <c r="CZ6" s="60">
        <f t="shared" si="42"/>
        <v>263.82153161042811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180.83628892348293</v>
      </c>
      <c r="S7" s="60">
        <f ca="1">AVERAGE(OFFSET($R$3,0,0,'Données projet'!$E$9+1,1))-AVERAGE(OFFSET($H$3,0,0,'Données projet'!$E$9+1,1))</f>
        <v>469.67944008675863</v>
      </c>
      <c r="T7" s="60">
        <f t="shared" si="34"/>
        <v>266.11908070867173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2.4666666666666668</v>
      </c>
      <c r="AI7" s="14">
        <f>IF('Données projet'!$A$62&gt;35,AI6+AH7-AQ6,IF(A7&lt;'Données projet'!$A$62,$AF$205^A7,IF(A7='Données projet'!$A$62,'Données projet'!$B$62,AI6+AH7-AQ6)))</f>
        <v>2.6193113595857573</v>
      </c>
      <c r="AJ7" s="14">
        <f>AI7*VLOOKUP('Données projet'!$B$10,Paramètres!$A$1:$I$89,3,0)*VLOOKUP('Données projet'!$B$10,Paramètres!$A$1:$I$89,5,0)</f>
        <v>2.0839241176864287</v>
      </c>
      <c r="AK7" s="14">
        <f t="shared" si="35"/>
        <v>0.88169040068036508</v>
      </c>
      <c r="AL7" s="22">
        <f t="shared" si="4"/>
        <v>5.1651119528221656</v>
      </c>
      <c r="AM7" s="60">
        <f t="shared" si="5"/>
        <v>181.25123401699912</v>
      </c>
      <c r="AN7" s="60">
        <f ca="1">AVERAGE(OFFSET($AM$3,0,0,'Données projet'!$E$10+1,1))-AVERAGE(OFFSET($H$3,0,0,'Données projet'!$E$10+1,1))</f>
        <v>323.1883858932618</v>
      </c>
      <c r="AO7" s="60">
        <f t="shared" si="36"/>
        <v>313.39536932399085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1.9204790888482772</v>
      </c>
      <c r="BF7" s="14">
        <f t="shared" si="37"/>
        <v>0.82030011446080875</v>
      </c>
      <c r="BG7" s="22">
        <f t="shared" si="7"/>
        <v>4.7735237790966574</v>
      </c>
      <c r="BH7" s="60">
        <f t="shared" si="8"/>
        <v>180.8596458432736</v>
      </c>
      <c r="BI7" s="60">
        <f ca="1">AVERAGE(OFFSET($BH$3,0,0,'Données projet'!$E$11+1,1))-AVERAGE(OFFSET($H$3,0,0,'Données projet'!$E$11+1,1))</f>
        <v>302.52480941204414</v>
      </c>
      <c r="BJ7" s="60">
        <f t="shared" si="38"/>
        <v>293.66452856196088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1.7789683284079942</v>
      </c>
      <c r="CA7" s="14">
        <f t="shared" si="39"/>
        <v>0.76665628572357314</v>
      </c>
      <c r="CB7" s="22">
        <f t="shared" si="10"/>
        <v>4.4336295362791462</v>
      </c>
      <c r="CC7" s="60">
        <f t="shared" si="11"/>
        <v>180.51975160045609</v>
      </c>
      <c r="CD7" s="60">
        <f ca="1">AVERAGE(OFFSET($CC$3,0,0,'Données projet'!$E$12+1,1))-AVERAGE(OFFSET($H$3,0,0,'Données projet'!$E$12+1,1))</f>
        <v>442.98179778678298</v>
      </c>
      <c r="CE7" s="60">
        <f t="shared" si="40"/>
        <v>251.96153561746942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2.2649572649572649</v>
      </c>
      <c r="CT7" s="13">
        <f>IF('Données projet'!$A$140&gt;35,CT6+CS7-DB6,IF(A7&lt;'Données projet'!$A$140,$CQ$205^A7,IF(A7='Données projet'!$A$140,'Données projet'!$B$140,CT6+CS7-DB6)))</f>
        <v>2.5603952077681624</v>
      </c>
      <c r="CU7" s="18">
        <f>CT7*VLOOKUP('Données projet'!$B$13,Paramètres!$A$1:$I$89,3,0)*VLOOKUP('Données projet'!$B$13,Paramètres!$A$1:$I$89,5,0)</f>
        <v>2.4364720797121833</v>
      </c>
      <c r="CV7" s="14">
        <f t="shared" si="41"/>
        <v>1.0122655860238423</v>
      </c>
      <c r="CW7" s="22">
        <f t="shared" si="13"/>
        <v>6.0065514344902446</v>
      </c>
      <c r="CX7" s="60">
        <f t="shared" si="14"/>
        <v>182.09267349866718</v>
      </c>
      <c r="CY7" s="60">
        <f ca="1">AVERAGE(OFFSET($CX$3,0,0,'Données projet'!$E$13+1,1))-AVERAGE(OFFSET($H$3,0,0,'Données projet'!$E$13+1,1))</f>
        <v>388.53310909800695</v>
      </c>
      <c r="CZ7" s="60">
        <f t="shared" si="42"/>
        <v>263.82153161042811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184.48041712822103</v>
      </c>
      <c r="S8" s="60">
        <f ca="1">AVERAGE(OFFSET($R$3,0,0,'Données projet'!$E$9+1,1))-AVERAGE(OFFSET($H$3,0,0,'Données projet'!$E$9+1,1))</f>
        <v>469.67944008675863</v>
      </c>
      <c r="T8" s="60">
        <f t="shared" si="34"/>
        <v>266.11908070867173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2.4666666666666668</v>
      </c>
      <c r="AI8" s="14">
        <f>IF('Données projet'!$A$62&gt;35,AI7+AH8-AQ7,IF(A8&lt;'Données projet'!$A$62,$AF$205^A8,IF(A8='Données projet'!$A$62,'Données projet'!$B$62,AI7+AH8-AQ7)))</f>
        <v>3.332221851645953</v>
      </c>
      <c r="AJ8" s="14">
        <f>AI8*VLOOKUP('Données projet'!$B$10,Paramètres!$A$1:$I$89,3,0)*VLOOKUP('Données projet'!$B$10,Paramètres!$A$1:$I$89,5,0)</f>
        <v>2.6511157051695204</v>
      </c>
      <c r="AK8" s="14">
        <f t="shared" si="35"/>
        <v>1.0906707059957799</v>
      </c>
      <c r="AL8" s="22">
        <f t="shared" si="4"/>
        <v>6.5169446661128978</v>
      </c>
      <c r="AM8" s="60">
        <f t="shared" si="5"/>
        <v>185.30799254256024</v>
      </c>
      <c r="AN8" s="60">
        <f ca="1">AVERAGE(OFFSET($AM$3,0,0,'Données projet'!$E$10+1,1))-AVERAGE(OFFSET($H$3,0,0,'Données projet'!$E$10+1,1))</f>
        <v>323.1883858932618</v>
      </c>
      <c r="AO8" s="60">
        <f t="shared" si="36"/>
        <v>313.39536932399085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2.4431850616268127</v>
      </c>
      <c r="BF8" s="14">
        <f t="shared" si="37"/>
        <v>1.0147295516396715</v>
      </c>
      <c r="BG8" s="22">
        <f t="shared" si="7"/>
        <v>6.0225346181057935</v>
      </c>
      <c r="BH8" s="60">
        <f t="shared" si="8"/>
        <v>184.81358249455315</v>
      </c>
      <c r="BI8" s="60">
        <f ca="1">AVERAGE(OFFSET($BH$3,0,0,'Données projet'!$E$11+1,1))-AVERAGE(OFFSET($H$3,0,0,'Données projet'!$E$11+1,1))</f>
        <v>302.52480941204414</v>
      </c>
      <c r="BJ8" s="60">
        <f t="shared" si="38"/>
        <v>293.66452856196088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2.1445228635663907</v>
      </c>
      <c r="CA8" s="14">
        <f t="shared" si="39"/>
        <v>0.90430692044106609</v>
      </c>
      <c r="CB8" s="22">
        <f t="shared" si="10"/>
        <v>5.3100452071463202</v>
      </c>
      <c r="CC8" s="60">
        <f t="shared" si="11"/>
        <v>184.10109308359367</v>
      </c>
      <c r="CD8" s="60">
        <f ca="1">AVERAGE(OFFSET($CC$3,0,0,'Données projet'!$E$12+1,1))-AVERAGE(OFFSET($H$3,0,0,'Données projet'!$E$12+1,1))</f>
        <v>442.98179778678298</v>
      </c>
      <c r="CE8" s="60">
        <f t="shared" si="40"/>
        <v>251.96153561746942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2.2649572649572649</v>
      </c>
      <c r="CT8" s="13">
        <f>IF('Données projet'!$A$140&gt;35,CT7+CS8-DB7,IF(A8&lt;'Données projet'!$A$140,$CQ$205^A8,IF(A8='Données projet'!$A$140,'Données projet'!$B$140,CT7+CS8-DB7)))</f>
        <v>3.2387972144185837</v>
      </c>
      <c r="CU8" s="18">
        <f>CT8*VLOOKUP('Données projet'!$B$13,Paramètres!$A$1:$I$89,3,0)*VLOOKUP('Données projet'!$B$13,Paramètres!$A$1:$I$89,5,0)</f>
        <v>3.0820394292407243</v>
      </c>
      <c r="CV8" s="14">
        <f t="shared" si="41"/>
        <v>1.2459180853304419</v>
      </c>
      <c r="CW8" s="22">
        <f t="shared" si="13"/>
        <v>7.5378593378781131</v>
      </c>
      <c r="CX8" s="60">
        <f t="shared" si="14"/>
        <v>186.32890721432545</v>
      </c>
      <c r="CY8" s="60">
        <f ca="1">AVERAGE(OFFSET($CX$3,0,0,'Données projet'!$E$13+1,1))-AVERAGE(OFFSET($H$3,0,0,'Données projet'!$E$13+1,1))</f>
        <v>388.53310909800695</v>
      </c>
      <c r="CZ8" s="60">
        <f t="shared" si="42"/>
        <v>263.82153161042811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188.28519320362309</v>
      </c>
      <c r="S9" s="60">
        <f ca="1">AVERAGE(OFFSET($R$3,0,0,'Données projet'!$E$9+1,1))-AVERAGE(OFFSET($H$3,0,0,'Données projet'!$E$9+1,1))</f>
        <v>469.67944008675863</v>
      </c>
      <c r="T9" s="60">
        <f t="shared" si="34"/>
        <v>266.11908070867173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2.4666666666666668</v>
      </c>
      <c r="AI9" s="14">
        <f>IF('Données projet'!$A$62&gt;35,AI8+AH9-AQ8,IF(A9&lt;'Données projet'!$A$62,$AF$205^A9,IF(A9='Données projet'!$A$62,'Données projet'!$B$62,AI8+AH9-AQ8)))</f>
        <v>4.2391685997738069</v>
      </c>
      <c r="AJ9" s="14">
        <f>AI9*VLOOKUP('Données projet'!$B$10,Paramètres!$A$1:$I$89,3,0)*VLOOKUP('Données projet'!$B$10,Paramètres!$A$1:$I$89,5,0)</f>
        <v>3.3726825379800407</v>
      </c>
      <c r="AK9" s="14">
        <f t="shared" si="35"/>
        <v>1.3491840083541735</v>
      </c>
      <c r="AL9" s="22">
        <f t="shared" si="4"/>
        <v>8.2239175681987557</v>
      </c>
      <c r="AM9" s="60">
        <f t="shared" si="5"/>
        <v>189.69416966445772</v>
      </c>
      <c r="AN9" s="60">
        <f ca="1">AVERAGE(OFFSET($AM$3,0,0,'Données projet'!$E$10+1,1))-AVERAGE(OFFSET($H$3,0,0,'Données projet'!$E$10+1,1))</f>
        <v>323.1883858932618</v>
      </c>
      <c r="AO9" s="60">
        <f t="shared" si="36"/>
        <v>313.39536932399085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3.1081584173541552</v>
      </c>
      <c r="BF9" s="14">
        <f t="shared" si="37"/>
        <v>1.2552431053208675</v>
      </c>
      <c r="BG9" s="22">
        <f t="shared" si="7"/>
        <v>7.5995909853256647</v>
      </c>
      <c r="BH9" s="60">
        <f t="shared" si="8"/>
        <v>189.06984308158465</v>
      </c>
      <c r="BI9" s="60">
        <f ca="1">AVERAGE(OFFSET($BH$3,0,0,'Données projet'!$E$11+1,1))-AVERAGE(OFFSET($H$3,0,0,'Données projet'!$E$11+1,1))</f>
        <v>302.52480941204414</v>
      </c>
      <c r="BJ9" s="60">
        <f t="shared" si="38"/>
        <v>293.66452856196088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2.5851940357334171</v>
      </c>
      <c r="CA9" s="14">
        <f t="shared" si="39"/>
        <v>1.0666722775067177</v>
      </c>
      <c r="CB9" s="22">
        <f t="shared" si="10"/>
        <v>6.3603338288932347</v>
      </c>
      <c r="CC9" s="60">
        <f t="shared" si="11"/>
        <v>187.83058592515221</v>
      </c>
      <c r="CD9" s="60">
        <f ca="1">AVERAGE(OFFSET($CC$3,0,0,'Données projet'!$E$12+1,1))-AVERAGE(OFFSET($H$3,0,0,'Données projet'!$E$12+1,1))</f>
        <v>442.98179778678298</v>
      </c>
      <c r="CE9" s="60">
        <f t="shared" si="40"/>
        <v>251.96153561746942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2.2649572649572649</v>
      </c>
      <c r="CT9" s="13">
        <f>IF('Données projet'!$A$140&gt;35,CT8+CS9-DB8,IF(A9&lt;'Données projet'!$A$140,$CQ$205^A9,IF(A9='Données projet'!$A$140,'Données projet'!$B$140,CT8+CS9-DB8)))</f>
        <v>4.0969485352494868</v>
      </c>
      <c r="CU9" s="18">
        <f>CT9*VLOOKUP('Données projet'!$B$13,Paramètres!$A$1:$I$89,3,0)*VLOOKUP('Données projet'!$B$13,Paramètres!$A$1:$I$89,5,0)</f>
        <v>3.8986562261434119</v>
      </c>
      <c r="CV9" s="14">
        <f t="shared" si="41"/>
        <v>1.5335025676916687</v>
      </c>
      <c r="CW9" s="22">
        <f t="shared" si="13"/>
        <v>9.4610098992627645</v>
      </c>
      <c r="CX9" s="60">
        <f t="shared" si="14"/>
        <v>190.93126199552174</v>
      </c>
      <c r="CY9" s="60">
        <f ca="1">AVERAGE(OFFSET($CX$3,0,0,'Données projet'!$E$13+1,1))-AVERAGE(OFFSET($H$3,0,0,'Données projet'!$E$13+1,1))</f>
        <v>388.53310909800695</v>
      </c>
      <c r="CZ9" s="60">
        <f t="shared" si="42"/>
        <v>263.82153161042811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192.28817046759474</v>
      </c>
      <c r="S10" s="60">
        <f ca="1">AVERAGE(OFFSET($R$3,0,0,'Données projet'!$E$9+1,1))-AVERAGE(OFFSET($H$3,0,0,'Données projet'!$E$9+1,1))</f>
        <v>469.67944008675863</v>
      </c>
      <c r="T10" s="60">
        <f t="shared" si="34"/>
        <v>266.11908070867173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2.4666666666666668</v>
      </c>
      <c r="AI10" s="14">
        <f>IF('Données projet'!$A$62&gt;35,AI9+AH10-AQ9,IF(A10&lt;'Données projet'!$A$62,$AF$205^A10,IF(A10='Données projet'!$A$62,'Données projet'!$B$62,AI9+AH10-AQ9)))</f>
        <v>5.3929633792034757</v>
      </c>
      <c r="AJ10" s="14">
        <f>AI10*VLOOKUP('Données projet'!$B$10,Paramètres!$A$1:$I$89,3,0)*VLOOKUP('Données projet'!$B$10,Paramètres!$A$1:$I$89,5,0)</f>
        <v>4.2906416644942853</v>
      </c>
      <c r="AK10" s="14">
        <f t="shared" si="35"/>
        <v>1.6689707336887791</v>
      </c>
      <c r="AL10" s="22">
        <f t="shared" si="4"/>
        <v>10.379658260168837</v>
      </c>
      <c r="AM10" s="60">
        <f t="shared" si="5"/>
        <v>194.50383919590507</v>
      </c>
      <c r="AN10" s="60">
        <f ca="1">AVERAGE(OFFSET($AM$3,0,0,'Données projet'!$E$10+1,1))-AVERAGE(OFFSET($H$3,0,0,'Données projet'!$E$10+1,1))</f>
        <v>323.1883858932618</v>
      </c>
      <c r="AO10" s="60">
        <f t="shared" si="36"/>
        <v>313.39536932399085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3.9541207496319881</v>
      </c>
      <c r="BF10" s="14">
        <f t="shared" si="37"/>
        <v>1.5527637397664751</v>
      </c>
      <c r="BG10" s="22">
        <f t="shared" si="7"/>
        <v>9.5911571523689911</v>
      </c>
      <c r="BH10" s="60">
        <f t="shared" si="8"/>
        <v>193.71533808810523</v>
      </c>
      <c r="BI10" s="60">
        <f ca="1">AVERAGE(OFFSET($BH$3,0,0,'Données projet'!$E$11+1,1))-AVERAGE(OFFSET($H$3,0,0,'Données projet'!$E$11+1,1))</f>
        <v>302.52480941204414</v>
      </c>
      <c r="BJ10" s="60">
        <f t="shared" si="38"/>
        <v>293.66452856196088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3.1164173233748005</v>
      </c>
      <c r="CA10" s="14">
        <f t="shared" si="39"/>
        <v>1.2581898046809412</v>
      </c>
      <c r="CB10" s="22">
        <f t="shared" si="10"/>
        <v>7.6191074146970825</v>
      </c>
      <c r="CC10" s="60">
        <f t="shared" si="11"/>
        <v>191.74328835043332</v>
      </c>
      <c r="CD10" s="60">
        <f ca="1">AVERAGE(OFFSET($CC$3,0,0,'Données projet'!$E$12+1,1))-AVERAGE(OFFSET($H$3,0,0,'Données projet'!$E$12+1,1))</f>
        <v>442.98179778678298</v>
      </c>
      <c r="CE10" s="60">
        <f t="shared" si="40"/>
        <v>251.96153561746942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2.2649572649572649</v>
      </c>
      <c r="CT10" s="13">
        <f>IF('Données projet'!$A$140&gt;35,CT9+CS10-DB9,IF(A10&lt;'Données projet'!$A$140,$CQ$205^A10,IF(A10='Données projet'!$A$140,'Données projet'!$B$140,CT9+CS10-DB9)))</f>
        <v>5.1824755269514737</v>
      </c>
      <c r="CU10" s="18">
        <f>CT10*VLOOKUP('Données projet'!$B$13,Paramètres!$A$1:$I$89,3,0)*VLOOKUP('Données projet'!$B$13,Paramètres!$A$1:$I$89,5,0)</f>
        <v>4.9316437114470224</v>
      </c>
      <c r="CV10" s="14">
        <f t="shared" si="41"/>
        <v>1.8874676857212829</v>
      </c>
      <c r="CW10" s="22">
        <f t="shared" si="13"/>
        <v>11.876619016734798</v>
      </c>
      <c r="CX10" s="60">
        <f t="shared" si="14"/>
        <v>196.00079995247103</v>
      </c>
      <c r="CY10" s="60">
        <f ca="1">AVERAGE(OFFSET($CX$3,0,0,'Données projet'!$E$13+1,1))-AVERAGE(OFFSET($H$3,0,0,'Données projet'!$E$13+1,1))</f>
        <v>388.53310909800695</v>
      </c>
      <c r="CZ10" s="60">
        <f t="shared" si="42"/>
        <v>263.82153161042811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196.53430597224175</v>
      </c>
      <c r="S11" s="60">
        <f ca="1">AVERAGE(OFFSET($R$3,0,0,'Données projet'!$E$9+1,1))-AVERAGE(OFFSET($H$3,0,0,'Données projet'!$E$9+1,1))</f>
        <v>469.67944008675863</v>
      </c>
      <c r="T11" s="60">
        <f t="shared" si="34"/>
        <v>266.11908070867173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2.4666666666666668</v>
      </c>
      <c r="AI11" s="14">
        <f>IF('Données projet'!$A$62&gt;35,AI10+AH11-AQ10,IF(A11&lt;'Données projet'!$A$62,$AF$205^A11,IF(A11='Données projet'!$A$62,'Données projet'!$B$62,AI10+AH11-AQ10)))</f>
        <v>6.8607919984549888</v>
      </c>
      <c r="AJ11" s="14">
        <f>AI11*VLOOKUP('Données projet'!$B$10,Paramètres!$A$1:$I$89,3,0)*VLOOKUP('Données projet'!$B$10,Paramètres!$A$1:$I$89,5,0)</f>
        <v>5.4584461139707896</v>
      </c>
      <c r="AK11" s="14">
        <f t="shared" si="35"/>
        <v>2.0645540509389519</v>
      </c>
      <c r="AL11" s="22">
        <f t="shared" si="4"/>
        <v>13.102558620551131</v>
      </c>
      <c r="AM11" s="60">
        <f t="shared" si="5"/>
        <v>199.85583148677168</v>
      </c>
      <c r="AN11" s="60">
        <f ca="1">AVERAGE(OFFSET($AM$3,0,0,'Données projet'!$E$10+1,1))-AVERAGE(OFFSET($H$3,0,0,'Données projet'!$E$10+1,1))</f>
        <v>323.1883858932618</v>
      </c>
      <c r="AO11" s="60">
        <f t="shared" si="36"/>
        <v>313.39536932399085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5.0303326932671979</v>
      </c>
      <c r="BF11" s="14">
        <f t="shared" si="37"/>
        <v>1.9208034055819379</v>
      </c>
      <c r="BG11" s="22">
        <f t="shared" si="7"/>
        <v>12.106562038828912</v>
      </c>
      <c r="BH11" s="60">
        <f t="shared" si="8"/>
        <v>198.85983490504947</v>
      </c>
      <c r="BI11" s="60">
        <f ca="1">AVERAGE(OFFSET($BH$3,0,0,'Données projet'!$E$11+1,1))-AVERAGE(OFFSET($H$3,0,0,'Données projet'!$E$11+1,1))</f>
        <v>302.52480941204414</v>
      </c>
      <c r="BJ11" s="60">
        <f t="shared" si="38"/>
        <v>293.66452856196088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3.7567999922587045</v>
      </c>
      <c r="CA11" s="14">
        <f t="shared" si="39"/>
        <v>1.4840936789913857</v>
      </c>
      <c r="CB11" s="22">
        <f t="shared" si="10"/>
        <v>9.127889810760573</v>
      </c>
      <c r="CC11" s="60">
        <f t="shared" si="11"/>
        <v>195.88116267698112</v>
      </c>
      <c r="CD11" s="60">
        <f ca="1">AVERAGE(OFFSET($CC$3,0,0,'Données projet'!$E$12+1,1))-AVERAGE(OFFSET($H$3,0,0,'Données projet'!$E$12+1,1))</f>
        <v>442.98179778678298</v>
      </c>
      <c r="CE11" s="60">
        <f t="shared" si="40"/>
        <v>251.96153561746942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2.2649572649572649</v>
      </c>
      <c r="CT11" s="13">
        <f>IF('Données projet'!$A$140&gt;35,CT10+CS11-DB10,IF(A11&lt;'Données projet'!$A$140,$CQ$205^A11,IF(A11='Données projet'!$A$140,'Données projet'!$B$140,CT10+CS11-DB10)))</f>
        <v>6.555623619962172</v>
      </c>
      <c r="CU11" s="18">
        <f>CT11*VLOOKUP('Données projet'!$B$13,Paramètres!$A$1:$I$89,3,0)*VLOOKUP('Données projet'!$B$13,Paramètres!$A$1:$I$89,5,0)</f>
        <v>6.2383314367560025</v>
      </c>
      <c r="CV11" s="14">
        <f t="shared" si="41"/>
        <v>2.3231355067142938</v>
      </c>
      <c r="CW11" s="22">
        <f t="shared" si="13"/>
        <v>14.911221593210763</v>
      </c>
      <c r="CX11" s="60">
        <f t="shared" si="14"/>
        <v>201.66449445943132</v>
      </c>
      <c r="CY11" s="60">
        <f ca="1">AVERAGE(OFFSET($CX$3,0,0,'Données projet'!$E$13+1,1))-AVERAGE(OFFSET($H$3,0,0,'Données projet'!$E$13+1,1))</f>
        <v>388.53310909800695</v>
      </c>
      <c r="CZ11" s="60">
        <f t="shared" si="42"/>
        <v>263.82153161042811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201.07744525705709</v>
      </c>
      <c r="S12" s="60">
        <f ca="1">AVERAGE(OFFSET($R$3,0,0,'Données projet'!$E$9+1,1))-AVERAGE(OFFSET($H$3,0,0,'Données projet'!$E$9+1,1))</f>
        <v>469.67944008675863</v>
      </c>
      <c r="T12" s="60">
        <f t="shared" si="34"/>
        <v>266.11908070867173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2.4666666666666668</v>
      </c>
      <c r="AI12" s="14">
        <f>IF('Données projet'!$A$62&gt;35,AI11+AH12-AQ11,IF(A12&lt;'Données projet'!$A$62,$AF$205^A12,IF(A12='Données projet'!$A$62,'Données projet'!$B$62,AI11+AH12-AQ11)))</f>
        <v>8.7281265486761299</v>
      </c>
      <c r="AJ12" s="14">
        <f>AI12*VLOOKUP('Données projet'!$B$10,Paramètres!$A$1:$I$89,3,0)*VLOOKUP('Données projet'!$B$10,Paramètres!$A$1:$I$89,5,0)</f>
        <v>6.9440974821267289</v>
      </c>
      <c r="AK12" s="14">
        <f t="shared" si="35"/>
        <v>2.5538994442566798</v>
      </c>
      <c r="AL12" s="22">
        <f t="shared" si="4"/>
        <v>16.542344646784436</v>
      </c>
      <c r="AM12" s="60">
        <f t="shared" si="5"/>
        <v>205.90030339934052</v>
      </c>
      <c r="AN12" s="60">
        <f ca="1">AVERAGE(OFFSET($AM$3,0,0,'Données projet'!$E$10+1,1))-AVERAGE(OFFSET($H$3,0,0,'Données projet'!$E$10+1,1))</f>
        <v>323.1883858932618</v>
      </c>
      <c r="AO12" s="60">
        <f t="shared" si="36"/>
        <v>313.39536932399085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6.399462385489338</v>
      </c>
      <c r="BF12" s="14">
        <f t="shared" si="37"/>
        <v>2.3760766872686268</v>
      </c>
      <c r="BG12" s="22">
        <f t="shared" si="7"/>
        <v>15.284063885053456</v>
      </c>
      <c r="BH12" s="60">
        <f t="shared" si="8"/>
        <v>204.64202263760953</v>
      </c>
      <c r="BI12" s="60">
        <f ca="1">AVERAGE(OFFSET($BH$3,0,0,'Données projet'!$E$11+1,1))-AVERAGE(OFFSET($H$3,0,0,'Données projet'!$E$11+1,1))</f>
        <v>302.52480941204414</v>
      </c>
      <c r="BJ12" s="60">
        <f t="shared" si="38"/>
        <v>293.66452856196088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4.5287728559252471</v>
      </c>
      <c r="CA12" s="14">
        <f t="shared" si="39"/>
        <v>1.7505578568733651</v>
      </c>
      <c r="CB12" s="22">
        <f t="shared" si="10"/>
        <v>10.93650099145758</v>
      </c>
      <c r="CC12" s="60">
        <f t="shared" si="11"/>
        <v>200.29445974401366</v>
      </c>
      <c r="CD12" s="60">
        <f ca="1">AVERAGE(OFFSET($CC$3,0,0,'Données projet'!$E$12+1,1))-AVERAGE(OFFSET($H$3,0,0,'Données projet'!$E$12+1,1))</f>
        <v>442.98179778678298</v>
      </c>
      <c r="CE12" s="60">
        <f t="shared" si="40"/>
        <v>251.96153561746942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2.2649572649572649</v>
      </c>
      <c r="CT12" s="13">
        <f>IF('Données projet'!$A$140&gt;35,CT11+CS12-DB11,IF(A12&lt;'Données projet'!$A$140,$CQ$205^A12,IF(A12='Données projet'!$A$140,'Données projet'!$B$140,CT11+CS12-DB11)))</f>
        <v>8.2926008667302167</v>
      </c>
      <c r="CU12" s="18">
        <f>CT12*VLOOKUP('Données projet'!$B$13,Paramètres!$A$1:$I$89,3,0)*VLOOKUP('Données projet'!$B$13,Paramètres!$A$1:$I$89,5,0)</f>
        <v>7.8912389847804736</v>
      </c>
      <c r="CV12" s="14">
        <f t="shared" si="41"/>
        <v>2.8593647580749275</v>
      </c>
      <c r="CW12" s="22">
        <f t="shared" si="13"/>
        <v>18.723968185473154</v>
      </c>
      <c r="CX12" s="60">
        <f t="shared" si="14"/>
        <v>208.08192693802923</v>
      </c>
      <c r="CY12" s="60">
        <f ca="1">AVERAGE(OFFSET($CX$3,0,0,'Données projet'!$E$13+1,1))-AVERAGE(OFFSET($H$3,0,0,'Données projet'!$E$13+1,1))</f>
        <v>388.53310909800695</v>
      </c>
      <c r="CZ12" s="60">
        <f t="shared" si="42"/>
        <v>263.82153161042811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205.9821052852981</v>
      </c>
      <c r="S13" s="60">
        <f ca="1">AVERAGE(OFFSET($R$3,0,0,'Données projet'!$E$9+1,1))-AVERAGE(OFFSET($H$3,0,0,'Données projet'!$E$9+1,1))</f>
        <v>469.67944008675863</v>
      </c>
      <c r="T13" s="60">
        <f t="shared" si="34"/>
        <v>266.11908070867173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2.4666666666666668</v>
      </c>
      <c r="AI13" s="14">
        <f>IF('Données projet'!$A$62&gt;35,AI12+AH13-AQ12,IF(A13&lt;'Données projet'!$A$62,$AF$205^A13,IF(A13='Données projet'!$A$62,'Données projet'!$B$62,AI12+AH13-AQ12)))</f>
        <v>11.103702468586782</v>
      </c>
      <c r="AJ13" s="14">
        <f>AI13*VLOOKUP('Données projet'!$B$10,Paramètres!$A$1:$I$89,3,0)*VLOOKUP('Données projet'!$B$10,Paramètres!$A$1:$I$89,5,0)</f>
        <v>8.8341056840076444</v>
      </c>
      <c r="AK13" s="14">
        <f t="shared" si="35"/>
        <v>3.1592306185484516</v>
      </c>
      <c r="AL13" s="22">
        <f t="shared" si="4"/>
        <v>20.888394060285197</v>
      </c>
      <c r="AM13" s="60">
        <f t="shared" si="5"/>
        <v>212.8270560453301</v>
      </c>
      <c r="AN13" s="60">
        <f ca="1">AVERAGE(OFFSET($AM$3,0,0,'Données projet'!$E$10+1,1))-AVERAGE(OFFSET($H$3,0,0,'Données projet'!$E$10+1,1))</f>
        <v>323.1883858932618</v>
      </c>
      <c r="AO13" s="60">
        <f t="shared" si="36"/>
        <v>313.39536932399085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8.1412346499678296</v>
      </c>
      <c r="BF13" s="14">
        <f t="shared" si="37"/>
        <v>2.9392598989436851</v>
      </c>
      <c r="BG13" s="22">
        <f t="shared" si="7"/>
        <v>19.298528006020888</v>
      </c>
      <c r="BH13" s="60">
        <f t="shared" si="8"/>
        <v>211.23718999106578</v>
      </c>
      <c r="BI13" s="60">
        <f ca="1">AVERAGE(OFFSET($BH$3,0,0,'Données projet'!$E$11+1,1))-AVERAGE(OFFSET($H$3,0,0,'Données projet'!$E$11+1,1))</f>
        <v>302.52480941204414</v>
      </c>
      <c r="BJ13" s="60">
        <f t="shared" si="38"/>
        <v>293.66452856196088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5.4593759643387862</v>
      </c>
      <c r="CA13" s="14">
        <f t="shared" si="39"/>
        <v>2.0648648084962673</v>
      </c>
      <c r="CB13" s="22">
        <f t="shared" si="10"/>
        <v>13.104719346021051</v>
      </c>
      <c r="CC13" s="60">
        <f t="shared" si="11"/>
        <v>205.04338133106594</v>
      </c>
      <c r="CD13" s="60">
        <f ca="1">AVERAGE(OFFSET($CC$3,0,0,'Données projet'!$E$12+1,1))-AVERAGE(OFFSET($H$3,0,0,'Données projet'!$E$12+1,1))</f>
        <v>442.98179778678298</v>
      </c>
      <c r="CE13" s="60">
        <f t="shared" si="40"/>
        <v>251.96153561746942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2.2649572649572649</v>
      </c>
      <c r="CT13" s="13">
        <f>IF('Données projet'!$A$140&gt;35,CT12+CS13-DB12,IF(A13&lt;'Données projet'!$A$140,$CQ$205^A13,IF(A13='Données projet'!$A$140,'Données projet'!$B$140,CT12+CS13-DB12)))</f>
        <v>10.489807396125579</v>
      </c>
      <c r="CU13" s="18">
        <f>CT13*VLOOKUP('Données projet'!$B$13,Paramètres!$A$1:$I$89,3,0)*VLOOKUP('Données projet'!$B$13,Paramètres!$A$1:$I$89,5,0)</f>
        <v>9.9821007181531005</v>
      </c>
      <c r="CV13" s="14">
        <f t="shared" si="41"/>
        <v>3.5193671639432234</v>
      </c>
      <c r="CW13" s="22">
        <f t="shared" si="13"/>
        <v>23.515056561317763</v>
      </c>
      <c r="CX13" s="60">
        <f t="shared" si="14"/>
        <v>215.45371854636267</v>
      </c>
      <c r="CY13" s="60">
        <f ca="1">AVERAGE(OFFSET($CX$3,0,0,'Données projet'!$E$13+1,1))-AVERAGE(OFFSET($H$3,0,0,'Données projet'!$E$13+1,1))</f>
        <v>388.53310909800695</v>
      </c>
      <c r="CZ13" s="60">
        <f t="shared" si="42"/>
        <v>263.82153161042811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211.32561560077292</v>
      </c>
      <c r="S14" s="60">
        <f ca="1">AVERAGE(OFFSET($R$3,0,0,'Données projet'!$E$9+1,1))-AVERAGE(OFFSET($H$3,0,0,'Données projet'!$E$9+1,1))</f>
        <v>469.67944008675863</v>
      </c>
      <c r="T14" s="60">
        <f t="shared" si="34"/>
        <v>266.11908070867173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2.4666666666666668</v>
      </c>
      <c r="AI14" s="14">
        <f>IF('Données projet'!$A$62&gt;35,AI13+AH14-AQ13,IF(A14&lt;'Données projet'!$A$62,$AF$205^A14,IF(A14='Données projet'!$A$62,'Données projet'!$B$62,AI13+AH14-AQ13)))</f>
        <v>14.125850240977657</v>
      </c>
      <c r="AJ14" s="14">
        <f>AI14*VLOOKUP('Données projet'!$B$10,Paramètres!$A$1:$I$89,3,0)*VLOOKUP('Données projet'!$B$10,Paramètres!$A$1:$I$89,5,0)</f>
        <v>11.238526451721825</v>
      </c>
      <c r="AK14" s="14">
        <f t="shared" si="35"/>
        <v>3.9080387928425129</v>
      </c>
      <c r="AL14" s="22">
        <f t="shared" si="4"/>
        <v>26.380267800949554</v>
      </c>
      <c r="AM14" s="60">
        <f t="shared" si="5"/>
        <v>220.87606641006369</v>
      </c>
      <c r="AN14" s="60">
        <f ca="1">AVERAGE(OFFSET($AM$3,0,0,'Données projet'!$E$10+1,1))-AVERAGE(OFFSET($H$3,0,0,'Données projet'!$E$10+1,1))</f>
        <v>323.1883858932618</v>
      </c>
      <c r="AO14" s="60">
        <f t="shared" si="36"/>
        <v>313.39536932399085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10.357073396684818</v>
      </c>
      <c r="BF14" s="14">
        <f t="shared" si="37"/>
        <v>3.6359301026893722</v>
      </c>
      <c r="BG14" s="22">
        <f t="shared" si="7"/>
        <v>24.371147761410047</v>
      </c>
      <c r="BH14" s="60">
        <f t="shared" si="8"/>
        <v>218.86694637052418</v>
      </c>
      <c r="BI14" s="60">
        <f ca="1">AVERAGE(OFFSET($BH$3,0,0,'Données projet'!$E$11+1,1))-AVERAGE(OFFSET($H$3,0,0,'Données projet'!$E$11+1,1))</f>
        <v>302.52480941204414</v>
      </c>
      <c r="BJ14" s="60">
        <f t="shared" si="38"/>
        <v>293.66452856196088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6.5812057411986977</v>
      </c>
      <c r="CA14" s="14">
        <f t="shared" si="39"/>
        <v>2.4356045477877388</v>
      </c>
      <c r="CB14" s="22">
        <f t="shared" si="10"/>
        <v>15.70427791998471</v>
      </c>
      <c r="CC14" s="60">
        <f t="shared" si="11"/>
        <v>210.20007652909885</v>
      </c>
      <c r="CD14" s="60">
        <f ca="1">AVERAGE(OFFSET($CC$3,0,0,'Données projet'!$E$12+1,1))-AVERAGE(OFFSET($H$3,0,0,'Données projet'!$E$12+1,1))</f>
        <v>442.98179778678298</v>
      </c>
      <c r="CE14" s="60">
        <f t="shared" si="40"/>
        <v>251.96153561746942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2.2649572649572649</v>
      </c>
      <c r="CT14" s="13">
        <f>IF('Données projet'!$A$140&gt;35,CT13+CS14-DB13,IF(A14&lt;'Données projet'!$A$140,$CQ$205^A14,IF(A14='Données projet'!$A$140,'Données projet'!$B$140,CT13+CS14-DB13)))</f>
        <v>13.269185503582337</v>
      </c>
      <c r="CU14" s="18">
        <f>CT14*VLOOKUP('Données projet'!$B$13,Paramètres!$A$1:$I$89,3,0)*VLOOKUP('Données projet'!$B$13,Paramètres!$A$1:$I$89,5,0)</f>
        <v>12.626956925208951</v>
      </c>
      <c r="CV14" s="14">
        <f t="shared" si="41"/>
        <v>4.3317122097359233</v>
      </c>
      <c r="CW14" s="22">
        <f t="shared" si="13"/>
        <v>29.536348743362321</v>
      </c>
      <c r="CX14" s="60">
        <f t="shared" si="14"/>
        <v>224.03214735247644</v>
      </c>
      <c r="CY14" s="60">
        <f ca="1">AVERAGE(OFFSET($CX$3,0,0,'Données projet'!$E$13+1,1))-AVERAGE(OFFSET($H$3,0,0,'Données projet'!$E$13+1,1))</f>
        <v>388.53310909800695</v>
      </c>
      <c r="CZ14" s="60">
        <f t="shared" si="42"/>
        <v>263.82153161042811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217.20068985717762</v>
      </c>
      <c r="S15" s="60">
        <f ca="1">AVERAGE(OFFSET($R$3,0,0,'Données projet'!$E$9+1,1))-AVERAGE(OFFSET($H$3,0,0,'Données projet'!$E$9+1,1))</f>
        <v>469.67944008675863</v>
      </c>
      <c r="T15" s="60">
        <f t="shared" si="34"/>
        <v>266.11908070867173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2.4666666666666668</v>
      </c>
      <c r="AI15" s="14">
        <f>IF('Données projet'!$A$62&gt;35,AI14+AH15-AQ14,IF(A15&lt;'Données projet'!$A$62,$AF$205^A15,IF(A15='Données projet'!$A$62,'Données projet'!$B$62,AI14+AH15-AQ14)))</f>
        <v>17.970550417308221</v>
      </c>
      <c r="AJ15" s="14">
        <f>AI15*VLOOKUP('Données projet'!$B$10,Paramètres!$A$1:$I$89,3,0)*VLOOKUP('Données projet'!$B$10,Paramètres!$A$1:$I$89,5,0)</f>
        <v>14.297369912010421</v>
      </c>
      <c r="AK15" s="14">
        <f t="shared" si="35"/>
        <v>4.8343312187127445</v>
      </c>
      <c r="AL15" s="22">
        <f t="shared" si="4"/>
        <v>33.321046136009507</v>
      </c>
      <c r="AM15" s="60">
        <f t="shared" si="5"/>
        <v>230.35082358874237</v>
      </c>
      <c r="AN15" s="60">
        <f ca="1">AVERAGE(OFFSET($AM$3,0,0,'Données projet'!$E$10+1,1))-AVERAGE(OFFSET($H$3,0,0,'Données projet'!$E$10+1,1))</f>
        <v>323.1883858932618</v>
      </c>
      <c r="AO15" s="60">
        <f t="shared" si="36"/>
        <v>313.39536932399085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13.176007565970389</v>
      </c>
      <c r="BF15" s="14">
        <f t="shared" si="37"/>
        <v>4.4977266952111856</v>
      </c>
      <c r="BG15" s="22">
        <f t="shared" si="7"/>
        <v>30.781753838224574</v>
      </c>
      <c r="BH15" s="60">
        <f t="shared" si="8"/>
        <v>227.81153129095745</v>
      </c>
      <c r="BI15" s="60">
        <f ca="1">AVERAGE(OFFSET($BH$3,0,0,'Données projet'!$E$11+1,1))-AVERAGE(OFFSET($H$3,0,0,'Données projet'!$E$11+1,1))</f>
        <v>302.52480941204414</v>
      </c>
      <c r="BJ15" s="60">
        <f t="shared" si="38"/>
        <v>293.66452856196088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7.9335567454791462</v>
      </c>
      <c r="CA15" s="14">
        <f t="shared" si="39"/>
        <v>2.8729093976493338</v>
      </c>
      <c r="CB15" s="22">
        <f t="shared" si="10"/>
        <v>18.82126186594877</v>
      </c>
      <c r="CC15" s="60">
        <f t="shared" si="11"/>
        <v>215.85103931868164</v>
      </c>
      <c r="CD15" s="60">
        <f ca="1">AVERAGE(OFFSET($CC$3,0,0,'Données projet'!$E$12+1,1))-AVERAGE(OFFSET($H$3,0,0,'Données projet'!$E$12+1,1))</f>
        <v>442.98179778678298</v>
      </c>
      <c r="CE15" s="60">
        <f t="shared" si="40"/>
        <v>251.96153561746942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2.2649572649572649</v>
      </c>
      <c r="CT15" s="13">
        <f>IF('Données projet'!$A$140&gt;35,CT14+CS15-DB14,IF(A15&lt;'Données projet'!$A$140,$CQ$205^A15,IF(A15='Données projet'!$A$140,'Données projet'!$B$140,CT14+CS15-DB14)))</f>
        <v>16.784987300482918</v>
      </c>
      <c r="CU15" s="18">
        <f>CT15*VLOOKUP('Données projet'!$B$13,Paramètres!$A$1:$I$89,3,0)*VLOOKUP('Données projet'!$B$13,Paramètres!$A$1:$I$89,5,0)</f>
        <v>15.972593915139546</v>
      </c>
      <c r="CV15" s="14">
        <f t="shared" si="41"/>
        <v>5.3315638277853701</v>
      </c>
      <c r="CW15" s="22">
        <f t="shared" si="13"/>
        <v>37.104741402260892</v>
      </c>
      <c r="CX15" s="60">
        <f t="shared" si="14"/>
        <v>234.13451885499376</v>
      </c>
      <c r="CY15" s="60">
        <f ca="1">AVERAGE(OFFSET($CX$3,0,0,'Données projet'!$E$13+1,1))-AVERAGE(OFFSET($H$3,0,0,'Données projet'!$E$13+1,1))</f>
        <v>388.53310909800695</v>
      </c>
      <c r="CZ15" s="60">
        <f t="shared" si="42"/>
        <v>263.82153161042811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223.71851443666381</v>
      </c>
      <c r="S16" s="60">
        <f ca="1">AVERAGE(OFFSET($R$3,0,0,'Données projet'!$E$9+1,1))-AVERAGE(OFFSET($H$3,0,0,'Données projet'!$E$9+1,1))</f>
        <v>469.67944008675863</v>
      </c>
      <c r="T16" s="60">
        <f t="shared" si="34"/>
        <v>266.11908070867173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2.4666666666666668</v>
      </c>
      <c r="AI16" s="14">
        <f>IF('Données projet'!$A$62&gt;35,AI15+AH16-AQ15,IF(A16&lt;'Données projet'!$A$62,$AF$205^A16,IF(A16='Données projet'!$A$62,'Données projet'!$B$62,AI15+AH16-AQ15)))</f>
        <v>22.86168101684942</v>
      </c>
      <c r="AJ16" s="14">
        <f>AI16*VLOOKUP('Données projet'!$B$10,Paramètres!$A$1:$I$89,3,0)*VLOOKUP('Données projet'!$B$10,Paramètres!$A$1:$I$89,5,0)</f>
        <v>18.188753417005401</v>
      </c>
      <c r="AK16" s="14">
        <f t="shared" si="35"/>
        <v>5.9801756254374139</v>
      </c>
      <c r="AL16" s="22">
        <f t="shared" si="4"/>
        <v>42.094218082254564</v>
      </c>
      <c r="AM16" s="60">
        <f t="shared" si="5"/>
        <v>241.63521833387338</v>
      </c>
      <c r="AN16" s="60">
        <f ca="1">AVERAGE(OFFSET($AM$3,0,0,'Données projet'!$E$10+1,1))-AVERAGE(OFFSET($H$3,0,0,'Données projet'!$E$10+1,1))</f>
        <v>323.1883858932618</v>
      </c>
      <c r="AO16" s="60">
        <f t="shared" si="36"/>
        <v>313.39536932399085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16.762184521553994</v>
      </c>
      <c r="BF16" s="14">
        <f t="shared" si="37"/>
        <v>5.5637883164619248</v>
      </c>
      <c r="BG16" s="22">
        <f t="shared" si="7"/>
        <v>38.884402692877721</v>
      </c>
      <c r="BH16" s="60">
        <f t="shared" si="8"/>
        <v>238.42540294449654</v>
      </c>
      <c r="BI16" s="60">
        <f ca="1">AVERAGE(OFFSET($BH$3,0,0,'Données projet'!$E$11+1,1))-AVERAGE(OFFSET($H$3,0,0,'Données projet'!$E$11+1,1))</f>
        <v>302.52480941204414</v>
      </c>
      <c r="BJ16" s="60">
        <f t="shared" si="38"/>
        <v>293.66452856196088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9.5637980499107691</v>
      </c>
      <c r="CA16" s="14">
        <f t="shared" si="39"/>
        <v>3.3887309065006521</v>
      </c>
      <c r="CB16" s="22">
        <f t="shared" si="10"/>
        <v>22.558987932416557</v>
      </c>
      <c r="CC16" s="60">
        <f t="shared" si="11"/>
        <v>222.09998818403537</v>
      </c>
      <c r="CD16" s="60">
        <f ca="1">AVERAGE(OFFSET($CC$3,0,0,'Données projet'!$E$12+1,1))-AVERAGE(OFFSET($H$3,0,0,'Données projet'!$E$12+1,1))</f>
        <v>442.98179778678298</v>
      </c>
      <c r="CE16" s="60">
        <f t="shared" si="40"/>
        <v>251.96153561746942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2.2649572649572649</v>
      </c>
      <c r="CT16" s="13">
        <f>IF('Données projet'!$A$140&gt;35,CT15+CS16-DB15,IF(A16&lt;'Données projet'!$A$140,$CQ$205^A16,IF(A16='Données projet'!$A$140,'Données projet'!$B$140,CT15+CS16-DB15)))</f>
        <v>21.232335519110155</v>
      </c>
      <c r="CU16" s="18">
        <f>CT16*VLOOKUP('Données projet'!$B$13,Paramètres!$A$1:$I$89,3,0)*VLOOKUP('Données projet'!$B$13,Paramètres!$A$1:$I$89,5,0)</f>
        <v>20.204690479985224</v>
      </c>
      <c r="CV16" s="14">
        <f t="shared" si="41"/>
        <v>6.5622025364151133</v>
      </c>
      <c r="CW16" s="22">
        <f t="shared" si="13"/>
        <v>46.619005336897253</v>
      </c>
      <c r="CX16" s="60">
        <f t="shared" si="14"/>
        <v>246.16000558851607</v>
      </c>
      <c r="CY16" s="60">
        <f ca="1">AVERAGE(OFFSET($CX$3,0,0,'Données projet'!$E$13+1,1))-AVERAGE(OFFSET($H$3,0,0,'Données projet'!$E$13+1,1))</f>
        <v>388.53310909800695</v>
      </c>
      <c r="CZ16" s="60">
        <f t="shared" si="42"/>
        <v>263.82153161042811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231.01245838467531</v>
      </c>
      <c r="S17" s="60">
        <f ca="1">AVERAGE(OFFSET($R$3,0,0,'Données projet'!$E$9+1,1))-AVERAGE(OFFSET($H$3,0,0,'Données projet'!$E$9+1,1))</f>
        <v>469.67944008675863</v>
      </c>
      <c r="T17" s="60">
        <f t="shared" si="34"/>
        <v>266.11908070867173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2.4666666666666668</v>
      </c>
      <c r="AI17" s="14">
        <f>IF('Données projet'!$A$62&gt;35,AI16+AH17-AQ16,IF(A17&lt;'Données projet'!$A$62,$AF$205^A17,IF(A17='Données projet'!$A$62,'Données projet'!$B$62,AI16+AH17-AQ16)))</f>
        <v>29.084054009429774</v>
      </c>
      <c r="AJ17" s="14">
        <f>AI17*VLOOKUP('Données projet'!$B$10,Paramètres!$A$1:$I$89,3,0)*VLOOKUP('Données projet'!$B$10,Paramètres!$A$1:$I$89,5,0)</f>
        <v>23.13927336990233</v>
      </c>
      <c r="AK17" s="14">
        <f t="shared" si="35"/>
        <v>7.3976107331343286</v>
      </c>
      <c r="AL17" s="22">
        <f t="shared" si="4"/>
        <v>53.185073146122171</v>
      </c>
      <c r="AM17" s="60">
        <f t="shared" si="5"/>
        <v>255.21493491839536</v>
      </c>
      <c r="AN17" s="60">
        <f ca="1">AVERAGE(OFFSET($AM$3,0,0,'Données projet'!$E$10+1,1))-AVERAGE(OFFSET($H$3,0,0,'Données projet'!$E$10+1,1))</f>
        <v>323.1883858932618</v>
      </c>
      <c r="AO17" s="60">
        <f t="shared" si="36"/>
        <v>313.39536932399085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21.324428399713909</v>
      </c>
      <c r="BF17" s="14">
        <f t="shared" si="37"/>
        <v>6.8825303376831179</v>
      </c>
      <c r="BG17" s="22">
        <f t="shared" si="7"/>
        <v>49.127119800966483</v>
      </c>
      <c r="BH17" s="60">
        <f t="shared" si="8"/>
        <v>251.15698157323968</v>
      </c>
      <c r="BI17" s="60">
        <f ca="1">AVERAGE(OFFSET($BH$3,0,0,'Données projet'!$E$11+1,1))-AVERAGE(OFFSET($H$3,0,0,'Données projet'!$E$11+1,1))</f>
        <v>302.52480941204414</v>
      </c>
      <c r="BJ17" s="60">
        <f t="shared" si="38"/>
        <v>293.66452856196088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11.529032447092296</v>
      </c>
      <c r="CA17" s="14">
        <f t="shared" si="39"/>
        <v>3.9971664842854926</v>
      </c>
      <c r="CB17" s="22">
        <f t="shared" si="10"/>
        <v>27.041463138816312</v>
      </c>
      <c r="CC17" s="60">
        <f t="shared" si="11"/>
        <v>229.0713249110895</v>
      </c>
      <c r="CD17" s="60">
        <f ca="1">AVERAGE(OFFSET($CC$3,0,0,'Données projet'!$E$12+1,1))-AVERAGE(OFFSET($H$3,0,0,'Données projet'!$E$12+1,1))</f>
        <v>442.98179778678298</v>
      </c>
      <c r="CE17" s="60">
        <f t="shared" si="40"/>
        <v>251.96153561746942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2.2649572649572649</v>
      </c>
      <c r="CT17" s="13">
        <f>IF('Données projet'!$A$140&gt;35,CT16+CS17-DB16,IF(A17&lt;'Données projet'!$A$140,$CQ$205^A17,IF(A17='Données projet'!$A$140,'Données projet'!$B$140,CT16+CS17-DB16)))</f>
        <v>26.85805258745096</v>
      </c>
      <c r="CU17" s="18">
        <f>CT17*VLOOKUP('Données projet'!$B$13,Paramètres!$A$1:$I$89,3,0)*VLOOKUP('Données projet'!$B$13,Paramètres!$A$1:$I$89,5,0)</f>
        <v>25.558122842218335</v>
      </c>
      <c r="CV17" s="14">
        <f t="shared" si="41"/>
        <v>8.0768989211970617</v>
      </c>
      <c r="CW17" s="22">
        <f t="shared" si="13"/>
        <v>58.580996237948476</v>
      </c>
      <c r="CX17" s="60">
        <f t="shared" si="14"/>
        <v>260.61085801022165</v>
      </c>
      <c r="CY17" s="60">
        <f ca="1">AVERAGE(OFFSET($CX$3,0,0,'Données projet'!$E$13+1,1))-AVERAGE(OFFSET($H$3,0,0,'Données projet'!$E$13+1,1))</f>
        <v>388.53310909800695</v>
      </c>
      <c r="CZ17" s="60">
        <f t="shared" si="42"/>
        <v>263.82153161042811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239.24252994115767</v>
      </c>
      <c r="S18" s="60">
        <f ca="1">AVERAGE(OFFSET($R$3,0,0,'Données projet'!$E$9+1,1))-AVERAGE(OFFSET($H$3,0,0,'Données projet'!$E$9+1,1))</f>
        <v>469.67944008675863</v>
      </c>
      <c r="T18" s="60">
        <f t="shared" si="34"/>
        <v>266.11908070867173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</v>
      </c>
      <c r="AG18" s="13">
        <f>VLOOKUP(A18,'Données projet'!$A$61:$I$81,9,0)</f>
        <v>2.4666666666666668</v>
      </c>
      <c r="AH18" s="13">
        <f t="array" ref="AH18">INDEX(AG:AG,MIN(IF(ISNUMBER(AG18:AG214),ROW(AG18:AG214),"")))</f>
        <v>2.4666666666666668</v>
      </c>
      <c r="AI18" s="14">
        <f>IF('Données projet'!$A$62&gt;35,AI17+AH18-AQ17,IF(A18&lt;'Données projet'!$A$62,$AF$205^A18,IF(A18='Données projet'!$A$62,'Données projet'!$B$62,AI17+AH18-AQ17)))</f>
        <v>37</v>
      </c>
      <c r="AJ18" s="14">
        <f>AI18*VLOOKUP('Données projet'!$B$10,Paramètres!$A$1:$I$89,3,0)*VLOOKUP('Données projet'!$B$10,Paramètres!$A$1:$I$89,5,0)</f>
        <v>29.437200000000004</v>
      </c>
      <c r="AK18" s="14">
        <f t="shared" si="35"/>
        <v>9.1510096001539196</v>
      </c>
      <c r="AL18" s="22">
        <f t="shared" si="4"/>
        <v>67.207798386934755</v>
      </c>
      <c r="AM18" s="60">
        <f t="shared" si="5"/>
        <v>271.70454831981579</v>
      </c>
      <c r="AN18" s="60">
        <f ca="1">AVERAGE(OFFSET($AM$3,0,0,'Données projet'!$E$10+1,1))-AVERAGE(OFFSET($H$3,0,0,'Données projet'!$E$10+1,1))</f>
        <v>323.1883858932618</v>
      </c>
      <c r="AO18" s="60">
        <f t="shared" si="36"/>
        <v>313.39536932399085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27.128400000000003</v>
      </c>
      <c r="BF18" s="14">
        <f t="shared" si="37"/>
        <v>8.5138436537878839</v>
      </c>
      <c r="BG18" s="22">
        <f t="shared" si="7"/>
        <v>62.076907697013901</v>
      </c>
      <c r="BH18" s="60">
        <f t="shared" si="8"/>
        <v>266.57365762989497</v>
      </c>
      <c r="BI18" s="60">
        <f ca="1">AVERAGE(OFFSET($BH$3,0,0,'Données projet'!$E$11+1,1))-AVERAGE(OFFSET($H$3,0,0,'Données projet'!$E$11+1,1))</f>
        <v>302.52480941204414</v>
      </c>
      <c r="BJ18" s="60">
        <f t="shared" si="38"/>
        <v>293.66452856196088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13.898096600580887</v>
      </c>
      <c r="CA18" s="14">
        <f t="shared" si="39"/>
        <v>4.7148446849071632</v>
      </c>
      <c r="CB18" s="22">
        <f t="shared" si="10"/>
        <v>32.417539405558351</v>
      </c>
      <c r="CC18" s="60">
        <f t="shared" si="11"/>
        <v>236.9142893384394</v>
      </c>
      <c r="CD18" s="60">
        <f ca="1">AVERAGE(OFFSET($CC$3,0,0,'Données projet'!$E$12+1,1))-AVERAGE(OFFSET($H$3,0,0,'Données projet'!$E$12+1,1))</f>
        <v>442.98179778678298</v>
      </c>
      <c r="CE18" s="60">
        <f t="shared" si="40"/>
        <v>251.96153561746942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33.974358974358971</v>
      </c>
      <c r="CR18" s="13">
        <f>VLOOKUP(A18,'Données projet'!$A$139:$I$159,9,0)</f>
        <v>2.2649572649572649</v>
      </c>
      <c r="CS18" s="13">
        <f t="array" ref="CS18">INDEX(CR:CR,MIN(IF(ISNUMBER(CR18:CR214),ROW(CR18:CR214),"")))</f>
        <v>2.2649572649572649</v>
      </c>
      <c r="CT18" s="13">
        <f>IF('Données projet'!$A$140&gt;35,CT17+CS18-DB17,IF(A18&lt;'Données projet'!$A$140,$CQ$205^A18,IF(A18='Données projet'!$A$140,'Données projet'!$B$140,CT17+CS18-DB17)))</f>
        <v>33.974358974358971</v>
      </c>
      <c r="CU18" s="18">
        <f>CT18*VLOOKUP('Données projet'!$B$13,Paramètres!$A$1:$I$89,3,0)*VLOOKUP('Données projet'!$B$13,Paramètres!$A$1:$I$89,5,0)</f>
        <v>32.33</v>
      </c>
      <c r="CV18" s="14">
        <f t="shared" si="41"/>
        <v>9.9412195556634533</v>
      </c>
      <c r="CW18" s="22">
        <f t="shared" si="13"/>
        <v>73.622374059447182</v>
      </c>
      <c r="CX18" s="60">
        <f t="shared" si="14"/>
        <v>278.11912399232824</v>
      </c>
      <c r="CY18" s="60">
        <f ca="1">AVERAGE(OFFSET($CX$3,0,0,'Données projet'!$E$13+1,1))-AVERAGE(OFFSET($H$3,0,0,'Données projet'!$E$13+1,1))</f>
        <v>388.53310909800695</v>
      </c>
      <c r="CZ18" s="60">
        <f t="shared" si="42"/>
        <v>263.82153161042811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248.60073026204975</v>
      </c>
      <c r="S19" s="60">
        <f ca="1">AVERAGE(OFFSET($R$3,0,0,'Données projet'!$E$9+1,1))-AVERAGE(OFFSET($H$3,0,0,'Données projet'!$E$9+1,1))</f>
        <v>469.67944008675863</v>
      </c>
      <c r="T19" s="60">
        <f t="shared" si="34"/>
        <v>266.11908070867173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8.6</v>
      </c>
      <c r="AI19" s="14">
        <f>IF('Données projet'!$A$62&gt;35,AI18+AH19-AQ18,IF(A19&lt;'Données projet'!$A$62,$AF$205^A19,IF(A19='Données projet'!$A$62,'Données projet'!$B$62,AI18+AH19-AQ18)))</f>
        <v>45.6</v>
      </c>
      <c r="AJ19" s="14">
        <f>AI19*VLOOKUP('Données projet'!$B$10,Paramètres!$A$1:$I$89,3,0)*VLOOKUP('Données projet'!$B$10,Paramètres!$A$1:$I$89,5,0)</f>
        <v>36.279360000000004</v>
      </c>
      <c r="AK19" s="14">
        <f t="shared" si="35"/>
        <v>11.006957828729092</v>
      </c>
      <c r="AL19" s="22">
        <f t="shared" si="4"/>
        <v>82.357003551703173</v>
      </c>
      <c r="AM19" s="60">
        <f t="shared" si="5"/>
        <v>289.29904947381726</v>
      </c>
      <c r="AN19" s="60">
        <f ca="1">AVERAGE(OFFSET($AM$3,0,0,'Données projet'!$E$10+1,1))-AVERAGE(OFFSET($H$3,0,0,'Données projet'!$E$10+1,1))</f>
        <v>323.1883858932618</v>
      </c>
      <c r="AO19" s="60">
        <f t="shared" si="36"/>
        <v>313.39536932399085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8.6</v>
      </c>
      <c r="BD19" s="13">
        <f>IF('Données projet'!$A$88&gt;35,BD18+BC19-BL18,IF(A19&lt;'Données projet'!$A$88,$BA$205^A19,IF(A19='Données projet'!$A$88,'Données projet'!$B$88,BD18+BC19-BL18)))</f>
        <v>45.6</v>
      </c>
      <c r="BE19" s="14">
        <f>BD19*VLOOKUP('Données projet'!$B$11,Paramètres!$A$1:$I$89,3,0)*VLOOKUP('Données projet'!$B$11,Paramètres!$A$1:$I$89,5,0)</f>
        <v>33.433920000000001</v>
      </c>
      <c r="BF19" s="14">
        <f t="shared" si="37"/>
        <v>10.240566030666143</v>
      </c>
      <c r="BG19" s="22">
        <f t="shared" si="7"/>
        <v>76.066396503410189</v>
      </c>
      <c r="BH19" s="60">
        <f t="shared" si="8"/>
        <v>283.00844242552427</v>
      </c>
      <c r="BI19" s="60">
        <f ca="1">AVERAGE(OFFSET($BH$3,0,0,'Données projet'!$E$11+1,1))-AVERAGE(OFFSET($H$3,0,0,'Données projet'!$E$11+1,1))</f>
        <v>302.52480941204414</v>
      </c>
      <c r="BJ19" s="60">
        <f t="shared" si="38"/>
        <v>293.66452856196088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16.753972200658836</v>
      </c>
      <c r="CA19" s="14">
        <f t="shared" si="39"/>
        <v>5.5613796648680189</v>
      </c>
      <c r="CB19" s="22">
        <f t="shared" si="10"/>
        <v>38.865904499125939</v>
      </c>
      <c r="CC19" s="60">
        <f t="shared" si="11"/>
        <v>245.80795042124001</v>
      </c>
      <c r="CD19" s="60">
        <f ca="1">AVERAGE(OFFSET($CC$3,0,0,'Données projet'!$E$12+1,1))-AVERAGE(OFFSET($H$3,0,0,'Données projet'!$E$12+1,1))</f>
        <v>442.98179778678298</v>
      </c>
      <c r="CE19" s="60">
        <f t="shared" si="40"/>
        <v>251.96153561746942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5.8974358974358978</v>
      </c>
      <c r="CT19" s="13">
        <f>IF('Données projet'!$A$140&gt;35,CT18+CS19-DB18,IF(A19&lt;'Données projet'!$A$140,$CQ$205^A19,IF(A19='Données projet'!$A$140,'Données projet'!$B$140,CT18+CS19-DB18)))</f>
        <v>39.871794871794869</v>
      </c>
      <c r="CU19" s="18">
        <f>CT19*VLOOKUP('Données projet'!$B$13,Paramètres!$A$1:$I$89,3,0)*VLOOKUP('Données projet'!$B$13,Paramètres!$A$1:$I$89,5,0)</f>
        <v>37.941999999999993</v>
      </c>
      <c r="CV19" s="14">
        <f t="shared" si="41"/>
        <v>11.45150826835841</v>
      </c>
      <c r="CW19" s="22">
        <f t="shared" si="13"/>
        <v>86.027026900724209</v>
      </c>
      <c r="CX19" s="60">
        <f t="shared" si="14"/>
        <v>292.96907282283826</v>
      </c>
      <c r="CY19" s="60">
        <f ca="1">AVERAGE(OFFSET($CX$3,0,0,'Données projet'!$E$13+1,1))-AVERAGE(OFFSET($H$3,0,0,'Données projet'!$E$13+1,1))</f>
        <v>388.53310909800695</v>
      </c>
      <c r="CZ19" s="60">
        <f t="shared" si="42"/>
        <v>263.82153161042811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259.31748536328973</v>
      </c>
      <c r="S20" s="60">
        <f ca="1">AVERAGE(OFFSET($R$3,0,0,'Données projet'!$E$9+1,1))-AVERAGE(OFFSET($H$3,0,0,'Données projet'!$E$9+1,1))</f>
        <v>469.67944008675863</v>
      </c>
      <c r="T20" s="60">
        <f t="shared" si="34"/>
        <v>266.11908070867173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8.6</v>
      </c>
      <c r="AI20" s="14">
        <f>IF('Données projet'!$A$62&gt;35,AI19+AH20-AQ19,IF(A20&lt;'Données projet'!$A$62,$AF$205^A20,IF(A20='Données projet'!$A$62,'Données projet'!$B$62,AI19+AH20-AQ19)))</f>
        <v>54.2</v>
      </c>
      <c r="AJ20" s="14">
        <f>AI20*VLOOKUP('Données projet'!$B$10,Paramètres!$A$1:$I$89,3,0)*VLOOKUP('Données projet'!$B$10,Paramètres!$A$1:$I$89,5,0)</f>
        <v>43.121520000000004</v>
      </c>
      <c r="AK20" s="14">
        <f t="shared" si="35"/>
        <v>12.822353245070515</v>
      </c>
      <c r="AL20" s="22">
        <f t="shared" si="4"/>
        <v>97.435579235164482</v>
      </c>
      <c r="AM20" s="60">
        <f t="shared" si="5"/>
        <v>306.80170355103724</v>
      </c>
      <c r="AN20" s="60">
        <f ca="1">AVERAGE(OFFSET($AM$3,0,0,'Données projet'!$E$10+1,1))-AVERAGE(OFFSET($H$3,0,0,'Données projet'!$E$10+1,1))</f>
        <v>323.1883858932618</v>
      </c>
      <c r="AO20" s="60">
        <f t="shared" si="36"/>
        <v>313.39536932399085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8.6</v>
      </c>
      <c r="BD20" s="13">
        <f>IF('Données projet'!$A$88&gt;35,BD19+BC20-BL19,IF(A20&lt;'Données projet'!$A$88,$BA$205^A20,IF(A20='Données projet'!$A$88,'Données projet'!$B$88,BD19+BC20-BL19)))</f>
        <v>54.2</v>
      </c>
      <c r="BE20" s="14">
        <f>BD20*VLOOKUP('Données projet'!$B$11,Paramètres!$A$1:$I$89,3,0)*VLOOKUP('Données projet'!$B$11,Paramètres!$A$1:$I$89,5,0)</f>
        <v>39.739440000000002</v>
      </c>
      <c r="BF20" s="14">
        <f t="shared" si="37"/>
        <v>11.929559204083212</v>
      </c>
      <c r="BG20" s="22">
        <f t="shared" si="7"/>
        <v>89.990173613778268</v>
      </c>
      <c r="BH20" s="60">
        <f t="shared" si="8"/>
        <v>299.35629792965096</v>
      </c>
      <c r="BI20" s="60">
        <f ca="1">AVERAGE(OFFSET($BH$3,0,0,'Données projet'!$E$11+1,1))-AVERAGE(OFFSET($H$3,0,0,'Données projet'!$E$11+1,1))</f>
        <v>302.52480941204414</v>
      </c>
      <c r="BJ20" s="60">
        <f t="shared" si="38"/>
        <v>293.66452856196088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20.196692580818372</v>
      </c>
      <c r="CA20" s="14">
        <f t="shared" si="39"/>
        <v>6.5599072384749233</v>
      </c>
      <c r="CB20" s="22">
        <f t="shared" si="10"/>
        <v>46.601078018602493</v>
      </c>
      <c r="CC20" s="60">
        <f t="shared" si="11"/>
        <v>255.96720233447522</v>
      </c>
      <c r="CD20" s="60">
        <f ca="1">AVERAGE(OFFSET($CC$3,0,0,'Données projet'!$E$12+1,1))-AVERAGE(OFFSET($H$3,0,0,'Données projet'!$E$12+1,1))</f>
        <v>442.98179778678298</v>
      </c>
      <c r="CE20" s="60">
        <f t="shared" si="40"/>
        <v>251.96153561746942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5.8974358974358978</v>
      </c>
      <c r="CT20" s="13">
        <f>IF('Données projet'!$A$140&gt;35,CT19+CS20-DB19,IF(A20&lt;'Données projet'!$A$140,$CQ$205^A20,IF(A20='Données projet'!$A$140,'Données projet'!$B$140,CT19+CS20-DB19)))</f>
        <v>45.769230769230766</v>
      </c>
      <c r="CU20" s="18">
        <f>CT20*VLOOKUP('Données projet'!$B$13,Paramètres!$A$1:$I$89,3,0)*VLOOKUP('Données projet'!$B$13,Paramètres!$A$1:$I$89,5,0)</f>
        <v>43.554000000000002</v>
      </c>
      <c r="CV20" s="14">
        <f t="shared" si="41"/>
        <v>12.935917793577156</v>
      </c>
      <c r="CW20" s="22">
        <f t="shared" si="13"/>
        <v>98.386606823813551</v>
      </c>
      <c r="CX20" s="60">
        <f t="shared" si="14"/>
        <v>307.75273113968626</v>
      </c>
      <c r="CY20" s="60">
        <f ca="1">AVERAGE(OFFSET($CX$3,0,0,'Données projet'!$E$13+1,1))-AVERAGE(OFFSET($H$3,0,0,'Données projet'!$E$13+1,1))</f>
        <v>388.53310909800695</v>
      </c>
      <c r="CZ20" s="60">
        <f t="shared" si="42"/>
        <v>263.82153161042811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271.66937392158366</v>
      </c>
      <c r="S21" s="60">
        <f ca="1">AVERAGE(OFFSET($R$3,0,0,'Données projet'!$E$9+1,1))-AVERAGE(OFFSET($H$3,0,0,'Données projet'!$E$9+1,1))</f>
        <v>469.67944008675863</v>
      </c>
      <c r="T21" s="60">
        <f t="shared" si="34"/>
        <v>266.11908070867173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8.6</v>
      </c>
      <c r="AI21" s="14">
        <f>IF('Données projet'!$A$62&gt;35,AI20+AH21-AQ20,IF(A21&lt;'Données projet'!$A$62,$AF$205^A21,IF(A21='Données projet'!$A$62,'Données projet'!$B$62,AI20+AH21-AQ20)))</f>
        <v>62.800000000000004</v>
      </c>
      <c r="AJ21" s="14">
        <f>AI21*VLOOKUP('Données projet'!$B$10,Paramètres!$A$1:$I$89,3,0)*VLOOKUP('Données projet'!$B$10,Paramètres!$A$1:$I$89,5,0)</f>
        <v>49.963680000000011</v>
      </c>
      <c r="AK21" s="14">
        <f t="shared" si="35"/>
        <v>14.604379468418438</v>
      </c>
      <c r="AL21" s="22">
        <f t="shared" si="4"/>
        <v>112.45603690749546</v>
      </c>
      <c r="AM21" s="60">
        <f t="shared" si="5"/>
        <v>324.22539009949855</v>
      </c>
      <c r="AN21" s="60">
        <f ca="1">AVERAGE(OFFSET($AM$3,0,0,'Données projet'!$E$10+1,1))-AVERAGE(OFFSET($H$3,0,0,'Données projet'!$E$10+1,1))</f>
        <v>323.1883858932618</v>
      </c>
      <c r="AO21" s="60">
        <f t="shared" si="36"/>
        <v>313.39536932399085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8.6</v>
      </c>
      <c r="BD21" s="13">
        <f>IF('Données projet'!$A$88&gt;35,BD20+BC21-BL20,IF(A21&lt;'Données projet'!$A$88,$BA$205^A21,IF(A21='Données projet'!$A$88,'Données projet'!$B$88,BD20+BC21-BL20)))</f>
        <v>62.800000000000004</v>
      </c>
      <c r="BE21" s="14">
        <f>BD21*VLOOKUP('Données projet'!$B$11,Paramètres!$A$1:$I$89,3,0)*VLOOKUP('Données projet'!$B$11,Paramètres!$A$1:$I$89,5,0)</f>
        <v>46.044960000000003</v>
      </c>
      <c r="BF21" s="14">
        <f t="shared" si="37"/>
        <v>13.587506612670687</v>
      </c>
      <c r="BG21" s="22">
        <f t="shared" si="7"/>
        <v>103.85987935040144</v>
      </c>
      <c r="BH21" s="60">
        <f t="shared" si="8"/>
        <v>315.62923254240457</v>
      </c>
      <c r="BI21" s="60">
        <f ca="1">AVERAGE(OFFSET($BH$3,0,0,'Données projet'!$E$11+1,1))-AVERAGE(OFFSET($H$3,0,0,'Données projet'!$E$11+1,1))</f>
        <v>302.52480941204414</v>
      </c>
      <c r="BJ21" s="60">
        <f t="shared" si="38"/>
        <v>293.66452856196088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24.346846605609343</v>
      </c>
      <c r="CA21" s="14">
        <f t="shared" si="39"/>
        <v>7.7377171800078735</v>
      </c>
      <c r="CB21" s="22">
        <f t="shared" si="10"/>
        <v>55.880615259949991</v>
      </c>
      <c r="CC21" s="60">
        <f t="shared" si="11"/>
        <v>267.6499684519531</v>
      </c>
      <c r="CD21" s="60">
        <f ca="1">AVERAGE(OFFSET($CC$3,0,0,'Données projet'!$E$12+1,1))-AVERAGE(OFFSET($H$3,0,0,'Données projet'!$E$12+1,1))</f>
        <v>442.98179778678298</v>
      </c>
      <c r="CE21" s="60">
        <f t="shared" si="40"/>
        <v>251.96153561746942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5.8974358974358978</v>
      </c>
      <c r="CT21" s="13">
        <f>IF('Données projet'!$A$140&gt;35,CT20+CS21-DB20,IF(A21&lt;'Données projet'!$A$140,$CQ$205^A21,IF(A21='Données projet'!$A$140,'Données projet'!$B$140,CT20+CS21-DB20)))</f>
        <v>51.666666666666664</v>
      </c>
      <c r="CU21" s="18">
        <f>CT21*VLOOKUP('Données projet'!$B$13,Paramètres!$A$1:$I$89,3,0)*VLOOKUP('Données projet'!$B$13,Paramètres!$A$1:$I$89,5,0)</f>
        <v>49.165999999999997</v>
      </c>
      <c r="CV21" s="14">
        <f t="shared" si="41"/>
        <v>14.398165127385489</v>
      </c>
      <c r="CW21" s="22">
        <f t="shared" si="13"/>
        <v>110.70758759686305</v>
      </c>
      <c r="CX21" s="60">
        <f t="shared" si="14"/>
        <v>322.47694078886616</v>
      </c>
      <c r="CY21" s="60">
        <f ca="1">AVERAGE(OFFSET($CX$3,0,0,'Données projet'!$E$13+1,1))-AVERAGE(OFFSET($H$3,0,0,'Données projet'!$E$13+1,1))</f>
        <v>388.53310909800695</v>
      </c>
      <c r="CZ21" s="60">
        <f t="shared" si="42"/>
        <v>263.82153161042811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285.98841258211485</v>
      </c>
      <c r="S22" s="60">
        <f ca="1">AVERAGE(OFFSET($R$3,0,0,'Données projet'!$E$9+1,1))-AVERAGE(OFFSET($H$3,0,0,'Données projet'!$E$9+1,1))</f>
        <v>469.67944008675863</v>
      </c>
      <c r="T22" s="60">
        <f t="shared" si="34"/>
        <v>266.11908070867173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8.6</v>
      </c>
      <c r="AI22" s="14">
        <f>IF('Données projet'!$A$62&gt;35,AI21+AH22-AQ21,IF(A22&lt;'Données projet'!$A$62,$AF$205^A22,IF(A22='Données projet'!$A$62,'Données projet'!$B$62,AI21+AH22-AQ21)))</f>
        <v>71.400000000000006</v>
      </c>
      <c r="AJ22" s="14">
        <f>AI22*VLOOKUP('Données projet'!$B$10,Paramètres!$A$1:$I$89,3,0)*VLOOKUP('Données projet'!$B$10,Paramètres!$A$1:$I$89,5,0)</f>
        <v>56.805840000000003</v>
      </c>
      <c r="AK22" s="14">
        <f t="shared" si="35"/>
        <v>16.358131967776131</v>
      </c>
      <c r="AL22" s="22">
        <f t="shared" si="4"/>
        <v>127.42725117721011</v>
      </c>
      <c r="AM22" s="60">
        <f t="shared" si="5"/>
        <v>341.57934542023361</v>
      </c>
      <c r="AN22" s="60">
        <f ca="1">AVERAGE(OFFSET($AM$3,0,0,'Données projet'!$E$10+1,1))-AVERAGE(OFFSET($H$3,0,0,'Données projet'!$E$10+1,1))</f>
        <v>323.1883858932618</v>
      </c>
      <c r="AO22" s="60">
        <f t="shared" si="36"/>
        <v>313.39536932399085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8.6</v>
      </c>
      <c r="BD22" s="13">
        <f>IF('Données projet'!$A$88&gt;35,BD21+BC22-BL21,IF(A22&lt;'Données projet'!$A$88,$BA$205^A22,IF(A22='Données projet'!$A$88,'Données projet'!$B$88,BD21+BC22-BL21)))</f>
        <v>71.400000000000006</v>
      </c>
      <c r="BE22" s="14">
        <f>BD22*VLOOKUP('Données projet'!$B$11,Paramètres!$A$1:$I$89,3,0)*VLOOKUP('Données projet'!$B$11,Paramètres!$A$1:$I$89,5,0)</f>
        <v>52.350480000000005</v>
      </c>
      <c r="BF22" s="14">
        <f t="shared" si="37"/>
        <v>15.219148938422377</v>
      </c>
      <c r="BG22" s="22">
        <f t="shared" si="7"/>
        <v>117.68377040108562</v>
      </c>
      <c r="BH22" s="60">
        <f t="shared" si="8"/>
        <v>331.83586464410917</v>
      </c>
      <c r="BI22" s="60">
        <f ca="1">AVERAGE(OFFSET($BH$3,0,0,'Données projet'!$E$11+1,1))-AVERAGE(OFFSET($H$3,0,0,'Données projet'!$E$11+1,1))</f>
        <v>302.52480941204414</v>
      </c>
      <c r="BJ22" s="60">
        <f t="shared" si="38"/>
        <v>293.66452856196088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29.349802561239567</v>
      </c>
      <c r="CA22" s="14">
        <f t="shared" si="39"/>
        <v>9.1269990536799668</v>
      </c>
      <c r="CB22" s="22">
        <f t="shared" si="10"/>
        <v>67.013762812651535</v>
      </c>
      <c r="CC22" s="60">
        <f t="shared" si="11"/>
        <v>281.16585705567508</v>
      </c>
      <c r="CD22" s="60">
        <f ca="1">AVERAGE(OFFSET($CC$3,0,0,'Données projet'!$E$12+1,1))-AVERAGE(OFFSET($H$3,0,0,'Données projet'!$E$12+1,1))</f>
        <v>442.98179778678298</v>
      </c>
      <c r="CE22" s="60">
        <f t="shared" si="40"/>
        <v>251.96153561746942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5.8974358974358978</v>
      </c>
      <c r="CT22" s="13">
        <f>IF('Données projet'!$A$140&gt;35,CT21+CS22-DB21,IF(A22&lt;'Données projet'!$A$140,$CQ$205^A22,IF(A22='Données projet'!$A$140,'Données projet'!$B$140,CT21+CS22-DB21)))</f>
        <v>57.564102564102562</v>
      </c>
      <c r="CU22" s="18">
        <f>CT22*VLOOKUP('Données projet'!$B$13,Paramètres!$A$1:$I$89,3,0)*VLOOKUP('Données projet'!$B$13,Paramètres!$A$1:$I$89,5,0)</f>
        <v>54.777999999999992</v>
      </c>
      <c r="CV22" s="14">
        <f t="shared" si="41"/>
        <v>15.841068726644904</v>
      </c>
      <c r="CW22" s="22">
        <f t="shared" si="13"/>
        <v>122.99487803223985</v>
      </c>
      <c r="CX22" s="60">
        <f t="shared" si="14"/>
        <v>337.14697227526335</v>
      </c>
      <c r="CY22" s="60">
        <f ca="1">AVERAGE(OFFSET($CX$3,0,0,'Données projet'!$E$13+1,1))-AVERAGE(OFFSET($H$3,0,0,'Données projet'!$E$13+1,1))</f>
        <v>388.53310909800695</v>
      </c>
      <c r="CZ22" s="60">
        <f t="shared" si="42"/>
        <v>263.82153161042811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302.67321335741167</v>
      </c>
      <c r="S23" s="60">
        <f ca="1">AVERAGE(OFFSET($R$3,0,0,'Données projet'!$E$9+1,1))-AVERAGE(OFFSET($H$3,0,0,'Données projet'!$E$9+1,1))</f>
        <v>469.67944008675863</v>
      </c>
      <c r="T23" s="60">
        <f t="shared" si="34"/>
        <v>266.11908070867173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80</v>
      </c>
      <c r="AG23" s="13">
        <f>VLOOKUP(A23,'Données projet'!$A$61:$I$81,9,0)</f>
        <v>8.6</v>
      </c>
      <c r="AH23" s="13">
        <f t="array" ref="AH23">INDEX(AG:AG,MIN(IF(ISNUMBER(AG23:AG219),ROW(AG23:AG219),"")))</f>
        <v>8.6</v>
      </c>
      <c r="AI23" s="14">
        <f>IF('Données projet'!$A$62&gt;35,AI22+AH23-AQ22,IF(A23&lt;'Données projet'!$A$62,$AF$205^A23,IF(A23='Données projet'!$A$62,'Données projet'!$B$62,AI22+AH23-AQ22)))</f>
        <v>80</v>
      </c>
      <c r="AJ23" s="14">
        <f>AI23*VLOOKUP('Données projet'!$B$10,Paramètres!$A$1:$I$89,3,0)*VLOOKUP('Données projet'!$B$10,Paramètres!$A$1:$I$89,5,0)</f>
        <v>63.647999999999996</v>
      </c>
      <c r="AK23" s="14">
        <f t="shared" si="35"/>
        <v>18.087405707268363</v>
      </c>
      <c r="AL23" s="22">
        <f t="shared" si="4"/>
        <v>142.35583160682572</v>
      </c>
      <c r="AM23" s="60">
        <f t="shared" si="5"/>
        <v>358.87053449372144</v>
      </c>
      <c r="AN23" s="60">
        <f ca="1">AVERAGE(OFFSET($AM$3,0,0,'Données projet'!$E$10+1,1))-AVERAGE(OFFSET($H$3,0,0,'Données projet'!$E$10+1,1))</f>
        <v>323.1883858932618</v>
      </c>
      <c r="AO23" s="60">
        <f t="shared" si="36"/>
        <v>313.39536932399085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80</v>
      </c>
      <c r="BB23" s="13">
        <f>VLOOKUP(A23,'Données projet'!$A$87:$I$107,9,0)</f>
        <v>8.6</v>
      </c>
      <c r="BC23" s="13">
        <f t="array" ref="BC23">INDEX(BB:BB,MIN(IF(ISNUMBER(BB23:BB219),ROW(BB23:BB219),"")))</f>
        <v>8.6</v>
      </c>
      <c r="BD23" s="13">
        <f>IF('Données projet'!$A$88&gt;35,BD22+BC23-BL22,IF(A23&lt;'Données projet'!$A$88,$BA$205^A23,IF(A23='Données projet'!$A$88,'Données projet'!$B$88,BD22+BC23-BL22)))</f>
        <v>80</v>
      </c>
      <c r="BE23" s="14">
        <f>BD23*VLOOKUP('Données projet'!$B$11,Paramètres!$A$1:$I$89,3,0)*VLOOKUP('Données projet'!$B$11,Paramètres!$A$1:$I$89,5,0)</f>
        <v>58.655999999999992</v>
      </c>
      <c r="BF23" s="14">
        <f t="shared" si="37"/>
        <v>16.828016909929062</v>
      </c>
      <c r="BG23" s="22">
        <f t="shared" si="7"/>
        <v>131.46799611812642</v>
      </c>
      <c r="BH23" s="60">
        <f t="shared" si="8"/>
        <v>347.98269900502214</v>
      </c>
      <c r="BI23" s="60">
        <f ca="1">AVERAGE(OFFSET($BH$3,0,0,'Données projet'!$E$11+1,1))-AVERAGE(OFFSET($H$3,0,0,'Données projet'!$E$11+1,1))</f>
        <v>302.52480941204414</v>
      </c>
      <c r="BJ23" s="60">
        <f t="shared" si="38"/>
        <v>293.66452856196088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35.380800000000001</v>
      </c>
      <c r="CA23" s="14">
        <f t="shared" si="39"/>
        <v>10.765721954933243</v>
      </c>
      <c r="CB23" s="22">
        <f t="shared" si="10"/>
        <v>80.371859071508723</v>
      </c>
      <c r="CC23" s="60">
        <f t="shared" si="11"/>
        <v>296.88656195840446</v>
      </c>
      <c r="CD23" s="60">
        <f ca="1">AVERAGE(OFFSET($CC$3,0,0,'Données projet'!$E$12+1,1))-AVERAGE(OFFSET($H$3,0,0,'Données projet'!$E$12+1,1))</f>
        <v>442.98179778678298</v>
      </c>
      <c r="CE23" s="60">
        <f t="shared" si="40"/>
        <v>251.96153561746942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63.46153846153846</v>
      </c>
      <c r="CR23" s="13">
        <f>VLOOKUP(A23,'Données projet'!$A$139:$I$159,9,0)</f>
        <v>5.8974358974358978</v>
      </c>
      <c r="CS23" s="13">
        <f t="array" ref="CS23">INDEX(CR:CR,MIN(IF(ISNUMBER(CR23:CR219),ROW(CR23:CR219),"")))</f>
        <v>5.8974358974358978</v>
      </c>
      <c r="CT23" s="13">
        <f>IF('Données projet'!$A$140&gt;35,CT22+CS23-DB22,IF(A23&lt;'Données projet'!$A$140,$CQ$205^A23,IF(A23='Données projet'!$A$140,'Données projet'!$B$140,CT22+CS23-DB22)))</f>
        <v>63.46153846153846</v>
      </c>
      <c r="CU23" s="18">
        <f>CT23*VLOOKUP('Données projet'!$B$13,Paramètres!$A$1:$I$89,3,0)*VLOOKUP('Données projet'!$B$13,Paramètres!$A$1:$I$89,5,0)</f>
        <v>60.39</v>
      </c>
      <c r="CV23" s="14">
        <f t="shared" si="41"/>
        <v>17.266836036680591</v>
      </c>
      <c r="CW23" s="22">
        <f t="shared" si="13"/>
        <v>135.25232276388536</v>
      </c>
      <c r="CX23" s="60">
        <f t="shared" si="14"/>
        <v>351.76702565078108</v>
      </c>
      <c r="CY23" s="60">
        <f ca="1">AVERAGE(OFFSET($CX$3,0,0,'Données projet'!$E$13+1,1))-AVERAGE(OFFSET($H$3,0,0,'Données projet'!$E$13+1,1))</f>
        <v>388.53310909800695</v>
      </c>
      <c r="CZ23" s="60">
        <f t="shared" si="42"/>
        <v>263.82153161042811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316.17645629884402</v>
      </c>
      <c r="S24" s="60">
        <f ca="1">AVERAGE(OFFSET($R$3,0,0,'Données projet'!$E$9+1,1))-AVERAGE(OFFSET($H$3,0,0,'Données projet'!$E$9+1,1))</f>
        <v>469.67944008675863</v>
      </c>
      <c r="T24" s="60">
        <f t="shared" si="34"/>
        <v>266.11908070867173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15.6</v>
      </c>
      <c r="AI24" s="14">
        <f>IF('Données projet'!$A$62&gt;35,AI23+AH24-AQ23,IF(A24&lt;'Données projet'!$A$62,$AF$205^A24,IF(A24='Données projet'!$A$62,'Données projet'!$B$62,AI23+AH24-AQ23)))</f>
        <v>52.599999999999994</v>
      </c>
      <c r="AJ24" s="14">
        <f>AI24*VLOOKUP('Données projet'!$B$10,Paramètres!$A$1:$I$89,3,0)*VLOOKUP('Données projet'!$B$10,Paramètres!$A$1:$I$89,5,0)</f>
        <v>41.848559999999999</v>
      </c>
      <c r="AK24" s="14">
        <f t="shared" si="35"/>
        <v>12.487312237283449</v>
      </c>
      <c r="AL24" s="22">
        <f t="shared" si="4"/>
        <v>94.63497747993533</v>
      </c>
      <c r="AM24" s="60">
        <f t="shared" si="5"/>
        <v>313.49250585580972</v>
      </c>
      <c r="AN24" s="60">
        <f ca="1">AVERAGE(OFFSET($AM$3,0,0,'Données projet'!$E$10+1,1))-AVERAGE(OFFSET($H$3,0,0,'Données projet'!$E$10+1,1))</f>
        <v>323.1883858932618</v>
      </c>
      <c r="AO24" s="60">
        <f t="shared" si="36"/>
        <v>313.39536932399085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15.6</v>
      </c>
      <c r="BD24" s="13">
        <f>IF('Données projet'!$A$88&gt;35,BD23+BC24-BL23,IF(A24&lt;'Données projet'!$A$88,$BA$205^A24,IF(A24='Données projet'!$A$88,'Données projet'!$B$88,BD23+BC24-BL23)))</f>
        <v>52.599999999999994</v>
      </c>
      <c r="BE24" s="14">
        <f>BD24*VLOOKUP('Données projet'!$B$11,Paramètres!$A$1:$I$89,3,0)*VLOOKUP('Données projet'!$B$11,Paramètres!$A$1:$I$89,5,0)</f>
        <v>38.56631999999999</v>
      </c>
      <c r="BF24" s="14">
        <f t="shared" si="37"/>
        <v>11.617846411446799</v>
      </c>
      <c r="BG24" s="22">
        <f t="shared" si="7"/>
        <v>87.404089833269822</v>
      </c>
      <c r="BH24" s="60">
        <f t="shared" si="8"/>
        <v>306.26161820914422</v>
      </c>
      <c r="BI24" s="60">
        <f ca="1">AVERAGE(OFFSET($BH$3,0,0,'Données projet'!$E$11+1,1))-AVERAGE(OFFSET($H$3,0,0,'Données projet'!$E$11+1,1))</f>
        <v>302.52480941204414</v>
      </c>
      <c r="BJ24" s="60">
        <f t="shared" si="38"/>
        <v>293.66452856196088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40.098240000000011</v>
      </c>
      <c r="CA24" s="14">
        <f t="shared" si="39"/>
        <v>12.024681710991171</v>
      </c>
      <c r="CB24" s="22">
        <f t="shared" si="10"/>
        <v>90.780755313309626</v>
      </c>
      <c r="CC24" s="60">
        <f t="shared" si="11"/>
        <v>309.63828368918399</v>
      </c>
      <c r="CD24" s="60">
        <f ca="1">AVERAGE(OFFSET($CC$3,0,0,'Données projet'!$E$12+1,1))-AVERAGE(OFFSET($H$3,0,0,'Données projet'!$E$12+1,1))</f>
        <v>442.98179778678298</v>
      </c>
      <c r="CE24" s="60">
        <f t="shared" si="40"/>
        <v>251.96153561746942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6.1538461538461533</v>
      </c>
      <c r="CT24" s="13">
        <f>IF('Données projet'!$A$140&gt;35,CT23+CS24-DB23,IF(A24&lt;'Données projet'!$A$140,$CQ$205^A24,IF(A24='Données projet'!$A$140,'Données projet'!$B$140,CT23+CS24-DB23)))</f>
        <v>69.615384615384613</v>
      </c>
      <c r="CU24" s="18">
        <f>CT24*VLOOKUP('Données projet'!$B$13,Paramètres!$A$1:$I$89,3,0)*VLOOKUP('Données projet'!$B$13,Paramètres!$A$1:$I$89,5,0)</f>
        <v>66.245999999999995</v>
      </c>
      <c r="CV24" s="14">
        <f t="shared" si="41"/>
        <v>18.738237565286223</v>
      </c>
      <c r="CW24" s="22">
        <f t="shared" si="13"/>
        <v>148.01421375954016</v>
      </c>
      <c r="CX24" s="60">
        <f t="shared" si="14"/>
        <v>366.87174213541454</v>
      </c>
      <c r="CY24" s="60">
        <f ca="1">AVERAGE(OFFSET($CX$3,0,0,'Données projet'!$E$13+1,1))-AVERAGE(OFFSET($H$3,0,0,'Données projet'!$E$13+1,1))</f>
        <v>388.53310909800695</v>
      </c>
      <c r="CZ24" s="60">
        <f t="shared" si="42"/>
        <v>263.82153161042811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329.62841581638901</v>
      </c>
      <c r="S25" s="60">
        <f ca="1">AVERAGE(OFFSET($R$3,0,0,'Données projet'!$E$9+1,1))-AVERAGE(OFFSET($H$3,0,0,'Données projet'!$E$9+1,1))</f>
        <v>469.67944008675863</v>
      </c>
      <c r="T25" s="60">
        <f t="shared" si="34"/>
        <v>266.11908070867173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15.6</v>
      </c>
      <c r="AI25" s="14">
        <f>IF('Données projet'!$A$62&gt;35,AI24+AH25-AQ24,IF(A25&lt;'Données projet'!$A$62,$AF$205^A25,IF(A25='Données projet'!$A$62,'Données projet'!$B$62,AI24+AH25-AQ24)))</f>
        <v>68.199999999999989</v>
      </c>
      <c r="AJ25" s="14">
        <f>AI25*VLOOKUP('Données projet'!$B$10,Paramètres!$A$1:$I$89,3,0)*VLOOKUP('Données projet'!$B$10,Paramètres!$A$1:$I$89,5,0)</f>
        <v>54.259919999999994</v>
      </c>
      <c r="AK25" s="14">
        <f t="shared" si="35"/>
        <v>15.708613019613548</v>
      </c>
      <c r="AL25" s="22">
        <f t="shared" si="4"/>
        <v>121.86186167582692</v>
      </c>
      <c r="AM25" s="60">
        <f t="shared" si="5"/>
        <v>343.04277557929532</v>
      </c>
      <c r="AN25" s="60">
        <f ca="1">AVERAGE(OFFSET($AM$3,0,0,'Données projet'!$E$10+1,1))-AVERAGE(OFFSET($H$3,0,0,'Données projet'!$E$10+1,1))</f>
        <v>323.1883858932618</v>
      </c>
      <c r="AO25" s="60">
        <f t="shared" si="36"/>
        <v>313.39536932399085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15.6</v>
      </c>
      <c r="BD25" s="13">
        <f>IF('Données projet'!$A$88&gt;35,BD24+BC25-BL24,IF(A25&lt;'Données projet'!$A$88,$BA$205^A25,IF(A25='Données projet'!$A$88,'Données projet'!$B$88,BD24+BC25-BL24)))</f>
        <v>68.199999999999989</v>
      </c>
      <c r="BE25" s="14">
        <f>BD25*VLOOKUP('Données projet'!$B$11,Paramètres!$A$1:$I$89,3,0)*VLOOKUP('Données projet'!$B$11,Paramètres!$A$1:$I$89,5,0)</f>
        <v>50.004239999999996</v>
      </c>
      <c r="BF25" s="14">
        <f t="shared" si="37"/>
        <v>14.614854656539427</v>
      </c>
      <c r="BG25" s="22">
        <f t="shared" si="7"/>
        <v>112.54492319347281</v>
      </c>
      <c r="BH25" s="60">
        <f t="shared" si="8"/>
        <v>333.72583709694118</v>
      </c>
      <c r="BI25" s="60">
        <f ca="1">AVERAGE(OFFSET($BH$3,0,0,'Données projet'!$E$11+1,1))-AVERAGE(OFFSET($H$3,0,0,'Données projet'!$E$11+1,1))</f>
        <v>302.52480941204414</v>
      </c>
      <c r="BJ25" s="60">
        <f t="shared" si="38"/>
        <v>293.66452856196088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44.815680000000008</v>
      </c>
      <c r="CA25" s="14">
        <f t="shared" si="39"/>
        <v>13.266476878569183</v>
      </c>
      <c r="CB25" s="22">
        <f t="shared" si="10"/>
        <v>101.159756563508</v>
      </c>
      <c r="CC25" s="60">
        <f t="shared" si="11"/>
        <v>322.34067046697641</v>
      </c>
      <c r="CD25" s="60">
        <f ca="1">AVERAGE(OFFSET($CC$3,0,0,'Données projet'!$E$12+1,1))-AVERAGE(OFFSET($H$3,0,0,'Données projet'!$E$12+1,1))</f>
        <v>442.98179778678298</v>
      </c>
      <c r="CE25" s="60">
        <f t="shared" si="40"/>
        <v>251.96153561746942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6.1538461538461533</v>
      </c>
      <c r="CT25" s="13">
        <f>IF('Données projet'!$A$140&gt;35,CT24+CS25-DB24,IF(A25&lt;'Données projet'!$A$140,$CQ$205^A25,IF(A25='Données projet'!$A$140,'Données projet'!$B$140,CT24+CS25-DB24)))</f>
        <v>75.769230769230774</v>
      </c>
      <c r="CU25" s="18">
        <f>CT25*VLOOKUP('Données projet'!$B$13,Paramètres!$A$1:$I$89,3,0)*VLOOKUP('Données projet'!$B$13,Paramètres!$A$1:$I$89,5,0)</f>
        <v>72.102000000000004</v>
      </c>
      <c r="CV25" s="14">
        <f t="shared" si="41"/>
        <v>20.194556009371063</v>
      </c>
      <c r="CW25" s="22">
        <f t="shared" si="13"/>
        <v>160.74983504965459</v>
      </c>
      <c r="CX25" s="60">
        <f t="shared" si="14"/>
        <v>381.93074895312299</v>
      </c>
      <c r="CY25" s="60">
        <f ca="1">AVERAGE(OFFSET($CX$3,0,0,'Données projet'!$E$13+1,1))-AVERAGE(OFFSET($H$3,0,0,'Données projet'!$E$13+1,1))</f>
        <v>388.53310909800695</v>
      </c>
      <c r="CZ25" s="60">
        <f t="shared" si="42"/>
        <v>263.82153161042811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343.03316299510493</v>
      </c>
      <c r="S26" s="60">
        <f ca="1">AVERAGE(OFFSET($R$3,0,0,'Données projet'!$E$9+1,1))-AVERAGE(OFFSET($H$3,0,0,'Données projet'!$E$9+1,1))</f>
        <v>469.67944008675863</v>
      </c>
      <c r="T26" s="60">
        <f t="shared" si="34"/>
        <v>266.11908070867173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15.6</v>
      </c>
      <c r="AI26" s="14">
        <f>IF('Données projet'!$A$62&gt;35,AI25+AH26-AQ25,IF(A26&lt;'Données projet'!$A$62,$AF$205^A26,IF(A26='Données projet'!$A$62,'Données projet'!$B$62,AI25+AH26-AQ25)))</f>
        <v>83.799999999999983</v>
      </c>
      <c r="AJ26" s="14">
        <f>AI26*VLOOKUP('Données projet'!$B$10,Paramètres!$A$1:$I$89,3,0)*VLOOKUP('Données projet'!$B$10,Paramètres!$A$1:$I$89,5,0)</f>
        <v>66.671279999999996</v>
      </c>
      <c r="AK26" s="14">
        <f t="shared" si="35"/>
        <v>18.844489742729156</v>
      </c>
      <c r="AL26" s="22">
        <f t="shared" si="4"/>
        <v>148.93996563525323</v>
      </c>
      <c r="AM26" s="60">
        <f t="shared" si="5"/>
        <v>372.42516234479973</v>
      </c>
      <c r="AN26" s="60">
        <f ca="1">AVERAGE(OFFSET($AM$3,0,0,'Données projet'!$E$10+1,1))-AVERAGE(OFFSET($H$3,0,0,'Données projet'!$E$10+1,1))</f>
        <v>323.1883858932618</v>
      </c>
      <c r="AO26" s="60">
        <f t="shared" si="36"/>
        <v>313.39536932399085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</v>
      </c>
      <c r="BD26" s="13">
        <f>IF('Données projet'!$A$88&gt;35,BD25+BC26-BL25,IF(A26&lt;'Données projet'!$A$88,$BA$205^A26,IF(A26='Données projet'!$A$88,'Données projet'!$B$88,BD25+BC26-BL25)))</f>
        <v>83.799999999999983</v>
      </c>
      <c r="BE26" s="14">
        <f>BD26*VLOOKUP('Données projet'!$B$11,Paramètres!$A$1:$I$89,3,0)*VLOOKUP('Données projet'!$B$11,Paramètres!$A$1:$I$89,5,0)</f>
        <v>61.442159999999987</v>
      </c>
      <c r="BF26" s="14">
        <f t="shared" si="37"/>
        <v>17.53238674367763</v>
      </c>
      <c r="BG26" s="22">
        <f t="shared" si="7"/>
        <v>137.54733557857185</v>
      </c>
      <c r="BH26" s="60">
        <f t="shared" si="8"/>
        <v>361.03253228811832</v>
      </c>
      <c r="BI26" s="60">
        <f ca="1">AVERAGE(OFFSET($BH$3,0,0,'Données projet'!$E$11+1,1))-AVERAGE(OFFSET($H$3,0,0,'Données projet'!$E$11+1,1))</f>
        <v>302.52480941204414</v>
      </c>
      <c r="BJ26" s="60">
        <f t="shared" si="38"/>
        <v>293.66452856196088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49.533120000000011</v>
      </c>
      <c r="CA26" s="14">
        <f t="shared" si="39"/>
        <v>14.493120113047395</v>
      </c>
      <c r="CB26" s="22">
        <f t="shared" si="10"/>
        <v>111.5123681968909</v>
      </c>
      <c r="CC26" s="60">
        <f t="shared" si="11"/>
        <v>334.99756490643739</v>
      </c>
      <c r="CD26" s="60">
        <f ca="1">AVERAGE(OFFSET($CC$3,0,0,'Données projet'!$E$12+1,1))-AVERAGE(OFFSET($H$3,0,0,'Données projet'!$E$12+1,1))</f>
        <v>442.98179778678298</v>
      </c>
      <c r="CE26" s="60">
        <f t="shared" si="40"/>
        <v>251.96153561746942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6.1538461538461533</v>
      </c>
      <c r="CT26" s="13">
        <f>IF('Données projet'!$A$140&gt;35,CT25+CS26-DB25,IF(A26&lt;'Données projet'!$A$140,$CQ$205^A26,IF(A26='Données projet'!$A$140,'Données projet'!$B$140,CT25+CS26-DB25)))</f>
        <v>81.923076923076934</v>
      </c>
      <c r="CU26" s="18">
        <f>CT26*VLOOKUP('Données projet'!$B$13,Paramètres!$A$1:$I$89,3,0)*VLOOKUP('Données projet'!$B$13,Paramètres!$A$1:$I$89,5,0)</f>
        <v>77.958000000000013</v>
      </c>
      <c r="CV26" s="14">
        <f t="shared" si="41"/>
        <v>21.637155663637412</v>
      </c>
      <c r="CW26" s="22">
        <f t="shared" si="13"/>
        <v>173.46156278083515</v>
      </c>
      <c r="CX26" s="60">
        <f t="shared" si="14"/>
        <v>396.94675949038162</v>
      </c>
      <c r="CY26" s="60">
        <f ca="1">AVERAGE(OFFSET($CX$3,0,0,'Données projet'!$E$13+1,1))-AVERAGE(OFFSET($H$3,0,0,'Données projet'!$E$13+1,1))</f>
        <v>388.53310909800695</v>
      </c>
      <c r="CZ26" s="60">
        <f t="shared" si="42"/>
        <v>263.82153161042811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356.39401090659169</v>
      </c>
      <c r="S27" s="60">
        <f ca="1">AVERAGE(OFFSET($R$3,0,0,'Données projet'!$E$9+1,1))-AVERAGE(OFFSET($H$3,0,0,'Données projet'!$E$9+1,1))</f>
        <v>469.67944008675863</v>
      </c>
      <c r="T27" s="60">
        <f t="shared" si="34"/>
        <v>266.11908070867173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15.6</v>
      </c>
      <c r="AI27" s="14">
        <f>IF('Données projet'!$A$62&gt;35,AI26+AH27-AQ26,IF(A27&lt;'Données projet'!$A$62,$AF$205^A27,IF(A27='Données projet'!$A$62,'Données projet'!$B$62,AI26+AH27-AQ26)))</f>
        <v>99.399999999999977</v>
      </c>
      <c r="AJ27" s="14">
        <f>AI27*VLOOKUP('Données projet'!$B$10,Paramètres!$A$1:$I$89,3,0)*VLOOKUP('Données projet'!$B$10,Paramètres!$A$1:$I$89,5,0)</f>
        <v>79.082639999999984</v>
      </c>
      <c r="AK27" s="14">
        <f t="shared" si="35"/>
        <v>21.912734504175745</v>
      </c>
      <c r="AL27" s="22">
        <f t="shared" si="4"/>
        <v>175.90027726143936</v>
      </c>
      <c r="AM27" s="60">
        <f t="shared" si="5"/>
        <v>401.67098544505916</v>
      </c>
      <c r="AN27" s="60">
        <f ca="1">AVERAGE(OFFSET($AM$3,0,0,'Données projet'!$E$10+1,1))-AVERAGE(OFFSET($H$3,0,0,'Données projet'!$E$10+1,1))</f>
        <v>323.1883858932618</v>
      </c>
      <c r="AO27" s="60">
        <f t="shared" si="36"/>
        <v>313.39536932399085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</v>
      </c>
      <c r="BD27" s="13">
        <f>IF('Données projet'!$A$88&gt;35,BD26+BC27-BL26,IF(A27&lt;'Données projet'!$A$88,$BA$205^A27,IF(A27='Données projet'!$A$88,'Données projet'!$B$88,BD26+BC27-BL26)))</f>
        <v>99.399999999999977</v>
      </c>
      <c r="BE27" s="14">
        <f>BD27*VLOOKUP('Données projet'!$B$11,Paramètres!$A$1:$I$89,3,0)*VLOOKUP('Données projet'!$B$11,Paramètres!$A$1:$I$89,5,0)</f>
        <v>72.880079999999992</v>
      </c>
      <c r="BF27" s="14">
        <f t="shared" si="37"/>
        <v>20.386995943308538</v>
      </c>
      <c r="BG27" s="22">
        <f t="shared" si="7"/>
        <v>162.44015726792901</v>
      </c>
      <c r="BH27" s="60">
        <f t="shared" si="8"/>
        <v>388.21086545154878</v>
      </c>
      <c r="BI27" s="60">
        <f ca="1">AVERAGE(OFFSET($BH$3,0,0,'Données projet'!$E$11+1,1))-AVERAGE(OFFSET($H$3,0,0,'Données projet'!$E$11+1,1))</f>
        <v>302.52480941204414</v>
      </c>
      <c r="BJ27" s="60">
        <f t="shared" si="38"/>
        <v>293.66452856196088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54.250560000000007</v>
      </c>
      <c r="CA27" s="14">
        <f t="shared" si="39"/>
        <v>15.706218631166928</v>
      </c>
      <c r="CB27" s="22">
        <f t="shared" si="10"/>
        <v>121.84138944928242</v>
      </c>
      <c r="CC27" s="60">
        <f t="shared" si="11"/>
        <v>347.61209763290219</v>
      </c>
      <c r="CD27" s="60">
        <f ca="1">AVERAGE(OFFSET($CC$3,0,0,'Données projet'!$E$12+1,1))-AVERAGE(OFFSET($H$3,0,0,'Données projet'!$E$12+1,1))</f>
        <v>442.98179778678298</v>
      </c>
      <c r="CE27" s="60">
        <f t="shared" si="40"/>
        <v>251.96153561746942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6.1538461538461533</v>
      </c>
      <c r="CT27" s="13">
        <f>IF('Données projet'!$A$140&gt;35,CT26+CS27-DB26,IF(A27&lt;'Données projet'!$A$140,$CQ$205^A27,IF(A27='Données projet'!$A$140,'Données projet'!$B$140,CT26+CS27-DB26)))</f>
        <v>88.076923076923094</v>
      </c>
      <c r="CU27" s="18">
        <f>CT27*VLOOKUP('Données projet'!$B$13,Paramètres!$A$1:$I$89,3,0)*VLOOKUP('Données projet'!$B$13,Paramètres!$A$1:$I$89,5,0)</f>
        <v>83.814000000000021</v>
      </c>
      <c r="CV27" s="14">
        <f t="shared" si="41"/>
        <v>23.067184225497325</v>
      </c>
      <c r="CW27" s="22">
        <f t="shared" si="13"/>
        <v>186.1513958594079</v>
      </c>
      <c r="CX27" s="60">
        <f t="shared" si="14"/>
        <v>411.92210404302773</v>
      </c>
      <c r="CY27" s="60">
        <f ca="1">AVERAGE(OFFSET($CX$3,0,0,'Données projet'!$E$13+1,1))-AVERAGE(OFFSET($H$3,0,0,'Données projet'!$E$13+1,1))</f>
        <v>388.53310909800695</v>
      </c>
      <c r="CZ27" s="60">
        <f t="shared" si="42"/>
        <v>263.82153161042811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369.71371867296341</v>
      </c>
      <c r="S28" s="60">
        <f ca="1">AVERAGE(OFFSET($R$3,0,0,'Données projet'!$E$9+1,1))-AVERAGE(OFFSET($H$3,0,0,'Données projet'!$E$9+1,1))</f>
        <v>469.67944008675863</v>
      </c>
      <c r="T28" s="60">
        <f t="shared" si="34"/>
        <v>266.11908070867173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115</v>
      </c>
      <c r="AG28" s="13">
        <f>VLOOKUP(A28,'Données projet'!$A$61:$I$81,9,0)</f>
        <v>15.6</v>
      </c>
      <c r="AH28" s="13">
        <f t="array" ref="AH28">INDEX(AG:AG,MIN(IF(ISNUMBER(AG28:AG224),ROW(AG28:AG224),"")))</f>
        <v>15.6</v>
      </c>
      <c r="AI28" s="14">
        <f>IF('Données projet'!$A$62&gt;35,AI27+AH28-AQ27,IF(A28&lt;'Données projet'!$A$62,$AF$205^A28,IF(A28='Données projet'!$A$62,'Données projet'!$B$62,AI27+AH28-AQ27)))</f>
        <v>114.99999999999997</v>
      </c>
      <c r="AJ28" s="14">
        <f>AI28*VLOOKUP('Données projet'!$B$10,Paramètres!$A$1:$I$89,3,0)*VLOOKUP('Données projet'!$B$10,Paramètres!$A$1:$I$89,5,0)</f>
        <v>91.493999999999986</v>
      </c>
      <c r="AK28" s="14">
        <f t="shared" si="35"/>
        <v>24.925195840896517</v>
      </c>
      <c r="AL28" s="22">
        <f t="shared" si="4"/>
        <v>202.76343275622807</v>
      </c>
      <c r="AM28" s="60">
        <f t="shared" si="5"/>
        <v>430.80120672256021</v>
      </c>
      <c r="AN28" s="60">
        <f ca="1">AVERAGE(OFFSET($AM$3,0,0,'Données projet'!$E$10+1,1))-AVERAGE(OFFSET($H$3,0,0,'Données projet'!$E$10+1,1))</f>
        <v>323.1883858932618</v>
      </c>
      <c r="AO28" s="60">
        <f t="shared" si="36"/>
        <v>313.39536932399085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115</v>
      </c>
      <c r="BB28" s="13">
        <f>VLOOKUP(A28,'Données projet'!$A$87:$I$107,9,0)</f>
        <v>15.6</v>
      </c>
      <c r="BC28" s="13">
        <f t="array" ref="BC28">INDEX(BB:BB,MIN(IF(ISNUMBER(BB28:BB224),ROW(BB28:BB224),"")))</f>
        <v>15.6</v>
      </c>
      <c r="BD28" s="13">
        <f>IF('Données projet'!$A$88&gt;35,BD27+BC28-BL27,IF(A28&lt;'Données projet'!$A$88,$BA$205^A28,IF(A28='Données projet'!$A$88,'Données projet'!$B$88,BD27+BC28-BL27)))</f>
        <v>114.99999999999997</v>
      </c>
      <c r="BE28" s="14">
        <f>BD28*VLOOKUP('Données projet'!$B$11,Paramètres!$A$1:$I$89,3,0)*VLOOKUP('Données projet'!$B$11,Paramètres!$A$1:$I$89,5,0)</f>
        <v>84.317999999999969</v>
      </c>
      <c r="BF28" s="14">
        <f t="shared" si="37"/>
        <v>23.189705803157239</v>
      </c>
      <c r="BG28" s="22">
        <f t="shared" si="7"/>
        <v>187.24258760716546</v>
      </c>
      <c r="BH28" s="60">
        <f t="shared" si="8"/>
        <v>415.28036157349754</v>
      </c>
      <c r="BI28" s="60">
        <f ca="1">AVERAGE(OFFSET($BH$3,0,0,'Données projet'!$E$11+1,1))-AVERAGE(OFFSET($H$3,0,0,'Données projet'!$E$11+1,1))</f>
        <v>302.52480941204414</v>
      </c>
      <c r="BJ28" s="60">
        <f t="shared" si="38"/>
        <v>293.66452856196088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58.968000000000011</v>
      </c>
      <c r="CA28" s="14">
        <f t="shared" si="39"/>
        <v>16.907084152971134</v>
      </c>
      <c r="CB28" s="22">
        <f t="shared" si="10"/>
        <v>132.14910489975807</v>
      </c>
      <c r="CC28" s="60">
        <f t="shared" si="11"/>
        <v>360.18687886609018</v>
      </c>
      <c r="CD28" s="60">
        <f ca="1">AVERAGE(OFFSET($CC$3,0,0,'Données projet'!$E$12+1,1))-AVERAGE(OFFSET($H$3,0,0,'Données projet'!$E$12+1,1))</f>
        <v>442.98179778678298</v>
      </c>
      <c r="CE28" s="60">
        <f t="shared" si="40"/>
        <v>251.96153561746942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94.230769230769226</v>
      </c>
      <c r="CR28" s="13">
        <f>VLOOKUP(A28,'Données projet'!$A$139:$I$159,9,0)</f>
        <v>6.1538461538461533</v>
      </c>
      <c r="CS28" s="13">
        <f t="array" ref="CS28">INDEX(CR:CR,MIN(IF(ISNUMBER(CR28:CR224),ROW(CR28:CR224),"")))</f>
        <v>6.1538461538461533</v>
      </c>
      <c r="CT28" s="13">
        <f>IF('Données projet'!$A$140&gt;35,CT27+CS28-DB27,IF(A28&lt;'Données projet'!$A$140,$CQ$205^A28,IF(A28='Données projet'!$A$140,'Données projet'!$B$140,CT27+CS28-DB27)))</f>
        <v>94.230769230769255</v>
      </c>
      <c r="CU28" s="18">
        <f>CT28*VLOOKUP('Données projet'!$B$13,Paramètres!$A$1:$I$89,3,0)*VLOOKUP('Données projet'!$B$13,Paramètres!$A$1:$I$89,5,0)</f>
        <v>89.67000000000003</v>
      </c>
      <c r="CV28" s="14">
        <f t="shared" si="41"/>
        <v>24.4856199329822</v>
      </c>
      <c r="CW28" s="22">
        <f t="shared" si="13"/>
        <v>198.82103804994404</v>
      </c>
      <c r="CX28" s="60">
        <f t="shared" si="14"/>
        <v>426.85881201627615</v>
      </c>
      <c r="CY28" s="60">
        <f ca="1">AVERAGE(OFFSET($CX$3,0,0,'Données projet'!$E$13+1,1))-AVERAGE(OFFSET($H$3,0,0,'Données projet'!$E$13+1,1))</f>
        <v>388.53310909800695</v>
      </c>
      <c r="CZ28" s="60">
        <f t="shared" si="42"/>
        <v>263.82153161042811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26.923076923076923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0">
        <f t="shared" si="0"/>
        <v>385.74959630537921</v>
      </c>
      <c r="S29" s="60">
        <f ca="1">AVERAGE(OFFSET($R$3,0,0,'Données projet'!$E$9+1,1))-AVERAGE(OFFSET($H$3,0,0,'Données projet'!$E$9+1,1))</f>
        <v>469.67944008675863</v>
      </c>
      <c r="T29" s="60">
        <f t="shared" si="34"/>
        <v>266.11908070867173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6.4</v>
      </c>
      <c r="AI29" s="14">
        <f>IF('Données projet'!$A$62&gt;35,AI28+AH29-AQ28,IF(A29&lt;'Données projet'!$A$62,$AF$205^A29,IF(A29='Données projet'!$A$62,'Données projet'!$B$62,AI28+AH29-AQ28)))</f>
        <v>121.39999999999998</v>
      </c>
      <c r="AJ29" s="14">
        <f>AI29*VLOOKUP('Données projet'!$B$10,Paramètres!$A$1:$I$89,3,0)*VLOOKUP('Données projet'!$B$10,Paramètres!$A$1:$I$89,5,0)</f>
        <v>96.58583999999999</v>
      </c>
      <c r="AK29" s="14">
        <f t="shared" si="35"/>
        <v>26.146983882464014</v>
      </c>
      <c r="AL29" s="22">
        <f t="shared" si="4"/>
        <v>213.75966826195815</v>
      </c>
      <c r="AM29" s="60">
        <f t="shared" si="5"/>
        <v>444.04638231114836</v>
      </c>
      <c r="AN29" s="60">
        <f ca="1">AVERAGE(OFFSET($AM$3,0,0,'Données projet'!$E$10+1,1))-AVERAGE(OFFSET($H$3,0,0,'Données projet'!$E$10+1,1))</f>
        <v>323.1883858932618</v>
      </c>
      <c r="AO29" s="60">
        <f t="shared" si="36"/>
        <v>313.39536932399085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6.4</v>
      </c>
      <c r="BD29" s="13">
        <f>IF('Données projet'!$A$88&gt;35,BD28+BC29-BL28,IF(A29&lt;'Données projet'!$A$88,$BA$205^A29,IF(A29='Données projet'!$A$88,'Données projet'!$B$88,BD28+BC29-BL28)))</f>
        <v>121.39999999999998</v>
      </c>
      <c r="BE29" s="14">
        <f>BD29*VLOOKUP('Données projet'!$B$11,Paramètres!$A$1:$I$89,3,0)*VLOOKUP('Données projet'!$B$11,Paramètres!$A$1:$I$89,5,0)</f>
        <v>89.010479999999987</v>
      </c>
      <c r="BF29" s="14">
        <f t="shared" si="37"/>
        <v>24.326423260408991</v>
      </c>
      <c r="BG29" s="22">
        <f t="shared" si="7"/>
        <v>197.39510651187894</v>
      </c>
      <c r="BH29" s="60">
        <f t="shared" si="8"/>
        <v>427.68182056106912</v>
      </c>
      <c r="BI29" s="60">
        <f ca="1">AVERAGE(OFFSET($BH$3,0,0,'Données projet'!$E$11+1,1))-AVERAGE(OFFSET($H$3,0,0,'Données projet'!$E$11+1,1))</f>
        <v>302.52480941204414</v>
      </c>
      <c r="BJ29" s="60">
        <f t="shared" si="38"/>
        <v>293.66452856196088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64.864800000000017</v>
      </c>
      <c r="CA29" s="14">
        <f t="shared" si="39"/>
        <v>18.392606985756636</v>
      </c>
      <c r="CB29" s="22">
        <f t="shared" si="10"/>
        <v>145.00665050019282</v>
      </c>
      <c r="CC29" s="60">
        <f t="shared" si="11"/>
        <v>375.293364549383</v>
      </c>
      <c r="CD29" s="60">
        <f ca="1">AVERAGE(OFFSET($CC$3,0,0,'Données projet'!$E$12+1,1))-AVERAGE(OFFSET($H$3,0,0,'Données projet'!$E$12+1,1))</f>
        <v>442.98179778678298</v>
      </c>
      <c r="CE29" s="60">
        <f t="shared" si="40"/>
        <v>251.96153561746942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6.2820512820512819</v>
      </c>
      <c r="CT29" s="13">
        <f>IF('Données projet'!$A$140&gt;35,CT28+CS29-DB28,IF(A29&lt;'Données projet'!$A$140,$CQ$205^A29,IF(A29='Données projet'!$A$140,'Données projet'!$B$140,CT28+CS29-DB28)))</f>
        <v>73.58974358974362</v>
      </c>
      <c r="CU29" s="18">
        <f>CT29*VLOOKUP('Données projet'!$B$13,Paramètres!$A$1:$I$89,3,0)*VLOOKUP('Données projet'!$B$13,Paramètres!$A$1:$I$89,5,0)</f>
        <v>70.028000000000034</v>
      </c>
      <c r="CV29" s="14">
        <f t="shared" si="41"/>
        <v>19.680410796372318</v>
      </c>
      <c r="CW29" s="22">
        <f t="shared" si="13"/>
        <v>156.24214880368183</v>
      </c>
      <c r="CX29" s="60">
        <f t="shared" si="14"/>
        <v>386.52886285287201</v>
      </c>
      <c r="CY29" s="60">
        <f ca="1">AVERAGE(OFFSET($CX$3,0,0,'Données projet'!$E$13+1,1))-AVERAGE(OFFSET($H$3,0,0,'Données projet'!$E$13+1,1))</f>
        <v>388.53310909800695</v>
      </c>
      <c r="CZ29" s="60">
        <f t="shared" si="42"/>
        <v>263.82153161042811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0">
        <f t="shared" si="0"/>
        <v>401.738611608631</v>
      </c>
      <c r="S30" s="60">
        <f ca="1">AVERAGE(OFFSET($R$3,0,0,'Données projet'!$E$9+1,1))-AVERAGE(OFFSET($H$3,0,0,'Données projet'!$E$9+1,1))</f>
        <v>469.67944008675863</v>
      </c>
      <c r="T30" s="60">
        <f t="shared" si="34"/>
        <v>266.11908070867173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6.4</v>
      </c>
      <c r="AI30" s="14">
        <f>IF('Données projet'!$A$62&gt;35,AI29+AH30-AQ29,IF(A30&lt;'Données projet'!$A$62,$AF$205^A30,IF(A30='Données projet'!$A$62,'Données projet'!$B$62,AI29+AH30-AQ29)))</f>
        <v>127.79999999999998</v>
      </c>
      <c r="AJ30" s="14">
        <f>AI30*VLOOKUP('Données projet'!$B$10,Paramètres!$A$1:$I$89,3,0)*VLOOKUP('Données projet'!$B$10,Paramètres!$A$1:$I$89,5,0)</f>
        <v>101.67768</v>
      </c>
      <c r="AK30" s="14">
        <f t="shared" si="35"/>
        <v>27.361293833270413</v>
      </c>
      <c r="AL30" s="22">
        <f t="shared" si="4"/>
        <v>224.74287942627927</v>
      </c>
      <c r="AM30" s="60">
        <f t="shared" si="5"/>
        <v>457.26072229884278</v>
      </c>
      <c r="AN30" s="60">
        <f ca="1">AVERAGE(OFFSET($AM$3,0,0,'Données projet'!$E$10+1,1))-AVERAGE(OFFSET($H$3,0,0,'Données projet'!$E$10+1,1))</f>
        <v>323.1883858932618</v>
      </c>
      <c r="AO30" s="60">
        <f t="shared" si="36"/>
        <v>313.39536932399085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6.4</v>
      </c>
      <c r="BD30" s="13">
        <f>IF('Données projet'!$A$88&gt;35,BD29+BC30-BL29,IF(A30&lt;'Données projet'!$A$88,$BA$205^A30,IF(A30='Données projet'!$A$88,'Données projet'!$B$88,BD29+BC30-BL29)))</f>
        <v>127.79999999999998</v>
      </c>
      <c r="BE30" s="14">
        <f>BD30*VLOOKUP('Données projet'!$B$11,Paramètres!$A$1:$I$89,3,0)*VLOOKUP('Données projet'!$B$11,Paramètres!$A$1:$I$89,5,0)</f>
        <v>93.70295999999999</v>
      </c>
      <c r="BF30" s="14">
        <f t="shared" si="37"/>
        <v>25.456183310953627</v>
      </c>
      <c r="BG30" s="22">
        <f t="shared" si="7"/>
        <v>207.53550793324425</v>
      </c>
      <c r="BH30" s="60">
        <f t="shared" si="8"/>
        <v>440.05335080580778</v>
      </c>
      <c r="BI30" s="60">
        <f ca="1">AVERAGE(OFFSET($BH$3,0,0,'Données projet'!$E$11+1,1))-AVERAGE(OFFSET($H$3,0,0,'Données projet'!$E$11+1,1))</f>
        <v>302.52480941204414</v>
      </c>
      <c r="BJ30" s="60">
        <f t="shared" si="38"/>
        <v>293.66452856196088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70.761600000000001</v>
      </c>
      <c r="CA30" s="14">
        <f t="shared" si="39"/>
        <v>19.862470414169767</v>
      </c>
      <c r="CB30" s="22">
        <f t="shared" si="10"/>
        <v>157.83692263801234</v>
      </c>
      <c r="CC30" s="60">
        <f t="shared" si="11"/>
        <v>390.35476551057582</v>
      </c>
      <c r="CD30" s="60">
        <f ca="1">AVERAGE(OFFSET($CC$3,0,0,'Données projet'!$E$12+1,1))-AVERAGE(OFFSET($H$3,0,0,'Données projet'!$E$12+1,1))</f>
        <v>442.98179778678298</v>
      </c>
      <c r="CE30" s="60">
        <f t="shared" si="40"/>
        <v>251.96153561746942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6.2820512820512819</v>
      </c>
      <c r="CT30" s="13">
        <f>IF('Données projet'!$A$140&gt;35,CT29+CS30-DB29,IF(A30&lt;'Données projet'!$A$140,$CQ$205^A30,IF(A30='Données projet'!$A$140,'Données projet'!$B$140,CT29+CS30-DB29)))</f>
        <v>79.871794871794904</v>
      </c>
      <c r="CU30" s="18">
        <f>CT30*VLOOKUP('Données projet'!$B$13,Paramètres!$A$1:$I$89,3,0)*VLOOKUP('Données projet'!$B$13,Paramètres!$A$1:$I$89,5,0)</f>
        <v>76.006000000000029</v>
      </c>
      <c r="CV30" s="14">
        <f t="shared" si="41"/>
        <v>21.157738701449713</v>
      </c>
      <c r="CW30" s="22">
        <f t="shared" si="13"/>
        <v>169.22684490502496</v>
      </c>
      <c r="CX30" s="60">
        <f t="shared" si="14"/>
        <v>401.74468777758847</v>
      </c>
      <c r="CY30" s="60">
        <f ca="1">AVERAGE(OFFSET($CX$3,0,0,'Données projet'!$E$13+1,1))-AVERAGE(OFFSET($H$3,0,0,'Données projet'!$E$13+1,1))</f>
        <v>388.53310909800695</v>
      </c>
      <c r="CZ30" s="60">
        <f t="shared" si="42"/>
        <v>263.82153161042811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0">
        <f t="shared" si="0"/>
        <v>417.68376972810944</v>
      </c>
      <c r="S31" s="60">
        <f ca="1">AVERAGE(OFFSET($R$3,0,0,'Données projet'!$E$9+1,1))-AVERAGE(OFFSET($H$3,0,0,'Données projet'!$E$9+1,1))</f>
        <v>469.67944008675863</v>
      </c>
      <c r="T31" s="60">
        <f t="shared" si="34"/>
        <v>266.11908070867173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6.4</v>
      </c>
      <c r="AI31" s="14">
        <f>IF('Données projet'!$A$62&gt;35,AI30+AH31-AQ30,IF(A31&lt;'Données projet'!$A$62,$AF$205^A31,IF(A31='Données projet'!$A$62,'Données projet'!$B$62,AI30+AH31-AQ30)))</f>
        <v>134.19999999999999</v>
      </c>
      <c r="AJ31" s="14">
        <f>AI31*VLOOKUP('Données projet'!$B$10,Paramètres!$A$1:$I$89,3,0)*VLOOKUP('Données projet'!$B$10,Paramètres!$A$1:$I$89,5,0)</f>
        <v>106.76951999999999</v>
      </c>
      <c r="AK31" s="14">
        <f t="shared" si="35"/>
        <v>28.568542914630683</v>
      </c>
      <c r="AL31" s="22">
        <f t="shared" si="4"/>
        <v>235.71379290964839</v>
      </c>
      <c r="AM31" s="60">
        <f t="shared" si="5"/>
        <v>470.44526233163248</v>
      </c>
      <c r="AN31" s="60">
        <f ca="1">AVERAGE(OFFSET($AM$3,0,0,'Données projet'!$E$10+1,1))-AVERAGE(OFFSET($H$3,0,0,'Données projet'!$E$10+1,1))</f>
        <v>323.1883858932618</v>
      </c>
      <c r="AO31" s="60">
        <f t="shared" si="36"/>
        <v>313.39536932399085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6.4</v>
      </c>
      <c r="BD31" s="13">
        <f>IF('Données projet'!$A$88&gt;35,BD30+BC31-BL30,IF(A31&lt;'Données projet'!$A$88,$BA$205^A31,IF(A31='Données projet'!$A$88,'Données projet'!$B$88,BD30+BC31-BL30)))</f>
        <v>134.19999999999999</v>
      </c>
      <c r="BE31" s="14">
        <f>BD31*VLOOKUP('Données projet'!$B$11,Paramètres!$A$1:$I$89,3,0)*VLOOKUP('Données projet'!$B$11,Paramètres!$A$1:$I$89,5,0)</f>
        <v>98.395439999999994</v>
      </c>
      <c r="BF31" s="14">
        <f t="shared" si="37"/>
        <v>26.57937412584554</v>
      </c>
      <c r="BG31" s="22">
        <f t="shared" si="7"/>
        <v>217.66446793584763</v>
      </c>
      <c r="BH31" s="60">
        <f t="shared" si="8"/>
        <v>452.39593735783171</v>
      </c>
      <c r="BI31" s="60">
        <f ca="1">AVERAGE(OFFSET($BH$3,0,0,'Données projet'!$E$11+1,1))-AVERAGE(OFFSET($H$3,0,0,'Données projet'!$E$11+1,1))</f>
        <v>302.52480941204414</v>
      </c>
      <c r="BJ31" s="60">
        <f t="shared" si="38"/>
        <v>293.66452856196088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76.6584</v>
      </c>
      <c r="CA31" s="14">
        <f t="shared" si="39"/>
        <v>21.318127749842347</v>
      </c>
      <c r="CB31" s="22">
        <f t="shared" si="10"/>
        <v>170.6424524976421</v>
      </c>
      <c r="CC31" s="60">
        <f t="shared" si="11"/>
        <v>405.37392191962618</v>
      </c>
      <c r="CD31" s="60">
        <f ca="1">AVERAGE(OFFSET($CC$3,0,0,'Données projet'!$E$12+1,1))-AVERAGE(OFFSET($H$3,0,0,'Données projet'!$E$12+1,1))</f>
        <v>442.98179778678298</v>
      </c>
      <c r="CE31" s="60">
        <f t="shared" si="40"/>
        <v>251.96153561746942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6.2820512820512819</v>
      </c>
      <c r="CT31" s="13">
        <f>IF('Données projet'!$A$140&gt;35,CT30+CS31-DB30,IF(A31&lt;'Données projet'!$A$140,$CQ$205^A31,IF(A31='Données projet'!$A$140,'Données projet'!$B$140,CT30+CS31-DB30)))</f>
        <v>86.153846153846189</v>
      </c>
      <c r="CU31" s="18">
        <f>CT31*VLOOKUP('Données projet'!$B$13,Paramètres!$A$1:$I$89,3,0)*VLOOKUP('Données projet'!$B$13,Paramètres!$A$1:$I$89,5,0)</f>
        <v>81.984000000000037</v>
      </c>
      <c r="CV31" s="14">
        <f t="shared" si="41"/>
        <v>22.621588649697724</v>
      </c>
      <c r="CW31" s="22">
        <f t="shared" si="13"/>
        <v>182.18806689822361</v>
      </c>
      <c r="CX31" s="60">
        <f t="shared" si="14"/>
        <v>416.91953632020773</v>
      </c>
      <c r="CY31" s="60">
        <f ca="1">AVERAGE(OFFSET($CX$3,0,0,'Données projet'!$E$13+1,1))-AVERAGE(OFFSET($H$3,0,0,'Données projet'!$E$13+1,1))</f>
        <v>388.53310909800695</v>
      </c>
      <c r="CZ31" s="60">
        <f t="shared" si="42"/>
        <v>263.82153161042811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0">
        <f t="shared" si="0"/>
        <v>433.58763209221468</v>
      </c>
      <c r="S32" s="60">
        <f ca="1">AVERAGE(OFFSET($R$3,0,0,'Données projet'!$E$9+1,1))-AVERAGE(OFFSET($H$3,0,0,'Données projet'!$E$9+1,1))</f>
        <v>469.67944008675863</v>
      </c>
      <c r="T32" s="60">
        <f t="shared" si="34"/>
        <v>266.11908070867173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6.4</v>
      </c>
      <c r="AI32" s="14">
        <f>IF('Données projet'!$A$62&gt;35,AI31+AH32-AQ31,IF(A32&lt;'Données projet'!$A$62,$AF$205^A32,IF(A32='Données projet'!$A$62,'Données projet'!$B$62,AI31+AH32-AQ31)))</f>
        <v>140.6</v>
      </c>
      <c r="AJ32" s="14">
        <f>AI32*VLOOKUP('Données projet'!$B$10,Paramètres!$A$1:$I$89,3,0)*VLOOKUP('Données projet'!$B$10,Paramètres!$A$1:$I$89,5,0)</f>
        <v>111.86136</v>
      </c>
      <c r="AK32" s="14">
        <f t="shared" si="35"/>
        <v>29.769106304683568</v>
      </c>
      <c r="AL32" s="22">
        <f t="shared" si="4"/>
        <v>246.67306214732389</v>
      </c>
      <c r="AM32" s="60">
        <f t="shared" si="5"/>
        <v>483.60095947009972</v>
      </c>
      <c r="AN32" s="60">
        <f ca="1">AVERAGE(OFFSET($AM$3,0,0,'Données projet'!$E$10+1,1))-AVERAGE(OFFSET($H$3,0,0,'Données projet'!$E$10+1,1))</f>
        <v>323.1883858932618</v>
      </c>
      <c r="AO32" s="60">
        <f t="shared" si="36"/>
        <v>313.39536932399085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6.4</v>
      </c>
      <c r="BD32" s="13">
        <f>IF('Données projet'!$A$88&gt;35,BD31+BC32-BL31,IF(A32&lt;'Données projet'!$A$88,$BA$205^A32,IF(A32='Données projet'!$A$88,'Données projet'!$B$88,BD31+BC32-BL31)))</f>
        <v>140.6</v>
      </c>
      <c r="BE32" s="14">
        <f>BD32*VLOOKUP('Données projet'!$B$11,Paramètres!$A$1:$I$89,3,0)*VLOOKUP('Données projet'!$B$11,Paramètres!$A$1:$I$89,5,0)</f>
        <v>103.08792</v>
      </c>
      <c r="BF32" s="14">
        <f t="shared" si="37"/>
        <v>27.696344760342487</v>
      </c>
      <c r="BG32" s="22">
        <f t="shared" si="7"/>
        <v>227.7825944575965</v>
      </c>
      <c r="BH32" s="60">
        <f t="shared" si="8"/>
        <v>464.71049178037231</v>
      </c>
      <c r="BI32" s="60">
        <f ca="1">AVERAGE(OFFSET($BH$3,0,0,'Données projet'!$E$11+1,1))-AVERAGE(OFFSET($H$3,0,0,'Données projet'!$E$11+1,1))</f>
        <v>302.52480941204414</v>
      </c>
      <c r="BJ32" s="60">
        <f t="shared" si="38"/>
        <v>293.66452856196088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82.555199999999999</v>
      </c>
      <c r="CA32" s="14">
        <f t="shared" si="39"/>
        <v>22.760796016854769</v>
      </c>
      <c r="CB32" s="22">
        <f t="shared" si="10"/>
        <v>183.42535972935536</v>
      </c>
      <c r="CC32" s="60">
        <f t="shared" si="11"/>
        <v>420.3532570521312</v>
      </c>
      <c r="CD32" s="60">
        <f ca="1">AVERAGE(OFFSET($CC$3,0,0,'Données projet'!$E$12+1,1))-AVERAGE(OFFSET($H$3,0,0,'Données projet'!$E$12+1,1))</f>
        <v>442.98179778678298</v>
      </c>
      <c r="CE32" s="60">
        <f t="shared" si="40"/>
        <v>251.96153561746942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6.2820512820512819</v>
      </c>
      <c r="CT32" s="13">
        <f>IF('Données projet'!$A$140&gt;35,CT31+CS32-DB31,IF(A32&lt;'Données projet'!$A$140,$CQ$205^A32,IF(A32='Données projet'!$A$140,'Données projet'!$B$140,CT31+CS32-DB31)))</f>
        <v>92.435897435897473</v>
      </c>
      <c r="CU32" s="18">
        <f>CT32*VLOOKUP('Données projet'!$B$13,Paramètres!$A$1:$I$89,3,0)*VLOOKUP('Données projet'!$B$13,Paramètres!$A$1:$I$89,5,0)</f>
        <v>87.962000000000032</v>
      </c>
      <c r="CV32" s="14">
        <f t="shared" si="41"/>
        <v>24.073055170979362</v>
      </c>
      <c r="CW32" s="22">
        <f t="shared" si="13"/>
        <v>195.12772108945578</v>
      </c>
      <c r="CX32" s="60">
        <f t="shared" si="14"/>
        <v>432.05561841223164</v>
      </c>
      <c r="CY32" s="60">
        <f ca="1">AVERAGE(OFFSET($CX$3,0,0,'Données projet'!$E$13+1,1))-AVERAGE(OFFSET($H$3,0,0,'Données projet'!$E$13+1,1))</f>
        <v>388.53310909800695</v>
      </c>
      <c r="CZ32" s="60">
        <f t="shared" si="42"/>
        <v>263.82153161042811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0">
        <f t="shared" si="0"/>
        <v>449.45241404200505</v>
      </c>
      <c r="S33" s="60">
        <f ca="1">AVERAGE(OFFSET($R$3,0,0,'Données projet'!$E$9+1,1))-AVERAGE(OFFSET($H$3,0,0,'Données projet'!$E$9+1,1))</f>
        <v>469.67944008675863</v>
      </c>
      <c r="T33" s="60">
        <f t="shared" si="34"/>
        <v>266.11908070867173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147</v>
      </c>
      <c r="AG33" s="13">
        <f>VLOOKUP(A33,'Données projet'!$A$61:$I$81,9,0)</f>
        <v>6.4</v>
      </c>
      <c r="AH33" s="13">
        <f t="array" ref="AH33">INDEX(AG:AG,MIN(IF(ISNUMBER(AG33:AG229),ROW(AG33:AG229),"")))</f>
        <v>6.4</v>
      </c>
      <c r="AI33" s="14">
        <f>IF('Données projet'!$A$62&gt;35,AI32+AH33-AQ32,IF(A33&lt;'Données projet'!$A$62,$AF$205^A33,IF(A33='Données projet'!$A$62,'Données projet'!$B$62,AI32+AH33-AQ32)))</f>
        <v>147</v>
      </c>
      <c r="AJ33" s="14">
        <f>AI33*VLOOKUP('Données projet'!$B$10,Paramètres!$A$1:$I$89,3,0)*VLOOKUP('Données projet'!$B$10,Paramètres!$A$1:$I$89,5,0)</f>
        <v>116.9532</v>
      </c>
      <c r="AK33" s="14">
        <f t="shared" si="35"/>
        <v>30.963323095281662</v>
      </c>
      <c r="AL33" s="22">
        <f t="shared" si="4"/>
        <v>257.62127772428227</v>
      </c>
      <c r="AM33" s="60">
        <f t="shared" si="5"/>
        <v>496.72870265732422</v>
      </c>
      <c r="AN33" s="60">
        <f ca="1">AVERAGE(OFFSET($AM$3,0,0,'Données projet'!$E$10+1,1))-AVERAGE(OFFSET($H$3,0,0,'Données projet'!$E$10+1,1))</f>
        <v>323.1883858932618</v>
      </c>
      <c r="AO33" s="60">
        <f t="shared" si="36"/>
        <v>313.39536932399085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147</v>
      </c>
      <c r="BB33" s="13">
        <f>VLOOKUP(A33,'Données projet'!$A$87:$I$107,9,0)</f>
        <v>6.4</v>
      </c>
      <c r="BC33" s="13">
        <f t="array" ref="BC33">INDEX(BB:BB,MIN(IF(ISNUMBER(BB33:BB229),ROW(BB33:BB229),"")))</f>
        <v>6.4</v>
      </c>
      <c r="BD33" s="13">
        <f>IF('Données projet'!$A$88&gt;35,BD32+BC33-BL32,IF(A33&lt;'Données projet'!$A$88,$BA$205^A33,IF(A33='Données projet'!$A$88,'Données projet'!$B$88,BD32+BC33-BL32)))</f>
        <v>147</v>
      </c>
      <c r="BE33" s="14">
        <f>BD33*VLOOKUP('Données projet'!$B$11,Paramètres!$A$1:$I$89,3,0)*VLOOKUP('Données projet'!$B$11,Paramètres!$A$1:$I$89,5,0)</f>
        <v>107.78039999999999</v>
      </c>
      <c r="BF33" s="14">
        <f t="shared" si="37"/>
        <v>28.807410696030036</v>
      </c>
      <c r="BG33" s="22">
        <f t="shared" si="7"/>
        <v>237.89043696225227</v>
      </c>
      <c r="BH33" s="60">
        <f t="shared" si="8"/>
        <v>476.99786189529425</v>
      </c>
      <c r="BI33" s="60">
        <f ca="1">AVERAGE(OFFSET($BH$3,0,0,'Données projet'!$E$11+1,1))-AVERAGE(OFFSET($H$3,0,0,'Données projet'!$E$11+1,1))</f>
        <v>302.52480941204414</v>
      </c>
      <c r="BJ33" s="60">
        <f t="shared" si="38"/>
        <v>293.66452856196088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88.452000000000012</v>
      </c>
      <c r="CA33" s="14">
        <f t="shared" si="39"/>
        <v>24.191508526943956</v>
      </c>
      <c r="CB33" s="22">
        <f t="shared" si="10"/>
        <v>196.18744401776075</v>
      </c>
      <c r="CC33" s="60">
        <f t="shared" si="11"/>
        <v>435.29486895080277</v>
      </c>
      <c r="CD33" s="60">
        <f ca="1">AVERAGE(OFFSET($CC$3,0,0,'Données projet'!$E$12+1,1))-AVERAGE(OFFSET($H$3,0,0,'Données projet'!$E$12+1,1))</f>
        <v>442.98179778678298</v>
      </c>
      <c r="CE33" s="60">
        <f t="shared" si="40"/>
        <v>251.96153561746942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98.717948717948715</v>
      </c>
      <c r="CR33" s="13">
        <f>VLOOKUP(A33,'Données projet'!$A$139:$I$159,9,0)</f>
        <v>6.2820512820512819</v>
      </c>
      <c r="CS33" s="13">
        <f t="array" ref="CS33">INDEX(CR:CR,MIN(IF(ISNUMBER(CR33:CR229),ROW(CR33:CR229),"")))</f>
        <v>6.2820512820512819</v>
      </c>
      <c r="CT33" s="13">
        <f>IF('Données projet'!$A$140&gt;35,CT32+CS33-DB32,IF(A33&lt;'Données projet'!$A$140,$CQ$205^A33,IF(A33='Données projet'!$A$140,'Données projet'!$B$140,CT32+CS33-DB32)))</f>
        <v>98.717948717948758</v>
      </c>
      <c r="CU33" s="18">
        <f>CT33*VLOOKUP('Données projet'!$B$13,Paramètres!$A$1:$I$89,3,0)*VLOOKUP('Données projet'!$B$13,Paramètres!$A$1:$I$89,5,0)</f>
        <v>93.94000000000004</v>
      </c>
      <c r="CV33" s="14">
        <f t="shared" si="41"/>
        <v>25.513075604240793</v>
      </c>
      <c r="CW33" s="22">
        <f t="shared" si="13"/>
        <v>208.04744001071947</v>
      </c>
      <c r="CX33" s="60">
        <f t="shared" si="14"/>
        <v>447.15486494376148</v>
      </c>
      <c r="CY33" s="60">
        <f ca="1">AVERAGE(OFFSET($CX$3,0,0,'Données projet'!$E$13+1,1))-AVERAGE(OFFSET($H$3,0,0,'Données projet'!$E$13+1,1))</f>
        <v>388.53310909800695</v>
      </c>
      <c r="CZ33" s="60">
        <f t="shared" si="42"/>
        <v>263.82153161042811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0">
        <f t="shared" si="0"/>
        <v>409.26889194888503</v>
      </c>
      <c r="S34" s="60">
        <f ca="1">AVERAGE(OFFSET($R$3,0,0,'Données projet'!$E$9+1,1))-AVERAGE(OFFSET($H$3,0,0,'Données projet'!$E$9+1,1))</f>
        <v>469.67944008675863</v>
      </c>
      <c r="T34" s="60">
        <f t="shared" si="34"/>
        <v>266.11908070867173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16.2</v>
      </c>
      <c r="AI34" s="14">
        <f>IF('Données projet'!$A$62&gt;35,AI33+AH34-AQ33,IF(A34&lt;'Données projet'!$A$62,$AF$205^A34,IF(A34='Données projet'!$A$62,'Données projet'!$B$62,AI33+AH34-AQ33)))</f>
        <v>107.19999999999999</v>
      </c>
      <c r="AJ34" s="14">
        <f>AI34*VLOOKUP('Données projet'!$B$10,Paramètres!$A$1:$I$89,3,0)*VLOOKUP('Données projet'!$B$10,Paramètres!$A$1:$I$89,5,0)</f>
        <v>85.288319999999999</v>
      </c>
      <c r="AK34" s="14">
        <f t="shared" si="35"/>
        <v>23.425349540470684</v>
      </c>
      <c r="AL34" s="22">
        <f t="shared" si="4"/>
        <v>189.34297444965307</v>
      </c>
      <c r="AM34" s="60">
        <f t="shared" si="5"/>
        <v>429.39109766247066</v>
      </c>
      <c r="AN34" s="60">
        <f ca="1">AVERAGE(OFFSET($AM$3,0,0,'Données projet'!$E$10+1,1))-AVERAGE(OFFSET($H$3,0,0,'Données projet'!$E$10+1,1))</f>
        <v>323.1883858932618</v>
      </c>
      <c r="AO34" s="60">
        <f t="shared" si="36"/>
        <v>313.39536932399085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16.2</v>
      </c>
      <c r="BD34" s="13">
        <f>IF('Données projet'!$A$88&gt;35,BD33+BC34-BL33,IF(A34&lt;'Données projet'!$A$88,$BA$205^A34,IF(A34='Données projet'!$A$88,'Données projet'!$B$88,BD33+BC34-BL33)))</f>
        <v>107.19999999999999</v>
      </c>
      <c r="BE34" s="14">
        <f>BD34*VLOOKUP('Données projet'!$B$11,Paramètres!$A$1:$I$89,3,0)*VLOOKUP('Données projet'!$B$11,Paramètres!$A$1:$I$89,5,0)</f>
        <v>78.599039999999988</v>
      </c>
      <c r="BF34" s="14">
        <f t="shared" si="37"/>
        <v>21.79429071078065</v>
      </c>
      <c r="BG34" s="22">
        <f t="shared" si="7"/>
        <v>174.85171765460962</v>
      </c>
      <c r="BH34" s="60">
        <f t="shared" si="8"/>
        <v>414.8998408674272</v>
      </c>
      <c r="BI34" s="60">
        <f ca="1">AVERAGE(OFFSET($BH$3,0,0,'Données projet'!$E$11+1,1))-AVERAGE(OFFSET($H$3,0,0,'Données projet'!$E$11+1,1))</f>
        <v>302.52480941204414</v>
      </c>
      <c r="BJ34" s="60">
        <f t="shared" si="38"/>
        <v>293.66452856196088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70.761600000000001</v>
      </c>
      <c r="CA34" s="14">
        <f t="shared" si="39"/>
        <v>19.862470414169767</v>
      </c>
      <c r="CB34" s="22">
        <f t="shared" si="10"/>
        <v>157.83692263801234</v>
      </c>
      <c r="CC34" s="60">
        <f t="shared" si="11"/>
        <v>397.8850458508299</v>
      </c>
      <c r="CD34" s="60">
        <f ca="1">AVERAGE(OFFSET($CC$3,0,0,'Données projet'!$E$12+1,1))-AVERAGE(OFFSET($H$3,0,0,'Données projet'!$E$12+1,1))</f>
        <v>442.98179778678298</v>
      </c>
      <c r="CE34" s="60">
        <f t="shared" si="40"/>
        <v>251.96153561746942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6.1538461538461515</v>
      </c>
      <c r="CT34" s="13">
        <f>IF('Données projet'!$A$140&gt;35,CT33+CS34-DB33,IF(A34&lt;'Données projet'!$A$140,$CQ$205^A34,IF(A34='Données projet'!$A$140,'Données projet'!$B$140,CT33+CS34-DB33)))</f>
        <v>104.8717948717949</v>
      </c>
      <c r="CU34" s="18">
        <f>CT34*VLOOKUP('Données projet'!$B$13,Paramètres!$A$1:$I$89,3,0)*VLOOKUP('Données projet'!$B$13,Paramètres!$A$1:$I$89,5,0)</f>
        <v>99.796000000000035</v>
      </c>
      <c r="CV34" s="14">
        <f t="shared" si="41"/>
        <v>26.913391586854008</v>
      </c>
      <c r="CW34" s="22">
        <f t="shared" si="13"/>
        <v>220.68552368043743</v>
      </c>
      <c r="CX34" s="60">
        <f t="shared" si="14"/>
        <v>460.73364689325501</v>
      </c>
      <c r="CY34" s="60">
        <f ca="1">AVERAGE(OFFSET($CX$3,0,0,'Données projet'!$E$13+1,1))-AVERAGE(OFFSET($H$3,0,0,'Données projet'!$E$13+1,1))</f>
        <v>388.53310909800695</v>
      </c>
      <c r="CZ34" s="60">
        <f t="shared" si="42"/>
        <v>263.82153161042811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0">
        <f t="shared" si="0"/>
        <v>425.88443501855801</v>
      </c>
      <c r="S35" s="60">
        <f ca="1">AVERAGE(OFFSET($R$3,0,0,'Données projet'!$E$9+1,1))-AVERAGE(OFFSET($H$3,0,0,'Données projet'!$E$9+1,1))</f>
        <v>469.67944008675863</v>
      </c>
      <c r="T35" s="60">
        <f t="shared" si="34"/>
        <v>266.11908070867173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16.2</v>
      </c>
      <c r="AI35" s="14">
        <f>IF('Données projet'!$A$62&gt;35,AI34+AH35-AQ34,IF(A35&lt;'Données projet'!$A$62,$AF$205^A35,IF(A35='Données projet'!$A$62,'Données projet'!$B$62,AI34+AH35-AQ34)))</f>
        <v>123.39999999999999</v>
      </c>
      <c r="AJ35" s="14">
        <f>AI35*VLOOKUP('Données projet'!$B$10,Paramètres!$A$1:$I$89,3,0)*VLOOKUP('Données projet'!$B$10,Paramètres!$A$1:$I$89,5,0)</f>
        <v>98.177040000000005</v>
      </c>
      <c r="AK35" s="14">
        <f t="shared" si="35"/>
        <v>26.527238539170206</v>
      </c>
      <c r="AL35" s="22">
        <f t="shared" si="4"/>
        <v>217.19328512238812</v>
      </c>
      <c r="AM35" s="60">
        <f t="shared" si="5"/>
        <v>458.16578760291344</v>
      </c>
      <c r="AN35" s="60">
        <f ca="1">AVERAGE(OFFSET($AM$3,0,0,'Données projet'!$E$10+1,1))-AVERAGE(OFFSET($H$3,0,0,'Données projet'!$E$10+1,1))</f>
        <v>323.1883858932618</v>
      </c>
      <c r="AO35" s="60">
        <f t="shared" si="36"/>
        <v>313.39536932399085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16.2</v>
      </c>
      <c r="BD35" s="13">
        <f>IF('Données projet'!$A$88&gt;35,BD34+BC35-BL34,IF(A35&lt;'Données projet'!$A$88,$BA$205^A35,IF(A35='Données projet'!$A$88,'Données projet'!$B$88,BD34+BC35-BL34)))</f>
        <v>123.39999999999999</v>
      </c>
      <c r="BE35" s="14">
        <f>BD35*VLOOKUP('Données projet'!$B$11,Paramètres!$A$1:$I$89,3,0)*VLOOKUP('Données projet'!$B$11,Paramètres!$A$1:$I$89,5,0)</f>
        <v>90.476879999999994</v>
      </c>
      <c r="BF35" s="14">
        <f t="shared" si="37"/>
        <v>24.680201568735427</v>
      </c>
      <c r="BG35" s="22">
        <f t="shared" si="7"/>
        <v>200.56525039888083</v>
      </c>
      <c r="BH35" s="60">
        <f t="shared" si="8"/>
        <v>441.53775287940618</v>
      </c>
      <c r="BI35" s="60">
        <f ca="1">AVERAGE(OFFSET($BH$3,0,0,'Données projet'!$E$11+1,1))-AVERAGE(OFFSET($H$3,0,0,'Données projet'!$E$11+1,1))</f>
        <v>302.52480941204414</v>
      </c>
      <c r="BJ35" s="60">
        <f t="shared" si="38"/>
        <v>293.66452856196088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77.500800000000012</v>
      </c>
      <c r="CA35" s="14">
        <f t="shared" si="39"/>
        <v>21.524992579009275</v>
      </c>
      <c r="CB35" s="22">
        <f t="shared" si="10"/>
        <v>172.46992207510786</v>
      </c>
      <c r="CC35" s="60">
        <f t="shared" si="11"/>
        <v>413.44242455563318</v>
      </c>
      <c r="CD35" s="60">
        <f ca="1">AVERAGE(OFFSET($CC$3,0,0,'Données projet'!$E$12+1,1))-AVERAGE(OFFSET($H$3,0,0,'Données projet'!$E$12+1,1))</f>
        <v>442.98179778678298</v>
      </c>
      <c r="CE35" s="60">
        <f t="shared" si="40"/>
        <v>251.96153561746942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6.1538461538461515</v>
      </c>
      <c r="CT35" s="13">
        <f>IF('Données projet'!$A$140&gt;35,CT34+CS35-DB34,IF(A35&lt;'Données projet'!$A$140,$CQ$205^A35,IF(A35='Données projet'!$A$140,'Données projet'!$B$140,CT34+CS35-DB34)))</f>
        <v>111.02564102564105</v>
      </c>
      <c r="CU35" s="18">
        <f>CT35*VLOOKUP('Données projet'!$B$13,Paramètres!$A$1:$I$89,3,0)*VLOOKUP('Données projet'!$B$13,Paramètres!$A$1:$I$89,5,0)</f>
        <v>105.65200000000003</v>
      </c>
      <c r="CV35" s="14">
        <f t="shared" si="41"/>
        <v>28.304169779393426</v>
      </c>
      <c r="CW35" s="22">
        <f t="shared" si="13"/>
        <v>233.30699569911027</v>
      </c>
      <c r="CX35" s="60">
        <f t="shared" si="14"/>
        <v>474.2794981796356</v>
      </c>
      <c r="CY35" s="60">
        <f ca="1">AVERAGE(OFFSET($CX$3,0,0,'Données projet'!$E$13+1,1))-AVERAGE(OFFSET($H$3,0,0,'Données projet'!$E$13+1,1))</f>
        <v>388.53310909800695</v>
      </c>
      <c r="CZ35" s="60">
        <f t="shared" si="42"/>
        <v>263.82153161042811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0">
        <f t="shared" si="0"/>
        <v>442.45283997482329</v>
      </c>
      <c r="S36" s="60">
        <f ca="1">AVERAGE(OFFSET($R$3,0,0,'Données projet'!$E$9+1,1))-AVERAGE(OFFSET($H$3,0,0,'Données projet'!$E$9+1,1))</f>
        <v>469.67944008675863</v>
      </c>
      <c r="T36" s="60">
        <f t="shared" si="34"/>
        <v>266.11908070867173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16.2</v>
      </c>
      <c r="AI36" s="14">
        <f>IF('Données projet'!$A$62&gt;35,AI35+AH36-AQ35,IF(A36&lt;'Données projet'!$A$62,$AF$205^A36,IF(A36='Données projet'!$A$62,'Données projet'!$B$62,AI35+AH36-AQ35)))</f>
        <v>139.6</v>
      </c>
      <c r="AJ36" s="14">
        <f>AI36*VLOOKUP('Données projet'!$B$10,Paramètres!$A$1:$I$89,3,0)*VLOOKUP('Données projet'!$B$10,Paramètres!$A$1:$I$89,5,0)</f>
        <v>111.06576</v>
      </c>
      <c r="AK36" s="14">
        <f t="shared" si="35"/>
        <v>29.581944857062648</v>
      </c>
      <c r="AL36" s="22">
        <f t="shared" si="4"/>
        <v>244.96141929271744</v>
      </c>
      <c r="AM36" s="60">
        <f t="shared" si="5"/>
        <v>486.8422651272582</v>
      </c>
      <c r="AN36" s="60">
        <f ca="1">AVERAGE(OFFSET($AM$3,0,0,'Données projet'!$E$10+1,1))-AVERAGE(OFFSET($H$3,0,0,'Données projet'!$E$10+1,1))</f>
        <v>323.1883858932618</v>
      </c>
      <c r="AO36" s="60">
        <f t="shared" si="36"/>
        <v>313.39536932399085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16.2</v>
      </c>
      <c r="BD36" s="13">
        <f>IF('Données projet'!$A$88&gt;35,BD35+BC36-BL35,IF(A36&lt;'Données projet'!$A$88,$BA$205^A36,IF(A36='Données projet'!$A$88,'Données projet'!$B$88,BD35+BC36-BL35)))</f>
        <v>139.6</v>
      </c>
      <c r="BE36" s="14">
        <f>BD36*VLOOKUP('Données projet'!$B$11,Paramètres!$A$1:$I$89,3,0)*VLOOKUP('Données projet'!$B$11,Paramètres!$A$1:$I$89,5,0)</f>
        <v>102.35472</v>
      </c>
      <c r="BF36" s="14">
        <f t="shared" si="37"/>
        <v>27.522214978746117</v>
      </c>
      <c r="BG36" s="22">
        <f t="shared" si="7"/>
        <v>226.20232842131611</v>
      </c>
      <c r="BH36" s="60">
        <f t="shared" si="8"/>
        <v>468.08317425585687</v>
      </c>
      <c r="BI36" s="60">
        <f ca="1">AVERAGE(OFFSET($BH$3,0,0,'Données projet'!$E$11+1,1))-AVERAGE(OFFSET($H$3,0,0,'Données projet'!$E$11+1,1))</f>
        <v>302.52480941204414</v>
      </c>
      <c r="BJ36" s="60">
        <f t="shared" si="38"/>
        <v>293.66452856196088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84.240000000000009</v>
      </c>
      <c r="CA36" s="14">
        <f t="shared" si="39"/>
        <v>23.170749718409468</v>
      </c>
      <c r="CB36" s="22">
        <f t="shared" si="10"/>
        <v>187.07372242622981</v>
      </c>
      <c r="CC36" s="60">
        <f t="shared" si="11"/>
        <v>428.95456826077054</v>
      </c>
      <c r="CD36" s="60">
        <f ca="1">AVERAGE(OFFSET($CC$3,0,0,'Données projet'!$E$12+1,1))-AVERAGE(OFFSET($H$3,0,0,'Données projet'!$E$12+1,1))</f>
        <v>442.98179778678298</v>
      </c>
      <c r="CE36" s="60">
        <f t="shared" si="40"/>
        <v>251.96153561746942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6.1538461538461515</v>
      </c>
      <c r="CT36" s="13">
        <f>IF('Données projet'!$A$140&gt;35,CT35+CS36-DB35,IF(A36&lt;'Données projet'!$A$140,$CQ$205^A36,IF(A36='Données projet'!$A$140,'Données projet'!$B$140,CT35+CS36-DB35)))</f>
        <v>117.1794871794872</v>
      </c>
      <c r="CU36" s="18">
        <f>CT36*VLOOKUP('Données projet'!$B$13,Paramètres!$A$1:$I$89,3,0)*VLOOKUP('Données projet'!$B$13,Paramètres!$A$1:$I$89,5,0)</f>
        <v>111.50800000000002</v>
      </c>
      <c r="CV36" s="14">
        <f t="shared" si="41"/>
        <v>29.685999090183582</v>
      </c>
      <c r="CW36" s="22">
        <f t="shared" si="13"/>
        <v>245.9128817487364</v>
      </c>
      <c r="CX36" s="60">
        <f t="shared" si="14"/>
        <v>487.79372758327713</v>
      </c>
      <c r="CY36" s="60">
        <f ca="1">AVERAGE(OFFSET($CX$3,0,0,'Données projet'!$E$13+1,1))-AVERAGE(OFFSET($H$3,0,0,'Données projet'!$E$13+1,1))</f>
        <v>388.53310909800695</v>
      </c>
      <c r="CZ36" s="60">
        <f t="shared" si="42"/>
        <v>263.82153161042811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0">
        <f t="shared" si="0"/>
        <v>458.97715606387533</v>
      </c>
      <c r="S37" s="60">
        <f ca="1">AVERAGE(OFFSET($R$3,0,0,'Données projet'!$E$9+1,1))-AVERAGE(OFFSET($H$3,0,0,'Données projet'!$E$9+1,1))</f>
        <v>469.67944008675863</v>
      </c>
      <c r="T37" s="60">
        <f t="shared" si="34"/>
        <v>266.11908070867173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16.2</v>
      </c>
      <c r="AI37" s="14">
        <f>IF('Données projet'!$A$62&gt;35,AI36+AH37-AQ36,IF(A37&lt;'Données projet'!$A$62,$AF$205^A37,IF(A37='Données projet'!$A$62,'Données projet'!$B$62,AI36+AH37-AQ36)))</f>
        <v>155.79999999999998</v>
      </c>
      <c r="AJ37" s="14">
        <f>AI37*VLOOKUP('Données projet'!$B$10,Paramètres!$A$1:$I$89,3,0)*VLOOKUP('Données projet'!$B$10,Paramètres!$A$1:$I$89,5,0)</f>
        <v>123.95448</v>
      </c>
      <c r="AK37" s="14">
        <f t="shared" si="35"/>
        <v>32.595569202682604</v>
      </c>
      <c r="AL37" s="22">
        <f t="shared" si="4"/>
        <v>272.6580023613389</v>
      </c>
      <c r="AM37" s="60">
        <f t="shared" si="5"/>
        <v>515.43143382345443</v>
      </c>
      <c r="AN37" s="60">
        <f ca="1">AVERAGE(OFFSET($AM$3,0,0,'Données projet'!$E$10+1,1))-AVERAGE(OFFSET($H$3,0,0,'Données projet'!$E$10+1,1))</f>
        <v>323.1883858932618</v>
      </c>
      <c r="AO37" s="60">
        <f t="shared" si="36"/>
        <v>313.39536932399085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16.2</v>
      </c>
      <c r="BD37" s="13">
        <f>IF('Données projet'!$A$88&gt;35,BD36+BC37-BL36,IF(A37&lt;'Données projet'!$A$88,$BA$205^A37,IF(A37='Données projet'!$A$88,'Données projet'!$B$88,BD36+BC37-BL36)))</f>
        <v>155.79999999999998</v>
      </c>
      <c r="BE37" s="14">
        <f>BD37*VLOOKUP('Données projet'!$B$11,Paramètres!$A$1:$I$89,3,0)*VLOOKUP('Données projet'!$B$11,Paramètres!$A$1:$I$89,5,0)</f>
        <v>114.23255999999998</v>
      </c>
      <c r="BF37" s="14">
        <f t="shared" si="37"/>
        <v>30.326006869580276</v>
      </c>
      <c r="BG37" s="22">
        <f t="shared" si="7"/>
        <v>251.77283729785225</v>
      </c>
      <c r="BH37" s="60">
        <f t="shared" si="8"/>
        <v>494.5462687599678</v>
      </c>
      <c r="BI37" s="60">
        <f ca="1">AVERAGE(OFFSET($BH$3,0,0,'Données projet'!$E$11+1,1))-AVERAGE(OFFSET($H$3,0,0,'Données projet'!$E$11+1,1))</f>
        <v>302.52480941204414</v>
      </c>
      <c r="BJ37" s="60">
        <f t="shared" si="38"/>
        <v>293.66452856196088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90.97920000000002</v>
      </c>
      <c r="CA37" s="14">
        <f t="shared" si="39"/>
        <v>24.801235516871511</v>
      </c>
      <c r="CB37" s="22">
        <f t="shared" si="10"/>
        <v>201.65092519188457</v>
      </c>
      <c r="CC37" s="60">
        <f t="shared" si="11"/>
        <v>444.42435665400012</v>
      </c>
      <c r="CD37" s="60">
        <f ca="1">AVERAGE(OFFSET($CC$3,0,0,'Données projet'!$E$12+1,1))-AVERAGE(OFFSET($H$3,0,0,'Données projet'!$E$12+1,1))</f>
        <v>442.98179778678298</v>
      </c>
      <c r="CE37" s="60">
        <f t="shared" si="40"/>
        <v>251.96153561746942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6.1538461538461515</v>
      </c>
      <c r="CT37" s="13">
        <f>IF('Données projet'!$A$140&gt;35,CT36+CS37-DB36,IF(A37&lt;'Données projet'!$A$140,$CQ$205^A37,IF(A37='Données projet'!$A$140,'Données projet'!$B$140,CT36+CS37-DB36)))</f>
        <v>123.33333333333334</v>
      </c>
      <c r="CU37" s="18">
        <f>CT37*VLOOKUP('Données projet'!$B$13,Paramètres!$A$1:$I$89,3,0)*VLOOKUP('Données projet'!$B$13,Paramètres!$A$1:$I$89,5,0)</f>
        <v>117.364</v>
      </c>
      <c r="CV37" s="14">
        <f t="shared" si="41"/>
        <v>31.059403079292686</v>
      </c>
      <c r="CW37" s="22">
        <f t="shared" si="13"/>
        <v>258.50409369643472</v>
      </c>
      <c r="CX37" s="60">
        <f t="shared" si="14"/>
        <v>501.2775251585503</v>
      </c>
      <c r="CY37" s="60">
        <f ca="1">AVERAGE(OFFSET($CX$3,0,0,'Données projet'!$E$13+1,1))-AVERAGE(OFFSET($H$3,0,0,'Données projet'!$E$13+1,1))</f>
        <v>388.53310909800695</v>
      </c>
      <c r="CZ37" s="60">
        <f t="shared" si="42"/>
        <v>263.82153161042811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0">
        <f t="shared" si="0"/>
        <v>475.45999389040423</v>
      </c>
      <c r="S38" s="60">
        <f ca="1">AVERAGE(OFFSET($R$3,0,0,'Données projet'!$E$9+1,1))-AVERAGE(OFFSET($H$3,0,0,'Données projet'!$E$9+1,1))</f>
        <v>469.67944008675863</v>
      </c>
      <c r="T38" s="60">
        <f t="shared" si="34"/>
        <v>266.11908070867173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</v>
      </c>
      <c r="AG38" s="13">
        <f>VLOOKUP(A38,'Données projet'!$A$61:$I$81,9,0)</f>
        <v>16.2</v>
      </c>
      <c r="AH38" s="13">
        <f t="array" ref="AH38">INDEX(AG:AG,MIN(IF(ISNUMBER(AG38:AG234),ROW(AG38:AG234),"")))</f>
        <v>16.2</v>
      </c>
      <c r="AI38" s="14">
        <f>IF('Données projet'!$A$62&gt;35,AI37+AH38-AQ37,IF(A38&lt;'Données projet'!$A$62,$AF$205^A38,IF(A38='Données projet'!$A$62,'Données projet'!$B$62,AI37+AH38-AQ37)))</f>
        <v>171.99999999999997</v>
      </c>
      <c r="AJ38" s="14">
        <f>AI38*VLOOKUP('Données projet'!$B$10,Paramètres!$A$1:$I$89,3,0)*VLOOKUP('Données projet'!$B$10,Paramètres!$A$1:$I$89,5,0)</f>
        <v>136.84319999999997</v>
      </c>
      <c r="AK38" s="14">
        <f t="shared" si="35"/>
        <v>35.572869837729648</v>
      </c>
      <c r="AL38" s="22">
        <f t="shared" si="4"/>
        <v>300.2913216340458</v>
      </c>
      <c r="AM38" s="60">
        <f t="shared" si="5"/>
        <v>543.94185435862028</v>
      </c>
      <c r="AN38" s="60">
        <f ca="1">AVERAGE(OFFSET($AM$3,0,0,'Données projet'!$E$10+1,1))-AVERAGE(OFFSET($H$3,0,0,'Données projet'!$E$10+1,1))</f>
        <v>323.1883858932618</v>
      </c>
      <c r="AO38" s="60">
        <f t="shared" si="36"/>
        <v>313.39536932399085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</v>
      </c>
      <c r="BB38" s="13">
        <f>VLOOKUP(A38,'Données projet'!$A$87:$I$107,9,0)</f>
        <v>16.2</v>
      </c>
      <c r="BC38" s="13">
        <f t="array" ref="BC38">INDEX(BB:BB,MIN(IF(ISNUMBER(BB38:BB234),ROW(BB38:BB234),"")))</f>
        <v>16.2</v>
      </c>
      <c r="BD38" s="13">
        <f>IF('Données projet'!$A$88&gt;35,BD37+BC38-BL37,IF(A38&lt;'Données projet'!$A$88,$BA$205^A38,IF(A38='Données projet'!$A$88,'Données projet'!$B$88,BD37+BC38-BL37)))</f>
        <v>171.99999999999997</v>
      </c>
      <c r="BE38" s="14">
        <f>BD38*VLOOKUP('Données projet'!$B$11,Paramètres!$A$1:$I$89,3,0)*VLOOKUP('Données projet'!$B$11,Paramètres!$A$1:$I$89,5,0)</f>
        <v>126.11039999999997</v>
      </c>
      <c r="BF38" s="14">
        <f t="shared" si="37"/>
        <v>33.096004194977844</v>
      </c>
      <c r="BG38" s="22">
        <f t="shared" si="7"/>
        <v>277.28448730625303</v>
      </c>
      <c r="BH38" s="60">
        <f t="shared" si="8"/>
        <v>520.93502003082756</v>
      </c>
      <c r="BI38" s="60">
        <f ca="1">AVERAGE(OFFSET($BH$3,0,0,'Données projet'!$E$11+1,1))-AVERAGE(OFFSET($H$3,0,0,'Données projet'!$E$11+1,1))</f>
        <v>302.52480941204414</v>
      </c>
      <c r="BJ38" s="60">
        <f t="shared" si="38"/>
        <v>293.66452856196088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97.718400000000003</v>
      </c>
      <c r="CA38" s="14">
        <f t="shared" si="39"/>
        <v>26.417709819192194</v>
      </c>
      <c r="CB38" s="22">
        <f t="shared" si="10"/>
        <v>216.20372460175975</v>
      </c>
      <c r="CC38" s="60">
        <f t="shared" si="11"/>
        <v>459.85425732633428</v>
      </c>
      <c r="CD38" s="60">
        <f ca="1">AVERAGE(OFFSET($CC$3,0,0,'Données projet'!$E$12+1,1))-AVERAGE(OFFSET($H$3,0,0,'Données projet'!$E$12+1,1))</f>
        <v>442.98179778678298</v>
      </c>
      <c r="CE38" s="60">
        <f t="shared" si="40"/>
        <v>251.96153561746942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129.48717948717947</v>
      </c>
      <c r="CR38" s="13">
        <f>VLOOKUP(A38,'Données projet'!$A$139:$I$159,9,0)</f>
        <v>6.1538461538461515</v>
      </c>
      <c r="CS38" s="13">
        <f t="array" ref="CS38">INDEX(CR:CR,MIN(IF(ISNUMBER(CR38:CR234),ROW(CR38:CR234),"")))</f>
        <v>6.1538461538461515</v>
      </c>
      <c r="CT38" s="13">
        <f>IF('Données projet'!$A$140&gt;35,CT37+CS38-DB37,IF(A38&lt;'Données projet'!$A$140,$CQ$205^A38,IF(A38='Données projet'!$A$140,'Données projet'!$B$140,CT37+CS38-DB37)))</f>
        <v>129.4871794871795</v>
      </c>
      <c r="CU38" s="18">
        <f>CT38*VLOOKUP('Données projet'!$B$13,Paramètres!$A$1:$I$89,3,0)*VLOOKUP('Données projet'!$B$13,Paramètres!$A$1:$I$89,5,0)</f>
        <v>123.22000000000001</v>
      </c>
      <c r="CV38" s="14">
        <f t="shared" si="41"/>
        <v>32.42485010818541</v>
      </c>
      <c r="CW38" s="22">
        <f t="shared" si="13"/>
        <v>271.0814472717563</v>
      </c>
      <c r="CX38" s="60">
        <f t="shared" si="14"/>
        <v>514.73197999633078</v>
      </c>
      <c r="CY38" s="60">
        <f ca="1">AVERAGE(OFFSET($CX$3,0,0,'Données projet'!$E$13+1,1))-AVERAGE(OFFSET($H$3,0,0,'Données projet'!$E$13+1,1))</f>
        <v>388.53310909800695</v>
      </c>
      <c r="CZ38" s="60">
        <f t="shared" si="42"/>
        <v>263.82153161042811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26.282051282051281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0">
        <f t="shared" si="0"/>
        <v>492.6821076688293</v>
      </c>
      <c r="S39" s="60">
        <f ca="1">AVERAGE(OFFSET($R$3,0,0,'Données projet'!$E$9+1,1))-AVERAGE(OFFSET($H$3,0,0,'Données projet'!$E$9+1,1))</f>
        <v>469.67944008675863</v>
      </c>
      <c r="T39" s="60">
        <f t="shared" si="34"/>
        <v>266.11908070867173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</v>
      </c>
      <c r="AI39" s="14">
        <f>IF('Données projet'!$A$62&gt;35,AI38+AH39-AQ38,IF(A39&lt;'Données projet'!$A$62,$AF$205^A39,IF(A39='Données projet'!$A$62,'Données projet'!$B$62,AI38+AH39-AQ38)))</f>
        <v>175.99999999999997</v>
      </c>
      <c r="AJ39" s="14">
        <f>AI39*VLOOKUP('Données projet'!$B$10,Paramètres!$A$1:$I$89,3,0)*VLOOKUP('Données projet'!$B$10,Paramètres!$A$1:$I$89,5,0)</f>
        <v>140.0256</v>
      </c>
      <c r="AK39" s="14">
        <f t="shared" si="35"/>
        <v>36.302870033112463</v>
      </c>
      <c r="AL39" s="22">
        <f t="shared" si="4"/>
        <v>307.10541864100418</v>
      </c>
      <c r="AM39" s="60">
        <f t="shared" si="5"/>
        <v>551.61783688203855</v>
      </c>
      <c r="AN39" s="60">
        <f ca="1">AVERAGE(OFFSET($AM$3,0,0,'Données projet'!$E$10+1,1))-AVERAGE(OFFSET($H$3,0,0,'Données projet'!$E$10+1,1))</f>
        <v>323.1883858932618</v>
      </c>
      <c r="AO39" s="60">
        <f t="shared" si="36"/>
        <v>313.39536932399085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4</v>
      </c>
      <c r="BD39" s="13">
        <f>IF('Données projet'!$A$88&gt;35,BD38+BC39-BL38,IF(A39&lt;'Données projet'!$A$88,$BA$205^A39,IF(A39='Données projet'!$A$88,'Données projet'!$B$88,BD38+BC39-BL38)))</f>
        <v>175.99999999999997</v>
      </c>
      <c r="BE39" s="14">
        <f>BD39*VLOOKUP('Données projet'!$B$11,Paramètres!$A$1:$I$89,3,0)*VLOOKUP('Données projet'!$B$11,Paramètres!$A$1:$I$89,5,0)</f>
        <v>129.04319999999998</v>
      </c>
      <c r="BF39" s="14">
        <f t="shared" si="37"/>
        <v>33.775175980637393</v>
      </c>
      <c r="BG39" s="22">
        <f t="shared" si="7"/>
        <v>283.57533816627671</v>
      </c>
      <c r="BH39" s="60">
        <f t="shared" si="8"/>
        <v>528.08775640731119</v>
      </c>
      <c r="BI39" s="60">
        <f ca="1">AVERAGE(OFFSET($BH$3,0,0,'Données projet'!$E$11+1,1))-AVERAGE(OFFSET($H$3,0,0,'Données projet'!$E$11+1,1))</f>
        <v>302.52480941204414</v>
      </c>
      <c r="BJ39" s="60">
        <f t="shared" si="38"/>
        <v>293.66452856196088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104.79456</v>
      </c>
      <c r="CA39" s="14">
        <f t="shared" si="39"/>
        <v>28.101103481959861</v>
      </c>
      <c r="CB39" s="22">
        <f t="shared" si="10"/>
        <v>231.45994723108012</v>
      </c>
      <c r="CC39" s="60">
        <f t="shared" si="11"/>
        <v>475.97236547211457</v>
      </c>
      <c r="CD39" s="60">
        <f ca="1">AVERAGE(OFFSET($CC$3,0,0,'Données projet'!$E$12+1,1))-AVERAGE(OFFSET($H$3,0,0,'Données projet'!$E$12+1,1))</f>
        <v>442.98179778678298</v>
      </c>
      <c r="CE39" s="60">
        <f t="shared" si="40"/>
        <v>251.96153561746942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5.7692307692307709</v>
      </c>
      <c r="CT39" s="13">
        <f>IF('Données projet'!$A$140&gt;35,CT38+CS39-DB38,IF(A39&lt;'Données projet'!$A$140,$CQ$205^A39,IF(A39='Données projet'!$A$140,'Données projet'!$B$140,CT38+CS39-DB38)))</f>
        <v>108.97435897435899</v>
      </c>
      <c r="CU39" s="18">
        <f>CT39*VLOOKUP('Données projet'!$B$13,Paramètres!$A$1:$I$89,3,0)*VLOOKUP('Données projet'!$B$13,Paramètres!$A$1:$I$89,5,0)</f>
        <v>103.7</v>
      </c>
      <c r="CV39" s="14">
        <f t="shared" si="41"/>
        <v>27.841598996112509</v>
      </c>
      <c r="CW39" s="22">
        <f t="shared" si="13"/>
        <v>229.1016182515626</v>
      </c>
      <c r="CX39" s="60">
        <f t="shared" si="14"/>
        <v>473.61403649259705</v>
      </c>
      <c r="CY39" s="60">
        <f ca="1">AVERAGE(OFFSET($CX$3,0,0,'Données projet'!$E$13+1,1))-AVERAGE(OFFSET($H$3,0,0,'Données projet'!$E$13+1,1))</f>
        <v>388.53310909800695</v>
      </c>
      <c r="CZ39" s="60">
        <f t="shared" si="42"/>
        <v>263.82153161042811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0">
        <f t="shared" si="0"/>
        <v>509.86480003984718</v>
      </c>
      <c r="S40" s="60">
        <f ca="1">AVERAGE(OFFSET($R$3,0,0,'Données projet'!$E$9+1,1))-AVERAGE(OFFSET($H$3,0,0,'Données projet'!$E$9+1,1))</f>
        <v>469.67944008675863</v>
      </c>
      <c r="T40" s="60">
        <f t="shared" si="34"/>
        <v>266.11908070867173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</v>
      </c>
      <c r="AI40" s="14">
        <f>IF('Données projet'!$A$62&gt;35,AI39+AH40-AQ39,IF(A40&lt;'Données projet'!$A$62,$AF$205^A40,IF(A40='Données projet'!$A$62,'Données projet'!$B$62,AI39+AH40-AQ39)))</f>
        <v>179.99999999999997</v>
      </c>
      <c r="AJ40" s="14">
        <f>AI40*VLOOKUP('Données projet'!$B$10,Paramètres!$A$1:$I$89,3,0)*VLOOKUP('Données projet'!$B$10,Paramètres!$A$1:$I$89,5,0)</f>
        <v>143.20799999999997</v>
      </c>
      <c r="AK40" s="14">
        <f t="shared" si="35"/>
        <v>37.030941422835802</v>
      </c>
      <c r="AL40" s="22">
        <f t="shared" si="4"/>
        <v>313.91615631143895</v>
      </c>
      <c r="AM40" s="60">
        <f t="shared" si="5"/>
        <v>559.27550828211008</v>
      </c>
      <c r="AN40" s="60">
        <f ca="1">AVERAGE(OFFSET($AM$3,0,0,'Données projet'!$E$10+1,1))-AVERAGE(OFFSET($H$3,0,0,'Données projet'!$E$10+1,1))</f>
        <v>323.1883858932618</v>
      </c>
      <c r="AO40" s="60">
        <f t="shared" si="36"/>
        <v>313.39536932399085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4</v>
      </c>
      <c r="BD40" s="13">
        <f>IF('Données projet'!$A$88&gt;35,BD39+BC40-BL39,IF(A40&lt;'Données projet'!$A$88,$BA$205^A40,IF(A40='Données projet'!$A$88,'Données projet'!$B$88,BD39+BC40-BL39)))</f>
        <v>179.99999999999997</v>
      </c>
      <c r="BE40" s="14">
        <f>BD40*VLOOKUP('Données projet'!$B$11,Paramètres!$A$1:$I$89,3,0)*VLOOKUP('Données projet'!$B$11,Paramètres!$A$1:$I$89,5,0)</f>
        <v>131.97599999999997</v>
      </c>
      <c r="BF40" s="14">
        <f t="shared" si="37"/>
        <v>34.452553259401945</v>
      </c>
      <c r="BG40" s="22">
        <f t="shared" si="7"/>
        <v>289.86306359345832</v>
      </c>
      <c r="BH40" s="60">
        <f t="shared" si="8"/>
        <v>535.22241556412939</v>
      </c>
      <c r="BI40" s="60">
        <f ca="1">AVERAGE(OFFSET($BH$3,0,0,'Données projet'!$E$11+1,1))-AVERAGE(OFFSET($H$3,0,0,'Données projet'!$E$11+1,1))</f>
        <v>302.52480941204414</v>
      </c>
      <c r="BJ40" s="60">
        <f t="shared" si="38"/>
        <v>293.66452856196088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111.87072000000003</v>
      </c>
      <c r="CA40" s="14">
        <f t="shared" si="39"/>
        <v>29.771307279851975</v>
      </c>
      <c r="CB40" s="22">
        <f t="shared" si="10"/>
        <v>246.69319751240889</v>
      </c>
      <c r="CC40" s="60">
        <f t="shared" si="11"/>
        <v>492.05254948307999</v>
      </c>
      <c r="CD40" s="60">
        <f ca="1">AVERAGE(OFFSET($CC$3,0,0,'Données projet'!$E$12+1,1))-AVERAGE(OFFSET($H$3,0,0,'Données projet'!$E$12+1,1))</f>
        <v>442.98179778678298</v>
      </c>
      <c r="CE40" s="60">
        <f t="shared" si="40"/>
        <v>251.96153561746942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5.7692307692307709</v>
      </c>
      <c r="CT40" s="13">
        <f>IF('Données projet'!$A$140&gt;35,CT39+CS40-DB39,IF(A40&lt;'Données projet'!$A$140,$CQ$205^A40,IF(A40='Données projet'!$A$140,'Données projet'!$B$140,CT39+CS40-DB39)))</f>
        <v>114.74358974358977</v>
      </c>
      <c r="CU40" s="18">
        <f>CT40*VLOOKUP('Données projet'!$B$13,Paramètres!$A$1:$I$89,3,0)*VLOOKUP('Données projet'!$B$13,Paramètres!$A$1:$I$89,5,0)</f>
        <v>109.19000000000001</v>
      </c>
      <c r="CV40" s="14">
        <f t="shared" si="41"/>
        <v>29.140060241717325</v>
      </c>
      <c r="CW40" s="22">
        <f t="shared" si="13"/>
        <v>240.92485492099104</v>
      </c>
      <c r="CX40" s="60">
        <f t="shared" si="14"/>
        <v>486.28420689166217</v>
      </c>
      <c r="CY40" s="60">
        <f ca="1">AVERAGE(OFFSET($CX$3,0,0,'Données projet'!$E$13+1,1))-AVERAGE(OFFSET($H$3,0,0,'Données projet'!$E$13+1,1))</f>
        <v>388.53310909800695</v>
      </c>
      <c r="CZ40" s="60">
        <f t="shared" si="42"/>
        <v>263.82153161042811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0">
        <f t="shared" si="0"/>
        <v>527.01005434747481</v>
      </c>
      <c r="S41" s="60">
        <f ca="1">AVERAGE(OFFSET($R$3,0,0,'Données projet'!$E$9+1,1))-AVERAGE(OFFSET($H$3,0,0,'Données projet'!$E$9+1,1))</f>
        <v>469.67944008675863</v>
      </c>
      <c r="T41" s="60">
        <f t="shared" si="34"/>
        <v>266.11908070867173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</v>
      </c>
      <c r="AI41" s="14">
        <f>IF('Données projet'!$A$62&gt;35,AI40+AH41-AQ40,IF(A41&lt;'Données projet'!$A$62,$AF$205^A41,IF(A41='Données projet'!$A$62,'Données projet'!$B$62,AI40+AH41-AQ40)))</f>
        <v>183.99999999999997</v>
      </c>
      <c r="AJ41" s="14">
        <f>AI41*VLOOKUP('Données projet'!$B$10,Paramètres!$A$1:$I$89,3,0)*VLOOKUP('Données projet'!$B$10,Paramètres!$A$1:$I$89,5,0)</f>
        <v>146.3904</v>
      </c>
      <c r="AK41" s="14">
        <f t="shared" si="35"/>
        <v>37.757131804538304</v>
      </c>
      <c r="AL41" s="22">
        <f t="shared" si="4"/>
        <v>320.7236178929042</v>
      </c>
      <c r="AM41" s="60">
        <f t="shared" si="5"/>
        <v>566.9152111864629</v>
      </c>
      <c r="AN41" s="60">
        <f ca="1">AVERAGE(OFFSET($AM$3,0,0,'Données projet'!$E$10+1,1))-AVERAGE(OFFSET($H$3,0,0,'Données projet'!$E$10+1,1))</f>
        <v>323.1883858932618</v>
      </c>
      <c r="AO41" s="60">
        <f t="shared" si="36"/>
        <v>313.39536932399085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</v>
      </c>
      <c r="BD41" s="13">
        <f>IF('Données projet'!$A$88&gt;35,BD40+BC41-BL40,IF(A41&lt;'Données projet'!$A$88,$BA$205^A41,IF(A41='Données projet'!$A$88,'Données projet'!$B$88,BD40+BC41-BL40)))</f>
        <v>183.99999999999997</v>
      </c>
      <c r="BE41" s="14">
        <f>BD41*VLOOKUP('Données projet'!$B$11,Paramètres!$A$1:$I$89,3,0)*VLOOKUP('Données projet'!$B$11,Paramètres!$A$1:$I$89,5,0)</f>
        <v>134.90879999999996</v>
      </c>
      <c r="BF41" s="14">
        <f t="shared" si="37"/>
        <v>35.128180500859067</v>
      </c>
      <c r="BG41" s="22">
        <f t="shared" si="7"/>
        <v>296.14774103899612</v>
      </c>
      <c r="BH41" s="60">
        <f t="shared" si="8"/>
        <v>542.33933433255481</v>
      </c>
      <c r="BI41" s="60">
        <f ca="1">AVERAGE(OFFSET($BH$3,0,0,'Données projet'!$E$11+1,1))-AVERAGE(OFFSET($H$3,0,0,'Données projet'!$E$11+1,1))</f>
        <v>302.52480941204414</v>
      </c>
      <c r="BJ41" s="60">
        <f t="shared" si="38"/>
        <v>293.66452856196088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118.94688000000004</v>
      </c>
      <c r="CA41" s="14">
        <f t="shared" si="39"/>
        <v>31.429250481525276</v>
      </c>
      <c r="CB41" s="22">
        <f t="shared" si="10"/>
        <v>261.90509392198993</v>
      </c>
      <c r="CC41" s="60">
        <f t="shared" si="11"/>
        <v>508.09668721554863</v>
      </c>
      <c r="CD41" s="60">
        <f ca="1">AVERAGE(OFFSET($CC$3,0,0,'Données projet'!$E$12+1,1))-AVERAGE(OFFSET($H$3,0,0,'Données projet'!$E$12+1,1))</f>
        <v>442.98179778678298</v>
      </c>
      <c r="CE41" s="60">
        <f t="shared" si="40"/>
        <v>251.96153561746942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5.7692307692307709</v>
      </c>
      <c r="CT41" s="13">
        <f>IF('Données projet'!$A$140&gt;35,CT40+CS41-DB40,IF(A41&lt;'Données projet'!$A$140,$CQ$205^A41,IF(A41='Données projet'!$A$140,'Données projet'!$B$140,CT40+CS41-DB40)))</f>
        <v>120.51282051282054</v>
      </c>
      <c r="CU41" s="18">
        <f>CT41*VLOOKUP('Données projet'!$B$13,Paramètres!$A$1:$I$89,3,0)*VLOOKUP('Données projet'!$B$13,Paramètres!$A$1:$I$89,5,0)</f>
        <v>114.68000000000002</v>
      </c>
      <c r="CV41" s="14">
        <f t="shared" si="41"/>
        <v>30.430941046845955</v>
      </c>
      <c r="CW41" s="22">
        <f t="shared" si="13"/>
        <v>252.73488898992335</v>
      </c>
      <c r="CX41" s="60">
        <f t="shared" si="14"/>
        <v>498.92648228348207</v>
      </c>
      <c r="CY41" s="60">
        <f ca="1">AVERAGE(OFFSET($CX$3,0,0,'Données projet'!$E$13+1,1))-AVERAGE(OFFSET($H$3,0,0,'Données projet'!$E$13+1,1))</f>
        <v>388.53310909800695</v>
      </c>
      <c r="CZ41" s="60">
        <f t="shared" si="42"/>
        <v>263.82153161042811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0">
        <f t="shared" si="0"/>
        <v>544.11963273047024</v>
      </c>
      <c r="S42" s="60">
        <f ca="1">AVERAGE(OFFSET($R$3,0,0,'Données projet'!$E$9+1,1))-AVERAGE(OFFSET($H$3,0,0,'Données projet'!$E$9+1,1))</f>
        <v>469.67944008675863</v>
      </c>
      <c r="T42" s="60">
        <f t="shared" si="34"/>
        <v>266.11908070867173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</v>
      </c>
      <c r="AI42" s="14">
        <f>IF('Données projet'!$A$62&gt;35,AI41+AH42-AQ41,IF(A42&lt;'Données projet'!$A$62,$AF$205^A42,IF(A42='Données projet'!$A$62,'Données projet'!$B$62,AI41+AH42-AQ41)))</f>
        <v>187.99999999999997</v>
      </c>
      <c r="AJ42" s="14">
        <f>AI42*VLOOKUP('Données projet'!$B$10,Paramètres!$A$1:$I$89,3,0)*VLOOKUP('Données projet'!$B$10,Paramètres!$A$1:$I$89,5,0)</f>
        <v>149.57279999999997</v>
      </c>
      <c r="AK42" s="14">
        <f t="shared" si="35"/>
        <v>38.481486779011689</v>
      </c>
      <c r="AL42" s="22">
        <f t="shared" si="4"/>
        <v>327.52788280677856</v>
      </c>
      <c r="AM42" s="60">
        <f t="shared" si="5"/>
        <v>574.53727989688571</v>
      </c>
      <c r="AN42" s="60">
        <f ca="1">AVERAGE(OFFSET($AM$3,0,0,'Données projet'!$E$10+1,1))-AVERAGE(OFFSET($H$3,0,0,'Données projet'!$E$10+1,1))</f>
        <v>323.1883858932618</v>
      </c>
      <c r="AO42" s="60">
        <f t="shared" si="36"/>
        <v>313.39536932399085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</v>
      </c>
      <c r="BD42" s="13">
        <f>IF('Données projet'!$A$88&gt;35,BD41+BC42-BL41,IF(A42&lt;'Données projet'!$A$88,$BA$205^A42,IF(A42='Données projet'!$A$88,'Données projet'!$B$88,BD41+BC42-BL41)))</f>
        <v>187.99999999999997</v>
      </c>
      <c r="BE42" s="14">
        <f>BD42*VLOOKUP('Données projet'!$B$11,Paramètres!$A$1:$I$89,3,0)*VLOOKUP('Données projet'!$B$11,Paramètres!$A$1:$I$89,5,0)</f>
        <v>137.84159999999997</v>
      </c>
      <c r="BF42" s="14">
        <f t="shared" si="37"/>
        <v>35.802100130711302</v>
      </c>
      <c r="BG42" s="22">
        <f t="shared" si="7"/>
        <v>302.4294443943221</v>
      </c>
      <c r="BH42" s="60">
        <f t="shared" si="8"/>
        <v>549.43884148442919</v>
      </c>
      <c r="BI42" s="60">
        <f ca="1">AVERAGE(OFFSET($BH$3,0,0,'Données projet'!$E$11+1,1))-AVERAGE(OFFSET($H$3,0,0,'Données projet'!$E$11+1,1))</f>
        <v>302.52480941204414</v>
      </c>
      <c r="BJ42" s="60">
        <f t="shared" si="38"/>
        <v>293.66452856196088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126.02304000000004</v>
      </c>
      <c r="CA42" s="14">
        <f t="shared" si="39"/>
        <v>33.075745544773369</v>
      </c>
      <c r="CB42" s="22">
        <f t="shared" si="10"/>
        <v>277.0970514904804</v>
      </c>
      <c r="CC42" s="60">
        <f t="shared" si="11"/>
        <v>524.10644858058754</v>
      </c>
      <c r="CD42" s="60">
        <f ca="1">AVERAGE(OFFSET($CC$3,0,0,'Données projet'!$E$12+1,1))-AVERAGE(OFFSET($H$3,0,0,'Données projet'!$E$12+1,1))</f>
        <v>442.98179778678298</v>
      </c>
      <c r="CE42" s="60">
        <f t="shared" si="40"/>
        <v>251.96153561746942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5.7692307692307709</v>
      </c>
      <c r="CT42" s="13">
        <f>IF('Données projet'!$A$140&gt;35,CT41+CS42-DB41,IF(A42&lt;'Données projet'!$A$140,$CQ$205^A42,IF(A42='Données projet'!$A$140,'Données projet'!$B$140,CT41+CS42-DB41)))</f>
        <v>126.28205128205131</v>
      </c>
      <c r="CU42" s="18">
        <f>CT42*VLOOKUP('Données projet'!$B$13,Paramètres!$A$1:$I$89,3,0)*VLOOKUP('Données projet'!$B$13,Paramètres!$A$1:$I$89,5,0)</f>
        <v>120.17000000000003</v>
      </c>
      <c r="CV42" s="14">
        <f t="shared" si="41"/>
        <v>31.714645735009839</v>
      </c>
      <c r="CW42" s="22">
        <f t="shared" si="13"/>
        <v>264.53242465514222</v>
      </c>
      <c r="CX42" s="60">
        <f t="shared" si="14"/>
        <v>511.54182174524931</v>
      </c>
      <c r="CY42" s="60">
        <f ca="1">AVERAGE(OFFSET($CX$3,0,0,'Données projet'!$E$13+1,1))-AVERAGE(OFFSET($H$3,0,0,'Données projet'!$E$13+1,1))</f>
        <v>388.53310909800695</v>
      </c>
      <c r="CZ42" s="60">
        <f t="shared" si="42"/>
        <v>263.82153161042811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0">
        <f t="shared" si="0"/>
        <v>561.19511408161725</v>
      </c>
      <c r="S43" s="60">
        <f ca="1">AVERAGE(OFFSET($R$3,0,0,'Données projet'!$E$9+1,1))-AVERAGE(OFFSET($H$3,0,0,'Données projet'!$E$9+1,1))</f>
        <v>469.67944008675863</v>
      </c>
      <c r="T43" s="60">
        <f t="shared" si="34"/>
        <v>266.11908070867173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4</v>
      </c>
      <c r="AH43" s="13">
        <f t="array" ref="AH43">INDEX(AG:AG,MIN(IF(ISNUMBER(AG43:AG239),ROW(AG43:AG239),"")))</f>
        <v>4</v>
      </c>
      <c r="AI43" s="14">
        <f>IF('Données projet'!$A$62&gt;35,AI42+AH43-AQ42,IF(A43&lt;'Données projet'!$A$62,$AF$205^A43,IF(A43='Données projet'!$A$62,'Données projet'!$B$62,AI42+AH43-AQ42)))</f>
        <v>191.99999999999997</v>
      </c>
      <c r="AJ43" s="14">
        <f>AI43*VLOOKUP('Données projet'!$B$10,Paramètres!$A$1:$I$89,3,0)*VLOOKUP('Données projet'!$B$10,Paramètres!$A$1:$I$89,5,0)</f>
        <v>152.75519999999997</v>
      </c>
      <c r="AK43" s="14">
        <f t="shared" si="35"/>
        <v>39.204049895729561</v>
      </c>
      <c r="AL43" s="22">
        <f t="shared" si="4"/>
        <v>334.32902690172892</v>
      </c>
      <c r="AM43" s="60">
        <f t="shared" si="5"/>
        <v>582.14204072084976</v>
      </c>
      <c r="AN43" s="60">
        <f ca="1">AVERAGE(OFFSET($AM$3,0,0,'Données projet'!$E$10+1,1))-AVERAGE(OFFSET($H$3,0,0,'Données projet'!$E$10+1,1))</f>
        <v>323.1883858932618</v>
      </c>
      <c r="AO43" s="60">
        <f t="shared" si="36"/>
        <v>313.39536932399085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192</v>
      </c>
      <c r="BB43" s="13">
        <f>VLOOKUP(A43,'Données projet'!$A$87:$I$107,9,0)</f>
        <v>4</v>
      </c>
      <c r="BC43" s="13">
        <f t="array" ref="BC43">INDEX(BB:BB,MIN(IF(ISNUMBER(BB43:BB239),ROW(BB43:BB239),"")))</f>
        <v>4</v>
      </c>
      <c r="BD43" s="13">
        <f>IF('Données projet'!$A$88&gt;35,BD42+BC43-BL42,IF(A43&lt;'Données projet'!$A$88,$BA$205^A43,IF(A43='Données projet'!$A$88,'Données projet'!$B$88,BD42+BC43-BL42)))</f>
        <v>191.99999999999997</v>
      </c>
      <c r="BE43" s="14">
        <f>BD43*VLOOKUP('Données projet'!$B$11,Paramètres!$A$1:$I$89,3,0)*VLOOKUP('Données projet'!$B$11,Paramètres!$A$1:$I$89,5,0)</f>
        <v>140.77439999999999</v>
      </c>
      <c r="BF43" s="14">
        <f t="shared" si="37"/>
        <v>36.474352666172102</v>
      </c>
      <c r="BG43" s="22">
        <f t="shared" si="7"/>
        <v>308.70824422691641</v>
      </c>
      <c r="BH43" s="60">
        <f t="shared" si="8"/>
        <v>556.52125804603725</v>
      </c>
      <c r="BI43" s="60">
        <f ca="1">AVERAGE(OFFSET($BH$3,0,0,'Données projet'!$E$11+1,1))-AVERAGE(OFFSET($H$3,0,0,'Données projet'!$E$11+1,1))</f>
        <v>302.52480941204414</v>
      </c>
      <c r="BJ43" s="60">
        <f t="shared" si="38"/>
        <v>293.66452856196088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133.09920000000002</v>
      </c>
      <c r="CA43" s="14">
        <f t="shared" si="39"/>
        <v>34.71150853565117</v>
      </c>
      <c r="CB43" s="22">
        <f t="shared" si="10"/>
        <v>292.27031736625912</v>
      </c>
      <c r="CC43" s="60">
        <f t="shared" si="11"/>
        <v>540.08333118537996</v>
      </c>
      <c r="CD43" s="60">
        <f ca="1">AVERAGE(OFFSET($CC$3,0,0,'Données projet'!$E$12+1,1))-AVERAGE(OFFSET($H$3,0,0,'Données projet'!$E$12+1,1))</f>
        <v>442.98179778678298</v>
      </c>
      <c r="CE43" s="60">
        <f t="shared" si="40"/>
        <v>251.96153561746942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132.05128205128204</v>
      </c>
      <c r="CR43" s="13">
        <f>VLOOKUP(A43,'Données projet'!$A$139:$I$159,9,0)</f>
        <v>5.7692307692307709</v>
      </c>
      <c r="CS43" s="13">
        <f t="array" ref="CS43">INDEX(CR:CR,MIN(IF(ISNUMBER(CR43:CR239),ROW(CR43:CR239),"")))</f>
        <v>5.7692307692307709</v>
      </c>
      <c r="CT43" s="13">
        <f>IF('Données projet'!$A$140&gt;35,CT42+CS43-DB42,IF(A43&lt;'Données projet'!$A$140,$CQ$205^A43,IF(A43='Données projet'!$A$140,'Données projet'!$B$140,CT42+CS43-DB42)))</f>
        <v>132.05128205128207</v>
      </c>
      <c r="CU43" s="18">
        <f>CT43*VLOOKUP('Données projet'!$B$13,Paramètres!$A$1:$I$89,3,0)*VLOOKUP('Données projet'!$B$13,Paramètres!$A$1:$I$89,5,0)</f>
        <v>125.66000000000001</v>
      </c>
      <c r="CV43" s="14">
        <f t="shared" si="41"/>
        <v>32.991539598281548</v>
      </c>
      <c r="CW43" s="22">
        <f t="shared" si="13"/>
        <v>276.31809813367369</v>
      </c>
      <c r="CX43" s="60">
        <f t="shared" si="14"/>
        <v>524.13111195279453</v>
      </c>
      <c r="CY43" s="60">
        <f ca="1">AVERAGE(OFFSET($CX$3,0,0,'Données projet'!$E$13+1,1))-AVERAGE(OFFSET($H$3,0,0,'Données projet'!$E$13+1,1))</f>
        <v>388.53310909800695</v>
      </c>
      <c r="CZ43" s="60">
        <f t="shared" si="42"/>
        <v>263.82153161042811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0">
        <f t="shared" si="0"/>
        <v>496.77237902229894</v>
      </c>
      <c r="S44" s="60">
        <f ca="1">AVERAGE(OFFSET($R$3,0,0,'Données projet'!$E$9+1,1))-AVERAGE(OFFSET($H$3,0,0,'Données projet'!$E$9+1,1))</f>
        <v>469.67944008675863</v>
      </c>
      <c r="T44" s="60">
        <f t="shared" si="34"/>
        <v>266.11908070867173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13.8</v>
      </c>
      <c r="AI44" s="14">
        <f>IF('Données projet'!$A$62&gt;35,AI43+AH44-AQ43,IF(A44&lt;'Données projet'!$A$62,$AF$205^A44,IF(A44='Données projet'!$A$62,'Données projet'!$B$62,AI43+AH44-AQ43)))</f>
        <v>149.79999999999998</v>
      </c>
      <c r="AJ44" s="14">
        <f>AI44*VLOOKUP('Données projet'!$B$10,Paramètres!$A$1:$I$89,3,0)*VLOOKUP('Données projet'!$B$10,Paramètres!$A$1:$I$89,5,0)</f>
        <v>119.18088</v>
      </c>
      <c r="AK44" s="14">
        <f t="shared" si="35"/>
        <v>31.483876914537184</v>
      </c>
      <c r="AL44" s="22">
        <f t="shared" si="4"/>
        <v>262.40778495948558</v>
      </c>
      <c r="AM44" s="60">
        <f t="shared" si="5"/>
        <v>511.01047455398952</v>
      </c>
      <c r="AN44" s="60">
        <f ca="1">AVERAGE(OFFSET($AM$3,0,0,'Données projet'!$E$10+1,1))-AVERAGE(OFFSET($H$3,0,0,'Données projet'!$E$10+1,1))</f>
        <v>323.1883858932618</v>
      </c>
      <c r="AO44" s="60">
        <f t="shared" si="36"/>
        <v>313.39536932399085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13.8</v>
      </c>
      <c r="BD44" s="13">
        <f>IF('Données projet'!$A$88&gt;35,BD43+BC44-BL43,IF(A44&lt;'Données projet'!$A$88,$BA$205^A44,IF(A44='Données projet'!$A$88,'Données projet'!$B$88,BD43+BC44-BL43)))</f>
        <v>149.79999999999998</v>
      </c>
      <c r="BE44" s="14">
        <f>BD44*VLOOKUP('Données projet'!$B$11,Paramètres!$A$1:$I$89,3,0)*VLOOKUP('Données projet'!$B$11,Paramètres!$A$1:$I$89,5,0)</f>
        <v>109.83335999999998</v>
      </c>
      <c r="BF44" s="14">
        <f t="shared" si="37"/>
        <v>29.291719425249283</v>
      </c>
      <c r="BG44" s="22">
        <f t="shared" si="7"/>
        <v>242.30951333230917</v>
      </c>
      <c r="BH44" s="60">
        <f t="shared" si="8"/>
        <v>490.91220292681317</v>
      </c>
      <c r="BI44" s="60">
        <f ca="1">AVERAGE(OFFSET($BH$3,0,0,'Données projet'!$E$11+1,1))-AVERAGE(OFFSET($H$3,0,0,'Données projet'!$E$11+1,1))</f>
        <v>302.52480941204414</v>
      </c>
      <c r="BJ44" s="60">
        <f t="shared" si="38"/>
        <v>293.66452856196088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104.79456000000003</v>
      </c>
      <c r="CA44" s="14">
        <f t="shared" si="39"/>
        <v>28.101103481959861</v>
      </c>
      <c r="CB44" s="22">
        <f t="shared" si="10"/>
        <v>231.45994723108015</v>
      </c>
      <c r="CC44" s="60">
        <f t="shared" si="11"/>
        <v>480.06263682558415</v>
      </c>
      <c r="CD44" s="60">
        <f ca="1">AVERAGE(OFFSET($CC$3,0,0,'Données projet'!$E$12+1,1))-AVERAGE(OFFSET($H$3,0,0,'Données projet'!$E$12+1,1))</f>
        <v>442.98179778678298</v>
      </c>
      <c r="CE44" s="60">
        <f t="shared" si="40"/>
        <v>251.96153561746942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5.6410256410256405</v>
      </c>
      <c r="CT44" s="13">
        <f>IF('Données projet'!$A$140&gt;35,CT43+CS44-DB43,IF(A44&lt;'Données projet'!$A$140,$CQ$205^A44,IF(A44='Données projet'!$A$140,'Données projet'!$B$140,CT43+CS44-DB43)))</f>
        <v>137.69230769230771</v>
      </c>
      <c r="CU44" s="18">
        <f>CT44*VLOOKUP('Données projet'!$B$13,Paramètres!$A$1:$I$89,3,0)*VLOOKUP('Données projet'!$B$13,Paramètres!$A$1:$I$89,5,0)</f>
        <v>131.02800000000002</v>
      </c>
      <c r="CV44" s="14">
        <f t="shared" si="41"/>
        <v>34.23379094712331</v>
      </c>
      <c r="CW44" s="22">
        <f t="shared" si="13"/>
        <v>287.83095256623977</v>
      </c>
      <c r="CX44" s="60">
        <f t="shared" si="14"/>
        <v>536.43364216074372</v>
      </c>
      <c r="CY44" s="60">
        <f ca="1">AVERAGE(OFFSET($CX$3,0,0,'Données projet'!$E$13+1,1))-AVERAGE(OFFSET($H$3,0,0,'Données projet'!$E$13+1,1))</f>
        <v>388.53310909800695</v>
      </c>
      <c r="CZ44" s="60">
        <f t="shared" si="42"/>
        <v>263.82153161042811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0">
        <f t="shared" si="0"/>
        <v>513.88411432981093</v>
      </c>
      <c r="S45" s="60">
        <f ca="1">AVERAGE(OFFSET($R$3,0,0,'Données projet'!$E$9+1,1))-AVERAGE(OFFSET($H$3,0,0,'Données projet'!$E$9+1,1))</f>
        <v>469.67944008675863</v>
      </c>
      <c r="T45" s="60">
        <f t="shared" si="34"/>
        <v>266.11908070867173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13.8</v>
      </c>
      <c r="AI45" s="14">
        <f>IF('Données projet'!$A$62&gt;35,AI44+AH45-AQ44,IF(A45&lt;'Données projet'!$A$62,$AF$205^A45,IF(A45='Données projet'!$A$62,'Données projet'!$B$62,AI44+AH45-AQ44)))</f>
        <v>163.6</v>
      </c>
      <c r="AJ45" s="14">
        <f>AI45*VLOOKUP('Données projet'!$B$10,Paramètres!$A$1:$I$89,3,0)*VLOOKUP('Données projet'!$B$10,Paramètres!$A$1:$I$89,5,0)</f>
        <v>130.16015999999999</v>
      </c>
      <c r="AK45" s="14">
        <f t="shared" si="35"/>
        <v>34.033364953570199</v>
      </c>
      <c r="AL45" s="22">
        <f t="shared" si="4"/>
        <v>285.97038929413475</v>
      </c>
      <c r="AM45" s="60">
        <f t="shared" si="5"/>
        <v>535.34905555476951</v>
      </c>
      <c r="AN45" s="60">
        <f ca="1">AVERAGE(OFFSET($AM$3,0,0,'Données projet'!$E$10+1,1))-AVERAGE(OFFSET($H$3,0,0,'Données projet'!$E$10+1,1))</f>
        <v>323.1883858932618</v>
      </c>
      <c r="AO45" s="60">
        <f t="shared" si="36"/>
        <v>313.39536932399085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13.8</v>
      </c>
      <c r="BD45" s="13">
        <f>IF('Données projet'!$A$88&gt;35,BD44+BC45-BL44,IF(A45&lt;'Données projet'!$A$88,$BA$205^A45,IF(A45='Données projet'!$A$88,'Données projet'!$B$88,BD44+BC45-BL44)))</f>
        <v>163.6</v>
      </c>
      <c r="BE45" s="14">
        <f>BD45*VLOOKUP('Données projet'!$B$11,Paramètres!$A$1:$I$89,3,0)*VLOOKUP('Données projet'!$B$11,Paramètres!$A$1:$I$89,5,0)</f>
        <v>119.95152</v>
      </c>
      <c r="BF45" s="14">
        <f t="shared" si="37"/>
        <v>31.663691864351986</v>
      </c>
      <c r="BG45" s="22">
        <f t="shared" si="7"/>
        <v>264.06316066374637</v>
      </c>
      <c r="BH45" s="60">
        <f t="shared" si="8"/>
        <v>513.44182692438108</v>
      </c>
      <c r="BI45" s="60">
        <f ca="1">AVERAGE(OFFSET($BH$3,0,0,'Données projet'!$E$11+1,1))-AVERAGE(OFFSET($H$3,0,0,'Données projet'!$E$11+1,1))</f>
        <v>302.52480941204414</v>
      </c>
      <c r="BJ45" s="60">
        <f t="shared" si="38"/>
        <v>293.66452856196088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111.87072000000005</v>
      </c>
      <c r="CA45" s="14">
        <f t="shared" si="39"/>
        <v>29.771307279851975</v>
      </c>
      <c r="CB45" s="22">
        <f t="shared" si="10"/>
        <v>246.69319751240889</v>
      </c>
      <c r="CC45" s="60">
        <f t="shared" si="11"/>
        <v>496.07186377304362</v>
      </c>
      <c r="CD45" s="60">
        <f ca="1">AVERAGE(OFFSET($CC$3,0,0,'Données projet'!$E$12+1,1))-AVERAGE(OFFSET($H$3,0,0,'Données projet'!$E$12+1,1))</f>
        <v>442.98179778678298</v>
      </c>
      <c r="CE45" s="60">
        <f t="shared" si="40"/>
        <v>251.96153561746942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5.6410256410256405</v>
      </c>
      <c r="CT45" s="13">
        <f>IF('Données projet'!$A$140&gt;35,CT44+CS45-DB44,IF(A45&lt;'Données projet'!$A$140,$CQ$205^A45,IF(A45='Données projet'!$A$140,'Données projet'!$B$140,CT44+CS45-DB44)))</f>
        <v>143.33333333333334</v>
      </c>
      <c r="CU45" s="18">
        <f>CT45*VLOOKUP('Données projet'!$B$13,Paramètres!$A$1:$I$89,3,0)*VLOOKUP('Données projet'!$B$13,Paramètres!$A$1:$I$89,5,0)</f>
        <v>136.39600000000002</v>
      </c>
      <c r="CV45" s="14">
        <f t="shared" si="41"/>
        <v>35.470130709133613</v>
      </c>
      <c r="CW45" s="22">
        <f t="shared" si="13"/>
        <v>299.33351098507438</v>
      </c>
      <c r="CX45" s="60">
        <f t="shared" si="14"/>
        <v>548.71217724570909</v>
      </c>
      <c r="CY45" s="60">
        <f ca="1">AVERAGE(OFFSET($CX$3,0,0,'Données projet'!$E$13+1,1))-AVERAGE(OFFSET($H$3,0,0,'Données projet'!$E$13+1,1))</f>
        <v>388.53310909800695</v>
      </c>
      <c r="CZ45" s="60">
        <f t="shared" si="42"/>
        <v>263.82153161042811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0">
        <f t="shared" si="0"/>
        <v>530.9596425203481</v>
      </c>
      <c r="S46" s="60">
        <f ca="1">AVERAGE(OFFSET($R$3,0,0,'Données projet'!$E$9+1,1))-AVERAGE(OFFSET($H$3,0,0,'Données projet'!$E$9+1,1))</f>
        <v>469.67944008675863</v>
      </c>
      <c r="T46" s="60">
        <f t="shared" si="34"/>
        <v>266.11908070867173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13.8</v>
      </c>
      <c r="AI46" s="14">
        <f>IF('Données projet'!$A$62&gt;35,AI45+AH46-AQ45,IF(A46&lt;'Données projet'!$A$62,$AF$205^A46,IF(A46='Données projet'!$A$62,'Données projet'!$B$62,AI45+AH46-AQ45)))</f>
        <v>177.4</v>
      </c>
      <c r="AJ46" s="14">
        <f>AI46*VLOOKUP('Données projet'!$B$10,Paramètres!$A$1:$I$89,3,0)*VLOOKUP('Données projet'!$B$10,Paramètres!$A$1:$I$89,5,0)</f>
        <v>141.13944000000001</v>
      </c>
      <c r="AK46" s="14">
        <f t="shared" si="35"/>
        <v>36.557911926411755</v>
      </c>
      <c r="AL46" s="22">
        <f t="shared" si="4"/>
        <v>309.48955460516714</v>
      </c>
      <c r="AM46" s="60">
        <f t="shared" si="5"/>
        <v>559.63073607159913</v>
      </c>
      <c r="AN46" s="60">
        <f ca="1">AVERAGE(OFFSET($AM$3,0,0,'Données projet'!$E$10+1,1))-AVERAGE(OFFSET($H$3,0,0,'Données projet'!$E$10+1,1))</f>
        <v>323.1883858932618</v>
      </c>
      <c r="AO46" s="60">
        <f t="shared" si="36"/>
        <v>313.39536932399085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13.8</v>
      </c>
      <c r="BD46" s="13">
        <f>IF('Données projet'!$A$88&gt;35,BD45+BC46-BL45,IF(A46&lt;'Données projet'!$A$88,$BA$205^A46,IF(A46='Données projet'!$A$88,'Données projet'!$B$88,BD45+BC46-BL45)))</f>
        <v>177.4</v>
      </c>
      <c r="BE46" s="14">
        <f>BD46*VLOOKUP('Données projet'!$B$11,Paramètres!$A$1:$I$89,3,0)*VLOOKUP('Données projet'!$B$11,Paramètres!$A$1:$I$89,5,0)</f>
        <v>130.06968000000001</v>
      </c>
      <c r="BF46" s="14">
        <f t="shared" si="37"/>
        <v>34.012459832320815</v>
      </c>
      <c r="BG46" s="22">
        <f t="shared" si="7"/>
        <v>285.77639354129207</v>
      </c>
      <c r="BH46" s="60">
        <f t="shared" si="8"/>
        <v>535.91757500772405</v>
      </c>
      <c r="BI46" s="60">
        <f ca="1">AVERAGE(OFFSET($BH$3,0,0,'Données projet'!$E$11+1,1))-AVERAGE(OFFSET($H$3,0,0,'Données projet'!$E$11+1,1))</f>
        <v>302.52480941204414</v>
      </c>
      <c r="BJ46" s="60">
        <f t="shared" si="38"/>
        <v>293.66452856196088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118.94688000000005</v>
      </c>
      <c r="CA46" s="14">
        <f t="shared" si="39"/>
        <v>31.429250481525276</v>
      </c>
      <c r="CB46" s="22">
        <f t="shared" si="10"/>
        <v>261.90509392198993</v>
      </c>
      <c r="CC46" s="60">
        <f t="shared" si="11"/>
        <v>512.04627538842192</v>
      </c>
      <c r="CD46" s="60">
        <f ca="1">AVERAGE(OFFSET($CC$3,0,0,'Données projet'!$E$12+1,1))-AVERAGE(OFFSET($H$3,0,0,'Données projet'!$E$12+1,1))</f>
        <v>442.98179778678298</v>
      </c>
      <c r="CE46" s="60">
        <f t="shared" si="40"/>
        <v>251.96153561746942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5.6410256410256405</v>
      </c>
      <c r="CT46" s="13">
        <f>IF('Données projet'!$A$140&gt;35,CT45+CS46-DB45,IF(A46&lt;'Données projet'!$A$140,$CQ$205^A46,IF(A46='Données projet'!$A$140,'Données projet'!$B$140,CT45+CS46-DB45)))</f>
        <v>148.97435897435898</v>
      </c>
      <c r="CU46" s="18">
        <f>CT46*VLOOKUP('Données projet'!$B$13,Paramètres!$A$1:$I$89,3,0)*VLOOKUP('Données projet'!$B$13,Paramètres!$A$1:$I$89,5,0)</f>
        <v>141.76400000000001</v>
      </c>
      <c r="CV46" s="14">
        <f t="shared" si="41"/>
        <v>36.700818164211768</v>
      </c>
      <c r="CW46" s="22">
        <f t="shared" si="13"/>
        <v>310.8262249693355</v>
      </c>
      <c r="CX46" s="60">
        <f t="shared" si="14"/>
        <v>560.96740643576754</v>
      </c>
      <c r="CY46" s="60">
        <f ca="1">AVERAGE(OFFSET($CX$3,0,0,'Données projet'!$E$13+1,1))-AVERAGE(OFFSET($H$3,0,0,'Données projet'!$E$13+1,1))</f>
        <v>388.53310909800695</v>
      </c>
      <c r="CZ46" s="60">
        <f t="shared" si="42"/>
        <v>263.82153161042811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0">
        <f t="shared" si="0"/>
        <v>548.0007043785007</v>
      </c>
      <c r="S47" s="60">
        <f ca="1">AVERAGE(OFFSET($R$3,0,0,'Données projet'!$E$9+1,1))-AVERAGE(OFFSET($H$3,0,0,'Données projet'!$E$9+1,1))</f>
        <v>469.67944008675863</v>
      </c>
      <c r="T47" s="60">
        <f t="shared" si="34"/>
        <v>266.11908070867173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13.8</v>
      </c>
      <c r="AI47" s="14">
        <f>IF('Données projet'!$A$62&gt;35,AI46+AH47-AQ46,IF(A47&lt;'Données projet'!$A$62,$AF$205^A47,IF(A47='Données projet'!$A$62,'Données projet'!$B$62,AI46+AH47-AQ46)))</f>
        <v>191.20000000000002</v>
      </c>
      <c r="AJ47" s="14">
        <f>AI47*VLOOKUP('Données projet'!$B$10,Paramètres!$A$1:$I$89,3,0)*VLOOKUP('Données projet'!$B$10,Paramètres!$A$1:$I$89,5,0)</f>
        <v>152.11872000000002</v>
      </c>
      <c r="AK47" s="14">
        <f t="shared" si="35"/>
        <v>39.059678596099225</v>
      </c>
      <c r="AL47" s="22">
        <f t="shared" si="4"/>
        <v>332.96904422153949</v>
      </c>
      <c r="AM47" s="60">
        <f t="shared" si="5"/>
        <v>583.85951295967698</v>
      </c>
      <c r="AN47" s="60">
        <f ca="1">AVERAGE(OFFSET($AM$3,0,0,'Données projet'!$E$10+1,1))-AVERAGE(OFFSET($H$3,0,0,'Données projet'!$E$10+1,1))</f>
        <v>323.1883858932618</v>
      </c>
      <c r="AO47" s="60">
        <f t="shared" si="36"/>
        <v>313.39536932399085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13.8</v>
      </c>
      <c r="BD47" s="13">
        <f>IF('Données projet'!$A$88&gt;35,BD46+BC47-BL46,IF(A47&lt;'Données projet'!$A$88,$BA$205^A47,IF(A47='Données projet'!$A$88,'Données projet'!$B$88,BD46+BC47-BL46)))</f>
        <v>191.20000000000002</v>
      </c>
      <c r="BE47" s="14">
        <f>BD47*VLOOKUP('Données projet'!$B$11,Paramètres!$A$1:$I$89,3,0)*VLOOKUP('Données projet'!$B$11,Paramètres!$A$1:$I$89,5,0)</f>
        <v>140.18784000000002</v>
      </c>
      <c r="BF47" s="14">
        <f t="shared" si="37"/>
        <v>36.340033642714168</v>
      </c>
      <c r="BG47" s="22">
        <f t="shared" si="7"/>
        <v>307.45271326106052</v>
      </c>
      <c r="BH47" s="60">
        <f t="shared" si="8"/>
        <v>558.3431819991979</v>
      </c>
      <c r="BI47" s="60">
        <f ca="1">AVERAGE(OFFSET($BH$3,0,0,'Données projet'!$E$11+1,1))-AVERAGE(OFFSET($H$3,0,0,'Données projet'!$E$11+1,1))</f>
        <v>302.52480941204414</v>
      </c>
      <c r="BJ47" s="60">
        <f t="shared" si="38"/>
        <v>293.66452856196088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126.02304000000005</v>
      </c>
      <c r="CA47" s="14">
        <f t="shared" si="39"/>
        <v>33.075745544773369</v>
      </c>
      <c r="CB47" s="22">
        <f t="shared" si="10"/>
        <v>277.0970514904804</v>
      </c>
      <c r="CC47" s="60">
        <f t="shared" si="11"/>
        <v>527.98752022861777</v>
      </c>
      <c r="CD47" s="60">
        <f ca="1">AVERAGE(OFFSET($CC$3,0,0,'Données projet'!$E$12+1,1))-AVERAGE(OFFSET($H$3,0,0,'Données projet'!$E$12+1,1))</f>
        <v>442.98179778678298</v>
      </c>
      <c r="CE47" s="60">
        <f t="shared" si="40"/>
        <v>251.96153561746942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5.6410256410256405</v>
      </c>
      <c r="CT47" s="13">
        <f>IF('Données projet'!$A$140&gt;35,CT46+CS47-DB46,IF(A47&lt;'Données projet'!$A$140,$CQ$205^A47,IF(A47='Données projet'!$A$140,'Données projet'!$B$140,CT46+CS47-DB46)))</f>
        <v>154.61538461538461</v>
      </c>
      <c r="CU47" s="18">
        <f>CT47*VLOOKUP('Données projet'!$B$13,Paramètres!$A$1:$I$89,3,0)*VLOOKUP('Données projet'!$B$13,Paramètres!$A$1:$I$89,5,0)</f>
        <v>147.13200000000001</v>
      </c>
      <c r="CV47" s="14">
        <f t="shared" si="41"/>
        <v>37.926091844382093</v>
      </c>
      <c r="CW47" s="22">
        <f t="shared" si="13"/>
        <v>322.30950996229876</v>
      </c>
      <c r="CX47" s="60">
        <f t="shared" si="14"/>
        <v>573.19997870043619</v>
      </c>
      <c r="CY47" s="60">
        <f ca="1">AVERAGE(OFFSET($CX$3,0,0,'Données projet'!$E$13+1,1))-AVERAGE(OFFSET($H$3,0,0,'Données projet'!$E$13+1,1))</f>
        <v>388.53310909800695</v>
      </c>
      <c r="CZ47" s="60">
        <f t="shared" si="42"/>
        <v>263.82153161042811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0">
        <f t="shared" si="0"/>
        <v>565.00885781333056</v>
      </c>
      <c r="S48" s="60">
        <f ca="1">AVERAGE(OFFSET($R$3,0,0,'Données projet'!$E$9+1,1))-AVERAGE(OFFSET($H$3,0,0,'Données projet'!$E$9+1,1))</f>
        <v>469.67944008675863</v>
      </c>
      <c r="T48" s="60">
        <f t="shared" si="34"/>
        <v>266.11908070867173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205</v>
      </c>
      <c r="AG48" s="13">
        <f>VLOOKUP(A48,'Données projet'!$A$61:$I$81,9,0)</f>
        <v>13.8</v>
      </c>
      <c r="AH48" s="13">
        <f t="array" ref="AH48">INDEX(AG:AG,MIN(IF(ISNUMBER(AG48:AG244),ROW(AG48:AG244),"")))</f>
        <v>13.8</v>
      </c>
      <c r="AI48" s="14">
        <f>IF('Données projet'!$A$62&gt;35,AI47+AH48-AQ47,IF(A48&lt;'Données projet'!$A$62,$AF$205^A48,IF(A48='Données projet'!$A$62,'Données projet'!$B$62,AI47+AH48-AQ47)))</f>
        <v>205.00000000000003</v>
      </c>
      <c r="AJ48" s="14">
        <f>AI48*VLOOKUP('Données projet'!$B$10,Paramètres!$A$1:$I$89,3,0)*VLOOKUP('Données projet'!$B$10,Paramètres!$A$1:$I$89,5,0)</f>
        <v>163.09800000000001</v>
      </c>
      <c r="AK48" s="14">
        <f t="shared" si="35"/>
        <v>41.540496136845142</v>
      </c>
      <c r="AL48" s="22">
        <f t="shared" si="4"/>
        <v>356.41204743833867</v>
      </c>
      <c r="AM48" s="60">
        <f t="shared" si="5"/>
        <v>608.03880498917283</v>
      </c>
      <c r="AN48" s="60">
        <f ca="1">AVERAGE(OFFSET($AM$3,0,0,'Données projet'!$E$10+1,1))-AVERAGE(OFFSET($H$3,0,0,'Données projet'!$E$10+1,1))</f>
        <v>323.1883858932618</v>
      </c>
      <c r="AO48" s="60">
        <f t="shared" si="36"/>
        <v>313.39536932399085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13.8</v>
      </c>
      <c r="BC48" s="13">
        <f t="array" ref="BC48">INDEX(BB:BB,MIN(IF(ISNUMBER(BB48:BB244),ROW(BB48:BB244),"")))</f>
        <v>13.8</v>
      </c>
      <c r="BD48" s="13">
        <f>IF('Données projet'!$A$88&gt;35,BD47+BC48-BL47,IF(A48&lt;'Données projet'!$A$88,$BA$205^A48,IF(A48='Données projet'!$A$88,'Données projet'!$B$88,BD47+BC48-BL47)))</f>
        <v>205.00000000000003</v>
      </c>
      <c r="BE48" s="14">
        <f>BD48*VLOOKUP('Données projet'!$B$11,Paramètres!$A$1:$I$89,3,0)*VLOOKUP('Données projet'!$B$11,Paramètres!$A$1:$I$89,5,0)</f>
        <v>150.30600000000001</v>
      </c>
      <c r="BF48" s="14">
        <f t="shared" si="37"/>
        <v>38.648116968856677</v>
      </c>
      <c r="BG48" s="22">
        <f t="shared" si="7"/>
        <v>329.09508705409206</v>
      </c>
      <c r="BH48" s="60">
        <f t="shared" si="8"/>
        <v>580.72184460492622</v>
      </c>
      <c r="BI48" s="60">
        <f ca="1">AVERAGE(OFFSET($BH$3,0,0,'Données projet'!$E$11+1,1))-AVERAGE(OFFSET($H$3,0,0,'Données projet'!$E$11+1,1))</f>
        <v>302.52480941204414</v>
      </c>
      <c r="BJ48" s="60">
        <f t="shared" si="38"/>
        <v>293.66452856196088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133.09920000000005</v>
      </c>
      <c r="CA48" s="14">
        <f t="shared" si="39"/>
        <v>34.71150853565117</v>
      </c>
      <c r="CB48" s="22">
        <f t="shared" si="10"/>
        <v>292.27031736625918</v>
      </c>
      <c r="CC48" s="60">
        <f t="shared" si="11"/>
        <v>543.89707491709328</v>
      </c>
      <c r="CD48" s="60">
        <f ca="1">AVERAGE(OFFSET($CC$3,0,0,'Données projet'!$E$12+1,1))-AVERAGE(OFFSET($H$3,0,0,'Données projet'!$E$12+1,1))</f>
        <v>442.98179778678298</v>
      </c>
      <c r="CE48" s="60">
        <f t="shared" si="40"/>
        <v>251.96153561746942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160.25641025641025</v>
      </c>
      <c r="CR48" s="13">
        <f>VLOOKUP(A48,'Données projet'!$A$139:$I$159,9,0)</f>
        <v>5.6410256410256405</v>
      </c>
      <c r="CS48" s="13">
        <f t="array" ref="CS48">INDEX(CR:CR,MIN(IF(ISNUMBER(CR48:CR244),ROW(CR48:CR244),"")))</f>
        <v>5.6410256410256405</v>
      </c>
      <c r="CT48" s="13">
        <f>IF('Données projet'!$A$140&gt;35,CT47+CS48-DB47,IF(A48&lt;'Données projet'!$A$140,$CQ$205^A48,IF(A48='Données projet'!$A$140,'Données projet'!$B$140,CT47+CS48-DB47)))</f>
        <v>160.25641025641025</v>
      </c>
      <c r="CU48" s="18">
        <f>CT48*VLOOKUP('Données projet'!$B$13,Paramètres!$A$1:$I$89,3,0)*VLOOKUP('Données projet'!$B$13,Paramètres!$A$1:$I$89,5,0)</f>
        <v>152.5</v>
      </c>
      <c r="CV48" s="14">
        <f t="shared" si="41"/>
        <v>39.146171889962673</v>
      </c>
      <c r="CW48" s="22">
        <f t="shared" si="13"/>
        <v>333.78374937501832</v>
      </c>
      <c r="CX48" s="60">
        <f t="shared" si="14"/>
        <v>585.41050692585247</v>
      </c>
      <c r="CY48" s="60">
        <f ca="1">AVERAGE(OFFSET($CX$3,0,0,'Données projet'!$E$13+1,1))-AVERAGE(OFFSET($H$3,0,0,'Données projet'!$E$13+1,1))</f>
        <v>388.53310909800695</v>
      </c>
      <c r="CZ48" s="60">
        <f t="shared" si="42"/>
        <v>263.82153161042811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28.205128205128204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0">
        <f t="shared" si="0"/>
        <v>581.59873753522481</v>
      </c>
      <c r="S49" s="60">
        <f ca="1">AVERAGE(OFFSET($R$3,0,0,'Données projet'!$E$9+1,1))-AVERAGE(OFFSET($H$3,0,0,'Données projet'!$E$9+1,1))</f>
        <v>469.67944008675863</v>
      </c>
      <c r="T49" s="60">
        <f t="shared" si="34"/>
        <v>266.11908070867173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2.6</v>
      </c>
      <c r="AI49" s="14">
        <f>IF('Données projet'!$A$62&gt;35,AI48+AH49-AQ48,IF(A49&lt;'Données projet'!$A$62,$AF$205^A49,IF(A49='Données projet'!$A$62,'Données projet'!$B$62,AI48+AH49-AQ48)))</f>
        <v>207.60000000000002</v>
      </c>
      <c r="AJ49" s="14">
        <f>AI49*VLOOKUP('Données projet'!$B$10,Paramètres!$A$1:$I$89,3,0)*VLOOKUP('Données projet'!$B$10,Paramètres!$A$1:$I$89,5,0)</f>
        <v>165.16656000000003</v>
      </c>
      <c r="AK49" s="14">
        <f t="shared" si="35"/>
        <v>42.00568326171458</v>
      </c>
      <c r="AL49" s="22">
        <f t="shared" si="4"/>
        <v>360.82499034748622</v>
      </c>
      <c r="AM49" s="60">
        <f t="shared" si="5"/>
        <v>613.17526374621184</v>
      </c>
      <c r="AN49" s="60">
        <f ca="1">AVERAGE(OFFSET($AM$3,0,0,'Données projet'!$E$10+1,1))-AVERAGE(OFFSET($H$3,0,0,'Données projet'!$E$10+1,1))</f>
        <v>323.1883858932618</v>
      </c>
      <c r="AO49" s="60">
        <f t="shared" si="36"/>
        <v>313.39536932399085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2.6</v>
      </c>
      <c r="BD49" s="13">
        <f>IF('Données projet'!$A$88&gt;35,BD48+BC49-BL48,IF(A49&lt;'Données projet'!$A$88,$BA$205^A49,IF(A49='Données projet'!$A$88,'Données projet'!$B$88,BD48+BC49-BL48)))</f>
        <v>207.60000000000002</v>
      </c>
      <c r="BE49" s="14">
        <f>BD49*VLOOKUP('Données projet'!$B$11,Paramètres!$A$1:$I$89,3,0)*VLOOKUP('Données projet'!$B$11,Paramètres!$A$1:$I$89,5,0)</f>
        <v>152.21232000000001</v>
      </c>
      <c r="BF49" s="14">
        <f t="shared" si="37"/>
        <v>39.080914072558386</v>
      </c>
      <c r="BG49" s="22">
        <f t="shared" si="7"/>
        <v>333.16904934303915</v>
      </c>
      <c r="BH49" s="60">
        <f t="shared" si="8"/>
        <v>585.51932274176477</v>
      </c>
      <c r="BI49" s="60">
        <f ca="1">AVERAGE(OFFSET($BH$3,0,0,'Données projet'!$E$11+1,1))-AVERAGE(OFFSET($H$3,0,0,'Données projet'!$E$11+1,1))</f>
        <v>302.52480941204414</v>
      </c>
      <c r="BJ49" s="60">
        <f t="shared" si="38"/>
        <v>293.66452856196088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140.00688000000005</v>
      </c>
      <c r="CA49" s="14">
        <f t="shared" si="39"/>
        <v>36.29858160188811</v>
      </c>
      <c r="CB49" s="22">
        <f t="shared" si="10"/>
        <v>307.06534562328858</v>
      </c>
      <c r="CC49" s="60">
        <f t="shared" si="11"/>
        <v>559.4156190220142</v>
      </c>
      <c r="CD49" s="60">
        <f ca="1">AVERAGE(OFFSET($CC$3,0,0,'Données projet'!$E$12+1,1))-AVERAGE(OFFSET($H$3,0,0,'Données projet'!$E$12+1,1))</f>
        <v>442.98179778678298</v>
      </c>
      <c r="CE49" s="60">
        <f t="shared" si="40"/>
        <v>251.96153561746942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5.2564102564102537</v>
      </c>
      <c r="CT49" s="13">
        <f>IF('Données projet'!$A$140&gt;35,CT48+CS49-DB48,IF(A49&lt;'Données projet'!$A$140,$CQ$205^A49,IF(A49='Données projet'!$A$140,'Données projet'!$B$140,CT48+CS49-DB48)))</f>
        <v>137.30769230769229</v>
      </c>
      <c r="CU49" s="18">
        <f>CT49*VLOOKUP('Données projet'!$B$13,Paramètres!$A$1:$I$89,3,0)*VLOOKUP('Données projet'!$B$13,Paramètres!$A$1:$I$89,5,0)</f>
        <v>130.66199999999998</v>
      </c>
      <c r="CV49" s="14">
        <f t="shared" si="41"/>
        <v>34.149282845527253</v>
      </c>
      <c r="CW49" s="22">
        <f t="shared" si="13"/>
        <v>287.04631762262659</v>
      </c>
      <c r="CX49" s="60">
        <f t="shared" si="14"/>
        <v>539.39659102135226</v>
      </c>
      <c r="CY49" s="60">
        <f ca="1">AVERAGE(OFFSET($CX$3,0,0,'Données projet'!$E$13+1,1))-AVERAGE(OFFSET($H$3,0,0,'Données projet'!$E$13+1,1))</f>
        <v>388.53310909800695</v>
      </c>
      <c r="CZ49" s="60">
        <f t="shared" si="42"/>
        <v>263.82153161042811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0">
        <f t="shared" si="0"/>
        <v>598.15919804455507</v>
      </c>
      <c r="S50" s="60">
        <f ca="1">AVERAGE(OFFSET($R$3,0,0,'Données projet'!$E$9+1,1))-AVERAGE(OFFSET($H$3,0,0,'Données projet'!$E$9+1,1))</f>
        <v>469.67944008675863</v>
      </c>
      <c r="T50" s="60">
        <f t="shared" si="34"/>
        <v>266.11908070867173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2.6</v>
      </c>
      <c r="AI50" s="14">
        <f>IF('Données projet'!$A$62&gt;35,AI49+AH50-AQ49,IF(A50&lt;'Données projet'!$A$62,$AF$205^A50,IF(A50='Données projet'!$A$62,'Données projet'!$B$62,AI49+AH50-AQ49)))</f>
        <v>210.20000000000002</v>
      </c>
      <c r="AJ50" s="14">
        <f>AI50*VLOOKUP('Données projet'!$B$10,Paramètres!$A$1:$I$89,3,0)*VLOOKUP('Données projet'!$B$10,Paramètres!$A$1:$I$89,5,0)</f>
        <v>167.23512000000002</v>
      </c>
      <c r="AK50" s="14">
        <f t="shared" si="35"/>
        <v>42.470192710511604</v>
      </c>
      <c r="AL50" s="22">
        <f t="shared" si="4"/>
        <v>365.2367529708078</v>
      </c>
      <c r="AM50" s="60">
        <f t="shared" si="5"/>
        <v>618.29799083500325</v>
      </c>
      <c r="AN50" s="60">
        <f ca="1">AVERAGE(OFFSET($AM$3,0,0,'Données projet'!$E$10+1,1))-AVERAGE(OFFSET($H$3,0,0,'Données projet'!$E$10+1,1))</f>
        <v>323.1883858932618</v>
      </c>
      <c r="AO50" s="60">
        <f t="shared" si="36"/>
        <v>313.39536932399085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2.6</v>
      </c>
      <c r="BD50" s="13">
        <f>IF('Données projet'!$A$88&gt;35,BD49+BC50-BL49,IF(A50&lt;'Données projet'!$A$88,$BA$205^A50,IF(A50='Données projet'!$A$88,'Données projet'!$B$88,BD49+BC50-BL49)))</f>
        <v>210.20000000000002</v>
      </c>
      <c r="BE50" s="14">
        <f>BD50*VLOOKUP('Données projet'!$B$11,Paramètres!$A$1:$I$89,3,0)*VLOOKUP('Données projet'!$B$11,Paramètres!$A$1:$I$89,5,0)</f>
        <v>154.11864</v>
      </c>
      <c r="BF50" s="14">
        <f t="shared" si="37"/>
        <v>39.513080685376593</v>
      </c>
      <c r="BG50" s="22">
        <f t="shared" si="7"/>
        <v>337.24191352703087</v>
      </c>
      <c r="BH50" s="60">
        <f t="shared" si="8"/>
        <v>590.30315139122627</v>
      </c>
      <c r="BI50" s="60">
        <f ca="1">AVERAGE(OFFSET($BH$3,0,0,'Données projet'!$E$11+1,1))-AVERAGE(OFFSET($H$3,0,0,'Données projet'!$E$11+1,1))</f>
        <v>302.52480941204414</v>
      </c>
      <c r="BJ50" s="60">
        <f t="shared" si="38"/>
        <v>293.66452856196088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146.91456000000005</v>
      </c>
      <c r="CA50" s="14">
        <f t="shared" si="39"/>
        <v>37.87656239799518</v>
      </c>
      <c r="CB50" s="22">
        <f t="shared" si="10"/>
        <v>321.84453817650837</v>
      </c>
      <c r="CC50" s="60">
        <f t="shared" si="11"/>
        <v>574.90577604070381</v>
      </c>
      <c r="CD50" s="60">
        <f ca="1">AVERAGE(OFFSET($CC$3,0,0,'Données projet'!$E$12+1,1))-AVERAGE(OFFSET($H$3,0,0,'Données projet'!$E$12+1,1))</f>
        <v>442.98179778678298</v>
      </c>
      <c r="CE50" s="60">
        <f t="shared" si="40"/>
        <v>251.96153561746942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5.2564102564102537</v>
      </c>
      <c r="CT50" s="13">
        <f>IF('Données projet'!$A$140&gt;35,CT49+CS50-DB49,IF(A50&lt;'Données projet'!$A$140,$CQ$205^A50,IF(A50='Données projet'!$A$140,'Données projet'!$B$140,CT49+CS50-DB49)))</f>
        <v>142.56410256410254</v>
      </c>
      <c r="CU50" s="18">
        <f>CT50*VLOOKUP('Données projet'!$B$13,Paramètres!$A$1:$I$89,3,0)*VLOOKUP('Données projet'!$B$13,Paramètres!$A$1:$I$89,5,0)</f>
        <v>135.66399999999999</v>
      </c>
      <c r="CV50" s="14">
        <f t="shared" si="41"/>
        <v>35.301877311719494</v>
      </c>
      <c r="CW50" s="22">
        <f t="shared" si="13"/>
        <v>297.76556965124479</v>
      </c>
      <c r="CX50" s="60">
        <f t="shared" si="14"/>
        <v>550.82680751544012</v>
      </c>
      <c r="CY50" s="60">
        <f ca="1">AVERAGE(OFFSET($CX$3,0,0,'Données projet'!$E$13+1,1))-AVERAGE(OFFSET($H$3,0,0,'Données projet'!$E$13+1,1))</f>
        <v>388.53310909800695</v>
      </c>
      <c r="CZ50" s="60">
        <f t="shared" si="42"/>
        <v>263.82153161042811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0">
        <f t="shared" si="0"/>
        <v>614.69134074117255</v>
      </c>
      <c r="S51" s="60">
        <f ca="1">AVERAGE(OFFSET($R$3,0,0,'Données projet'!$E$9+1,1))-AVERAGE(OFFSET($H$3,0,0,'Données projet'!$E$9+1,1))</f>
        <v>469.67944008675863</v>
      </c>
      <c r="T51" s="60">
        <f t="shared" si="34"/>
        <v>266.11908070867173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2.6</v>
      </c>
      <c r="AI51" s="14">
        <f>IF('Données projet'!$A$62&gt;35,AI50+AH51-AQ50,IF(A51&lt;'Données projet'!$A$62,$AF$205^A51,IF(A51='Données projet'!$A$62,'Données projet'!$B$62,AI50+AH51-AQ50)))</f>
        <v>212.8</v>
      </c>
      <c r="AJ51" s="14">
        <f>AI51*VLOOKUP('Données projet'!$B$10,Paramètres!$A$1:$I$89,3,0)*VLOOKUP('Données projet'!$B$10,Paramètres!$A$1:$I$89,5,0)</f>
        <v>169.30368000000001</v>
      </c>
      <c r="AK51" s="14">
        <f t="shared" si="35"/>
        <v>42.934033834973214</v>
      </c>
      <c r="AL51" s="22">
        <f t="shared" si="4"/>
        <v>369.64735159591169</v>
      </c>
      <c r="AM51" s="60">
        <f t="shared" si="5"/>
        <v>623.40722028157938</v>
      </c>
      <c r="AN51" s="60">
        <f ca="1">AVERAGE(OFFSET($AM$3,0,0,'Données projet'!$E$10+1,1))-AVERAGE(OFFSET($H$3,0,0,'Données projet'!$E$10+1,1))</f>
        <v>323.1883858932618</v>
      </c>
      <c r="AO51" s="60">
        <f t="shared" si="36"/>
        <v>313.39536932399085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2.6</v>
      </c>
      <c r="BD51" s="13">
        <f>IF('Données projet'!$A$88&gt;35,BD50+BC51-BL50,IF(A51&lt;'Données projet'!$A$88,$BA$205^A51,IF(A51='Données projet'!$A$88,'Données projet'!$B$88,BD50+BC51-BL50)))</f>
        <v>212.8</v>
      </c>
      <c r="BE51" s="14">
        <f>BD51*VLOOKUP('Données projet'!$B$11,Paramètres!$A$1:$I$89,3,0)*VLOOKUP('Données projet'!$B$11,Paramètres!$A$1:$I$89,5,0)</f>
        <v>156.02496000000002</v>
      </c>
      <c r="BF51" s="14">
        <f t="shared" si="37"/>
        <v>39.944625507905997</v>
      </c>
      <c r="BG51" s="22">
        <f t="shared" si="7"/>
        <v>341.31369475960292</v>
      </c>
      <c r="BH51" s="60">
        <f t="shared" si="8"/>
        <v>595.07356344527057</v>
      </c>
      <c r="BI51" s="60">
        <f ca="1">AVERAGE(OFFSET($BH$3,0,0,'Données projet'!$E$11+1,1))-AVERAGE(OFFSET($H$3,0,0,'Données projet'!$E$11+1,1))</f>
        <v>302.52480941204414</v>
      </c>
      <c r="BJ51" s="60">
        <f t="shared" si="38"/>
        <v>293.66452856196088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153.82224000000002</v>
      </c>
      <c r="CA51" s="14">
        <f t="shared" si="39"/>
        <v>39.445927244182762</v>
      </c>
      <c r="CB51" s="22">
        <f t="shared" si="10"/>
        <v>336.60872461695169</v>
      </c>
      <c r="CC51" s="60">
        <f t="shared" si="11"/>
        <v>590.36859330261939</v>
      </c>
      <c r="CD51" s="60">
        <f ca="1">AVERAGE(OFFSET($CC$3,0,0,'Données projet'!$E$12+1,1))-AVERAGE(OFFSET($H$3,0,0,'Données projet'!$E$12+1,1))</f>
        <v>442.98179778678298</v>
      </c>
      <c r="CE51" s="60">
        <f t="shared" si="40"/>
        <v>251.96153561746942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5.2564102564102537</v>
      </c>
      <c r="CT51" s="13">
        <f>IF('Données projet'!$A$140&gt;35,CT50+CS51-DB50,IF(A51&lt;'Données projet'!$A$140,$CQ$205^A51,IF(A51='Données projet'!$A$140,'Données projet'!$B$140,CT50+CS51-DB50)))</f>
        <v>147.82051282051279</v>
      </c>
      <c r="CU51" s="18">
        <f>CT51*VLOOKUP('Données projet'!$B$13,Paramètres!$A$1:$I$89,3,0)*VLOOKUP('Données projet'!$B$13,Paramètres!$A$1:$I$89,5,0)</f>
        <v>140.66599999999997</v>
      </c>
      <c r="CV51" s="14">
        <f t="shared" si="41"/>
        <v>36.449534575573686</v>
      </c>
      <c r="CW51" s="22">
        <f t="shared" si="13"/>
        <v>308.47622271912411</v>
      </c>
      <c r="CX51" s="60">
        <f t="shared" si="14"/>
        <v>562.23609140479175</v>
      </c>
      <c r="CY51" s="60">
        <f ca="1">AVERAGE(OFFSET($CX$3,0,0,'Données projet'!$E$13+1,1))-AVERAGE(OFFSET($H$3,0,0,'Données projet'!$E$13+1,1))</f>
        <v>388.53310909800695</v>
      </c>
      <c r="CZ51" s="60">
        <f t="shared" si="42"/>
        <v>263.82153161042811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0">
        <f t="shared" si="0"/>
        <v>631.19617939597038</v>
      </c>
      <c r="S52" s="60">
        <f ca="1">AVERAGE(OFFSET($R$3,0,0,'Données projet'!$E$9+1,1))-AVERAGE(OFFSET($H$3,0,0,'Données projet'!$E$9+1,1))</f>
        <v>469.67944008675863</v>
      </c>
      <c r="T52" s="60">
        <f t="shared" si="34"/>
        <v>266.11908070867173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2.6</v>
      </c>
      <c r="AI52" s="14">
        <f>IF('Données projet'!$A$62&gt;35,AI51+AH52-AQ51,IF(A52&lt;'Données projet'!$A$62,$AF$205^A52,IF(A52='Données projet'!$A$62,'Données projet'!$B$62,AI51+AH52-AQ51)))</f>
        <v>215.4</v>
      </c>
      <c r="AJ52" s="14">
        <f>AI52*VLOOKUP('Données projet'!$B$10,Paramètres!$A$1:$I$89,3,0)*VLOOKUP('Données projet'!$B$10,Paramètres!$A$1:$I$89,5,0)</f>
        <v>171.37224000000001</v>
      </c>
      <c r="AK52" s="14">
        <f t="shared" si="35"/>
        <v>43.397215745170669</v>
      </c>
      <c r="AL52" s="22">
        <f t="shared" si="4"/>
        <v>374.05680208950554</v>
      </c>
      <c r="AM52" s="60">
        <f t="shared" si="5"/>
        <v>628.50318191379756</v>
      </c>
      <c r="AN52" s="60">
        <f ca="1">AVERAGE(OFFSET($AM$3,0,0,'Données projet'!$E$10+1,1))-AVERAGE(OFFSET($H$3,0,0,'Données projet'!$E$10+1,1))</f>
        <v>323.1883858932618</v>
      </c>
      <c r="AO52" s="60">
        <f t="shared" si="36"/>
        <v>313.39536932399085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2.6</v>
      </c>
      <c r="BD52" s="13">
        <f>IF('Données projet'!$A$88&gt;35,BD51+BC52-BL51,IF(A52&lt;'Données projet'!$A$88,$BA$205^A52,IF(A52='Données projet'!$A$88,'Données projet'!$B$88,BD51+BC52-BL51)))</f>
        <v>215.4</v>
      </c>
      <c r="BE52" s="14">
        <f>BD52*VLOOKUP('Données projet'!$B$11,Paramètres!$A$1:$I$89,3,0)*VLOOKUP('Données projet'!$B$11,Paramètres!$A$1:$I$89,5,0)</f>
        <v>157.93128000000002</v>
      </c>
      <c r="BF52" s="14">
        <f t="shared" si="37"/>
        <v>40.375557015902373</v>
      </c>
      <c r="BG52" s="22">
        <f t="shared" si="7"/>
        <v>345.38440780269661</v>
      </c>
      <c r="BH52" s="60">
        <f t="shared" si="8"/>
        <v>599.83078762698858</v>
      </c>
      <c r="BI52" s="60">
        <f ca="1">AVERAGE(OFFSET($BH$3,0,0,'Données projet'!$E$11+1,1))-AVERAGE(OFFSET($H$3,0,0,'Données projet'!$E$11+1,1))</f>
        <v>302.52480941204414</v>
      </c>
      <c r="BJ52" s="60">
        <f t="shared" si="38"/>
        <v>293.66452856196088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160.72992000000002</v>
      </c>
      <c r="CA52" s="14">
        <f t="shared" si="39"/>
        <v>41.007107262069759</v>
      </c>
      <c r="CB52" s="22">
        <f t="shared" si="10"/>
        <v>351.35865581477151</v>
      </c>
      <c r="CC52" s="60">
        <f t="shared" si="11"/>
        <v>605.80503563906348</v>
      </c>
      <c r="CD52" s="60">
        <f ca="1">AVERAGE(OFFSET($CC$3,0,0,'Données projet'!$E$12+1,1))-AVERAGE(OFFSET($H$3,0,0,'Données projet'!$E$12+1,1))</f>
        <v>442.98179778678298</v>
      </c>
      <c r="CE52" s="60">
        <f t="shared" si="40"/>
        <v>251.96153561746942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5.2564102564102537</v>
      </c>
      <c r="CT52" s="13">
        <f>IF('Données projet'!$A$140&gt;35,CT51+CS52-DB51,IF(A52&lt;'Données projet'!$A$140,$CQ$205^A52,IF(A52='Données projet'!$A$140,'Données projet'!$B$140,CT51+CS52-DB51)))</f>
        <v>153.07692307692304</v>
      </c>
      <c r="CU52" s="18">
        <f>CT52*VLOOKUP('Données projet'!$B$13,Paramètres!$A$1:$I$89,3,0)*VLOOKUP('Données projet'!$B$13,Paramètres!$A$1:$I$89,5,0)</f>
        <v>145.66799999999995</v>
      </c>
      <c r="CV52" s="14">
        <f t="shared" si="41"/>
        <v>37.592450315522605</v>
      </c>
      <c r="CW52" s="22">
        <f t="shared" si="13"/>
        <v>319.17861763286845</v>
      </c>
      <c r="CX52" s="60">
        <f t="shared" si="14"/>
        <v>573.62499745716036</v>
      </c>
      <c r="CY52" s="60">
        <f ca="1">AVERAGE(OFFSET($CX$3,0,0,'Données projet'!$E$13+1,1))-AVERAGE(OFFSET($H$3,0,0,'Données projet'!$E$13+1,1))</f>
        <v>388.53310909800695</v>
      </c>
      <c r="CZ52" s="60">
        <f t="shared" si="42"/>
        <v>263.82153161042811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0">
        <f t="shared" si="0"/>
        <v>647.67465143324716</v>
      </c>
      <c r="S53" s="60">
        <f ca="1">AVERAGE(OFFSET($R$3,0,0,'Données projet'!$E$9+1,1))-AVERAGE(OFFSET($H$3,0,0,'Données projet'!$E$9+1,1))</f>
        <v>469.67944008675863</v>
      </c>
      <c r="T53" s="60">
        <f t="shared" si="34"/>
        <v>266.11908070867173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218</v>
      </c>
      <c r="AG53" s="13">
        <f>VLOOKUP(A53,'Données projet'!$A$61:$I$81,9,0)</f>
        <v>2.6</v>
      </c>
      <c r="AH53" s="13">
        <f t="array" ref="AH53">INDEX(AG:AG,MIN(IF(ISNUMBER(AG53:AG249),ROW(AG53:AG249),"")))</f>
        <v>2.6</v>
      </c>
      <c r="AI53" s="14">
        <f>IF('Données projet'!$A$62&gt;35,AI52+AH53-AQ52,IF(A53&lt;'Données projet'!$A$62,$AF$205^A53,IF(A53='Données projet'!$A$62,'Données projet'!$B$62,AI52+AH53-AQ52)))</f>
        <v>218</v>
      </c>
      <c r="AJ53" s="14">
        <f>AI53*VLOOKUP('Données projet'!$B$10,Paramètres!$A$1:$I$89,3,0)*VLOOKUP('Données projet'!$B$10,Paramètres!$A$1:$I$89,5,0)</f>
        <v>173.44080000000002</v>
      </c>
      <c r="AK53" s="14">
        <f t="shared" si="35"/>
        <v>43.859747318594479</v>
      </c>
      <c r="AL53" s="22">
        <f t="shared" si="4"/>
        <v>378.46511991321876</v>
      </c>
      <c r="AM53" s="60">
        <f t="shared" si="5"/>
        <v>633.58610144268891</v>
      </c>
      <c r="AN53" s="60">
        <f ca="1">AVERAGE(OFFSET($AM$3,0,0,'Données projet'!$E$10+1,1))-AVERAGE(OFFSET($H$3,0,0,'Données projet'!$E$10+1,1))</f>
        <v>323.1883858932618</v>
      </c>
      <c r="AO53" s="60">
        <f t="shared" si="36"/>
        <v>313.39536932399085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</v>
      </c>
      <c r="BB53" s="13">
        <f>VLOOKUP(A53,'Données projet'!$A$87:$I$107,9,0)</f>
        <v>2.6</v>
      </c>
      <c r="BC53" s="13">
        <f t="array" ref="BC53">INDEX(BB:BB,MIN(IF(ISNUMBER(BB53:BB249),ROW(BB53:BB249),"")))</f>
        <v>2.6</v>
      </c>
      <c r="BD53" s="13">
        <f>IF('Données projet'!$A$88&gt;35,BD52+BC53-BL52,IF(A53&lt;'Données projet'!$A$88,$BA$205^A53,IF(A53='Données projet'!$A$88,'Données projet'!$B$88,BD52+BC53-BL52)))</f>
        <v>218</v>
      </c>
      <c r="BE53" s="14">
        <f>BD53*VLOOKUP('Données projet'!$B$11,Paramètres!$A$1:$I$89,3,0)*VLOOKUP('Données projet'!$B$11,Paramètres!$A$1:$I$89,5,0)</f>
        <v>159.83760000000001</v>
      </c>
      <c r="BF53" s="14">
        <f t="shared" si="37"/>
        <v>40.805883468734919</v>
      </c>
      <c r="BG53" s="22">
        <f t="shared" si="7"/>
        <v>349.45406704138003</v>
      </c>
      <c r="BH53" s="60">
        <f t="shared" si="8"/>
        <v>604.57504857085019</v>
      </c>
      <c r="BI53" s="60">
        <f ca="1">AVERAGE(OFFSET($BH$3,0,0,'Données projet'!$E$11+1,1))-AVERAGE(OFFSET($H$3,0,0,'Données projet'!$E$11+1,1))</f>
        <v>302.52480941204414</v>
      </c>
      <c r="BJ53" s="60">
        <f t="shared" si="38"/>
        <v>293.66452856196088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167.63760000000002</v>
      </c>
      <c r="CA53" s="14">
        <f t="shared" si="39"/>
        <v>42.560494420898017</v>
      </c>
      <c r="CB53" s="22">
        <f t="shared" si="10"/>
        <v>366.09501444973074</v>
      </c>
      <c r="CC53" s="60">
        <f t="shared" si="11"/>
        <v>621.2159959792009</v>
      </c>
      <c r="CD53" s="60">
        <f ca="1">AVERAGE(OFFSET($CC$3,0,0,'Données projet'!$E$12+1,1))-AVERAGE(OFFSET($H$3,0,0,'Données projet'!$E$12+1,1))</f>
        <v>442.98179778678298</v>
      </c>
      <c r="CE53" s="60">
        <f t="shared" si="40"/>
        <v>251.96153561746942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158.33333333333331</v>
      </c>
      <c r="CR53" s="13">
        <f>VLOOKUP(A53,'Données projet'!$A$139:$I$159,9,0)</f>
        <v>5.2564102564102537</v>
      </c>
      <c r="CS53" s="13">
        <f t="array" ref="CS53">INDEX(CR:CR,MIN(IF(ISNUMBER(CR53:CR249),ROW(CR53:CR249),"")))</f>
        <v>5.2564102564102537</v>
      </c>
      <c r="CT53" s="13">
        <f>IF('Données projet'!$A$140&gt;35,CT52+CS53-DB52,IF(A53&lt;'Données projet'!$A$140,$CQ$205^A53,IF(A53='Données projet'!$A$140,'Données projet'!$B$140,CT52+CS53-DB52)))</f>
        <v>158.33333333333329</v>
      </c>
      <c r="CU53" s="18">
        <f>CT53*VLOOKUP('Données projet'!$B$13,Paramètres!$A$1:$I$89,3,0)*VLOOKUP('Données projet'!$B$13,Paramètres!$A$1:$I$89,5,0)</f>
        <v>150.66999999999996</v>
      </c>
      <c r="CV53" s="14">
        <f t="shared" si="41"/>
        <v>38.730806009209921</v>
      </c>
      <c r="CW53" s="22">
        <f t="shared" si="13"/>
        <v>329.87307046604047</v>
      </c>
      <c r="CX53" s="60">
        <f t="shared" si="14"/>
        <v>584.99405199551052</v>
      </c>
      <c r="CY53" s="60">
        <f ca="1">AVERAGE(OFFSET($CX$3,0,0,'Données projet'!$E$13+1,1))-AVERAGE(OFFSET($H$3,0,0,'Données projet'!$E$13+1,1))</f>
        <v>388.53310909800695</v>
      </c>
      <c r="CZ53" s="60">
        <f t="shared" si="42"/>
        <v>263.82153161042811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0">
        <f t="shared" si="0"/>
        <v>582.71151351155868</v>
      </c>
      <c r="S54" s="60">
        <f ca="1">AVERAGE(OFFSET($R$3,0,0,'Données projet'!$E$9+1,1))-AVERAGE(OFFSET($H$3,0,0,'Données projet'!$E$9+1,1))</f>
        <v>469.67944008675863</v>
      </c>
      <c r="T54" s="60">
        <f t="shared" si="34"/>
        <v>266.11908070867173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10.8</v>
      </c>
      <c r="AI54" s="14">
        <f>IF('Données projet'!$A$62&gt;35,AI53+AH54-AQ53,IF(A54&lt;'Données projet'!$A$62,$AF$205^A54,IF(A54='Données projet'!$A$62,'Données projet'!$B$62,AI53+AH54-AQ53)))</f>
        <v>189.8</v>
      </c>
      <c r="AJ54" s="14">
        <f>AI54*VLOOKUP('Données projet'!$B$10,Paramètres!$A$1:$I$89,3,0)*VLOOKUP('Données projet'!$B$10,Paramètres!$A$1:$I$89,5,0)</f>
        <v>151.00488000000001</v>
      </c>
      <c r="AK54" s="14">
        <f t="shared" si="35"/>
        <v>38.80685939084016</v>
      </c>
      <c r="AL54" s="22">
        <f t="shared" si="4"/>
        <v>330.58877943904662</v>
      </c>
      <c r="AM54" s="60">
        <f t="shared" si="5"/>
        <v>586.37265984229339</v>
      </c>
      <c r="AN54" s="60">
        <f ca="1">AVERAGE(OFFSET($AM$3,0,0,'Données projet'!$E$10+1,1))-AVERAGE(OFFSET($H$3,0,0,'Données projet'!$E$10+1,1))</f>
        <v>323.1883858932618</v>
      </c>
      <c r="AO54" s="60">
        <f t="shared" si="36"/>
        <v>313.39536932399085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10.8</v>
      </c>
      <c r="BD54" s="13">
        <f>IF('Données projet'!$A$88&gt;35,BD53+BC54-BL53,IF(A54&lt;'Données projet'!$A$88,$BA$205^A54,IF(A54='Données projet'!$A$88,'Données projet'!$B$88,BD53+BC54-BL53)))</f>
        <v>189.8</v>
      </c>
      <c r="BE54" s="14">
        <f>BD54*VLOOKUP('Données projet'!$B$11,Paramètres!$A$1:$I$89,3,0)*VLOOKUP('Données projet'!$B$11,Paramètres!$A$1:$I$89,5,0)</f>
        <v>139.16136</v>
      </c>
      <c r="BF54" s="14">
        <f t="shared" si="37"/>
        <v>36.104817717881744</v>
      </c>
      <c r="BG54" s="22">
        <f t="shared" si="7"/>
        <v>305.25525952531069</v>
      </c>
      <c r="BH54" s="60">
        <f t="shared" si="8"/>
        <v>561.03913992855746</v>
      </c>
      <c r="BI54" s="60">
        <f ca="1">AVERAGE(OFFSET($BH$3,0,0,'Données projet'!$E$11+1,1))-AVERAGE(OFFSET($H$3,0,0,'Données projet'!$E$11+1,1))</f>
        <v>302.52480941204414</v>
      </c>
      <c r="BJ54" s="60">
        <f t="shared" si="38"/>
        <v>293.66452856196088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138.99600000000001</v>
      </c>
      <c r="CA54" s="14">
        <f t="shared" si="39"/>
        <v>36.066906938767758</v>
      </c>
      <c r="CB54" s="22">
        <f t="shared" si="10"/>
        <v>304.90122958502047</v>
      </c>
      <c r="CC54" s="60">
        <f t="shared" si="11"/>
        <v>560.6851099882673</v>
      </c>
      <c r="CD54" s="60">
        <f ca="1">AVERAGE(OFFSET($CC$3,0,0,'Données projet'!$E$12+1,1))-AVERAGE(OFFSET($H$3,0,0,'Données projet'!$E$12+1,1))</f>
        <v>442.98179778678298</v>
      </c>
      <c r="CE54" s="60">
        <f t="shared" si="40"/>
        <v>251.96153561746942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4.8717948717948731</v>
      </c>
      <c r="CT54" s="13">
        <f>IF('Données projet'!$A$140&gt;35,CT53+CS54-DB53,IF(A54&lt;'Données projet'!$A$140,$CQ$205^A54,IF(A54='Données projet'!$A$140,'Données projet'!$B$140,CT53+CS54-DB53)))</f>
        <v>163.20512820512815</v>
      </c>
      <c r="CU54" s="18">
        <f>CT54*VLOOKUP('Données projet'!$B$13,Paramètres!$A$1:$I$89,3,0)*VLOOKUP('Données projet'!$B$13,Paramètres!$A$1:$I$89,5,0)</f>
        <v>155.30599999999995</v>
      </c>
      <c r="CV54" s="14">
        <f t="shared" si="41"/>
        <v>39.781942810239308</v>
      </c>
      <c r="CW54" s="22">
        <f t="shared" si="13"/>
        <v>339.7781670611667</v>
      </c>
      <c r="CX54" s="60">
        <f t="shared" si="14"/>
        <v>595.56204746441358</v>
      </c>
      <c r="CY54" s="60">
        <f ca="1">AVERAGE(OFFSET($CX$3,0,0,'Données projet'!$E$13+1,1))-AVERAGE(OFFSET($H$3,0,0,'Données projet'!$E$13+1,1))</f>
        <v>388.53310909800695</v>
      </c>
      <c r="CZ54" s="60">
        <f t="shared" si="42"/>
        <v>263.82153161042811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0">
        <f t="shared" si="0"/>
        <v>598.8283829473753</v>
      </c>
      <c r="S55" s="60">
        <f ca="1">AVERAGE(OFFSET($R$3,0,0,'Données projet'!$E$9+1,1))-AVERAGE(OFFSET($H$3,0,0,'Données projet'!$E$9+1,1))</f>
        <v>469.67944008675863</v>
      </c>
      <c r="T55" s="60">
        <f t="shared" si="34"/>
        <v>266.11908070867173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10.8</v>
      </c>
      <c r="AI55" s="14">
        <f>IF('Données projet'!$A$62&gt;35,AI54+AH55-AQ54,IF(A55&lt;'Données projet'!$A$62,$AF$205^A55,IF(A55='Données projet'!$A$62,'Données projet'!$B$62,AI54+AH55-AQ54)))</f>
        <v>200.60000000000002</v>
      </c>
      <c r="AJ55" s="14">
        <f>AI55*VLOOKUP('Données projet'!$B$10,Paramètres!$A$1:$I$89,3,0)*VLOOKUP('Données projet'!$B$10,Paramètres!$A$1:$I$89,5,0)</f>
        <v>159.59736000000004</v>
      </c>
      <c r="AK55" s="14">
        <f t="shared" si="35"/>
        <v>40.751685517297737</v>
      </c>
      <c r="AL55" s="22">
        <f t="shared" si="4"/>
        <v>348.94125427596026</v>
      </c>
      <c r="AM55" s="60">
        <f t="shared" si="5"/>
        <v>605.37653373954367</v>
      </c>
      <c r="AN55" s="60">
        <f ca="1">AVERAGE(OFFSET($AM$3,0,0,'Données projet'!$E$10+1,1))-AVERAGE(OFFSET($H$3,0,0,'Données projet'!$E$10+1,1))</f>
        <v>323.1883858932618</v>
      </c>
      <c r="AO55" s="60">
        <f t="shared" si="36"/>
        <v>313.39536932399085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10.8</v>
      </c>
      <c r="BD55" s="13">
        <f>IF('Données projet'!$A$88&gt;35,BD54+BC55-BL54,IF(A55&lt;'Données projet'!$A$88,$BA$205^A55,IF(A55='Données projet'!$A$88,'Données projet'!$B$88,BD54+BC55-BL54)))</f>
        <v>200.60000000000002</v>
      </c>
      <c r="BE55" s="14">
        <f>BD55*VLOOKUP('Données projet'!$B$11,Paramètres!$A$1:$I$89,3,0)*VLOOKUP('Données projet'!$B$11,Paramètres!$A$1:$I$89,5,0)</f>
        <v>147.07992000000002</v>
      </c>
      <c r="BF55" s="14">
        <f t="shared" si="37"/>
        <v>37.914229607711135</v>
      </c>
      <c r="BG55" s="22">
        <f t="shared" si="7"/>
        <v>322.19814390009697</v>
      </c>
      <c r="BH55" s="60">
        <f t="shared" si="8"/>
        <v>578.63342336368032</v>
      </c>
      <c r="BI55" s="60">
        <f ca="1">AVERAGE(OFFSET($BH$3,0,0,'Données projet'!$E$11+1,1))-AVERAGE(OFFSET($H$3,0,0,'Données projet'!$E$11+1,1))</f>
        <v>302.52480941204414</v>
      </c>
      <c r="BJ55" s="60">
        <f t="shared" si="38"/>
        <v>293.66452856196088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145.73520000000002</v>
      </c>
      <c r="CA55" s="14">
        <f t="shared" si="39"/>
        <v>37.607773527116258</v>
      </c>
      <c r="CB55" s="22">
        <f t="shared" si="10"/>
        <v>319.32234555972747</v>
      </c>
      <c r="CC55" s="60">
        <f t="shared" si="11"/>
        <v>575.75762502331077</v>
      </c>
      <c r="CD55" s="60">
        <f ca="1">AVERAGE(OFFSET($CC$3,0,0,'Données projet'!$E$12+1,1))-AVERAGE(OFFSET($H$3,0,0,'Données projet'!$E$12+1,1))</f>
        <v>442.98179778678298</v>
      </c>
      <c r="CE55" s="60">
        <f t="shared" si="40"/>
        <v>251.96153561746942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4.8717948717948731</v>
      </c>
      <c r="CT55" s="13">
        <f>IF('Données projet'!$A$140&gt;35,CT54+CS55-DB54,IF(A55&lt;'Données projet'!$A$140,$CQ$205^A55,IF(A55='Données projet'!$A$140,'Données projet'!$B$140,CT54+CS55-DB54)))</f>
        <v>168.07692307692301</v>
      </c>
      <c r="CU55" s="18">
        <f>CT55*VLOOKUP('Données projet'!$B$13,Paramètres!$A$1:$I$89,3,0)*VLOOKUP('Données projet'!$B$13,Paramètres!$A$1:$I$89,5,0)</f>
        <v>159.94199999999995</v>
      </c>
      <c r="CV55" s="14">
        <f t="shared" si="41"/>
        <v>40.829433068762448</v>
      </c>
      <c r="CW55" s="22">
        <f t="shared" si="13"/>
        <v>349.67691259476118</v>
      </c>
      <c r="CX55" s="60">
        <f t="shared" si="14"/>
        <v>606.11219205834459</v>
      </c>
      <c r="CY55" s="60">
        <f ca="1">AVERAGE(OFFSET($CX$3,0,0,'Données projet'!$E$13+1,1))-AVERAGE(OFFSET($H$3,0,0,'Données projet'!$E$13+1,1))</f>
        <v>388.53310909800695</v>
      </c>
      <c r="CZ55" s="60">
        <f t="shared" si="42"/>
        <v>263.82153161042811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0">
        <f t="shared" si="0"/>
        <v>614.91860080847948</v>
      </c>
      <c r="S56" s="60">
        <f ca="1">AVERAGE(OFFSET($R$3,0,0,'Données projet'!$E$9+1,1))-AVERAGE(OFFSET($H$3,0,0,'Données projet'!$E$9+1,1))</f>
        <v>469.67944008675863</v>
      </c>
      <c r="T56" s="60">
        <f t="shared" si="34"/>
        <v>266.11908070867173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10.8</v>
      </c>
      <c r="AI56" s="14">
        <f>IF('Données projet'!$A$62&gt;35,AI55+AH56-AQ55,IF(A56&lt;'Données projet'!$A$62,$AF$205^A56,IF(A56='Données projet'!$A$62,'Données projet'!$B$62,AI55+AH56-AQ55)))</f>
        <v>211.40000000000003</v>
      </c>
      <c r="AJ56" s="14">
        <f>AI56*VLOOKUP('Données projet'!$B$10,Paramètres!$A$1:$I$89,3,0)*VLOOKUP('Données projet'!$B$10,Paramètres!$A$1:$I$89,5,0)</f>
        <v>168.18984000000003</v>
      </c>
      <c r="AK56" s="14">
        <f t="shared" si="35"/>
        <v>42.684355718695393</v>
      </c>
      <c r="AL56" s="22">
        <f t="shared" si="4"/>
        <v>367.2725575433945</v>
      </c>
      <c r="AM56" s="60">
        <f t="shared" si="5"/>
        <v>624.34793574992773</v>
      </c>
      <c r="AN56" s="60">
        <f ca="1">AVERAGE(OFFSET($AM$3,0,0,'Données projet'!$E$10+1,1))-AVERAGE(OFFSET($H$3,0,0,'Données projet'!$E$10+1,1))</f>
        <v>323.1883858932618</v>
      </c>
      <c r="AO56" s="60">
        <f t="shared" si="36"/>
        <v>313.39536932399085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10.8</v>
      </c>
      <c r="BD56" s="13">
        <f>IF('Données projet'!$A$88&gt;35,BD55+BC56-BL55,IF(A56&lt;'Données projet'!$A$88,$BA$205^A56,IF(A56='Données projet'!$A$88,'Données projet'!$B$88,BD55+BC56-BL55)))</f>
        <v>211.40000000000003</v>
      </c>
      <c r="BE56" s="14">
        <f>BD56*VLOOKUP('Données projet'!$B$11,Paramètres!$A$1:$I$89,3,0)*VLOOKUP('Données projet'!$B$11,Paramètres!$A$1:$I$89,5,0)</f>
        <v>154.99848</v>
      </c>
      <c r="BF56" s="14">
        <f t="shared" si="37"/>
        <v>39.712331964500009</v>
      </c>
      <c r="BG56" s="22">
        <f t="shared" si="7"/>
        <v>339.12133083817082</v>
      </c>
      <c r="BH56" s="60">
        <f t="shared" si="8"/>
        <v>596.19670904470399</v>
      </c>
      <c r="BI56" s="60">
        <f ca="1">AVERAGE(OFFSET($BH$3,0,0,'Données projet'!$E$11+1,1))-AVERAGE(OFFSET($H$3,0,0,'Données projet'!$E$11+1,1))</f>
        <v>302.52480941204414</v>
      </c>
      <c r="BJ56" s="60">
        <f t="shared" si="38"/>
        <v>293.66452856196088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152.47440000000003</v>
      </c>
      <c r="CA56" s="14">
        <f t="shared" si="39"/>
        <v>39.140365323908171</v>
      </c>
      <c r="CB56" s="22">
        <f t="shared" si="10"/>
        <v>333.72904960580678</v>
      </c>
      <c r="CC56" s="60">
        <f t="shared" si="11"/>
        <v>590.80442781234001</v>
      </c>
      <c r="CD56" s="60">
        <f ca="1">AVERAGE(OFFSET($CC$3,0,0,'Données projet'!$E$12+1,1))-AVERAGE(OFFSET($H$3,0,0,'Données projet'!$E$12+1,1))</f>
        <v>442.98179778678298</v>
      </c>
      <c r="CE56" s="60">
        <f t="shared" si="40"/>
        <v>251.96153561746942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4.8717948717948731</v>
      </c>
      <c r="CT56" s="13">
        <f>IF('Données projet'!$A$140&gt;35,CT55+CS56-DB55,IF(A56&lt;'Données projet'!$A$140,$CQ$205^A56,IF(A56='Données projet'!$A$140,'Données projet'!$B$140,CT55+CS56-DB55)))</f>
        <v>172.94871794871787</v>
      </c>
      <c r="CU56" s="18">
        <f>CT56*VLOOKUP('Données projet'!$B$13,Paramètres!$A$1:$I$89,3,0)*VLOOKUP('Données projet'!$B$13,Paramètres!$A$1:$I$89,5,0)</f>
        <v>164.57799999999992</v>
      </c>
      <c r="CV56" s="14">
        <f t="shared" si="41"/>
        <v>41.873394619387192</v>
      </c>
      <c r="CW56" s="22">
        <f t="shared" si="13"/>
        <v>359.56951229543256</v>
      </c>
      <c r="CX56" s="60">
        <f t="shared" si="14"/>
        <v>616.64489050196585</v>
      </c>
      <c r="CY56" s="60">
        <f ca="1">AVERAGE(OFFSET($CX$3,0,0,'Données projet'!$E$13+1,1))-AVERAGE(OFFSET($H$3,0,0,'Données projet'!$E$13+1,1))</f>
        <v>388.53310909800695</v>
      </c>
      <c r="CZ56" s="60">
        <f t="shared" si="42"/>
        <v>263.82153161042811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0">
        <f t="shared" si="0"/>
        <v>630.98311917461979</v>
      </c>
      <c r="S57" s="60">
        <f ca="1">AVERAGE(OFFSET($R$3,0,0,'Données projet'!$E$9+1,1))-AVERAGE(OFFSET($H$3,0,0,'Données projet'!$E$9+1,1))</f>
        <v>469.67944008675863</v>
      </c>
      <c r="T57" s="60">
        <f t="shared" si="34"/>
        <v>266.11908070867173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10.8</v>
      </c>
      <c r="AI57" s="14">
        <f>IF('Données projet'!$A$62&gt;35,AI56+AH57-AQ56,IF(A57&lt;'Données projet'!$A$62,$AF$205^A57,IF(A57='Données projet'!$A$62,'Données projet'!$B$62,AI56+AH57-AQ56)))</f>
        <v>222.20000000000005</v>
      </c>
      <c r="AJ57" s="14">
        <f>AI57*VLOOKUP('Données projet'!$B$10,Paramètres!$A$1:$I$89,3,0)*VLOOKUP('Données projet'!$B$10,Paramètres!$A$1:$I$89,5,0)</f>
        <v>176.78232000000006</v>
      </c>
      <c r="AK57" s="14">
        <f t="shared" si="35"/>
        <v>44.605561863097499</v>
      </c>
      <c r="AL57" s="22">
        <f t="shared" si="4"/>
        <v>385.58389424489491</v>
      </c>
      <c r="AM57" s="60">
        <f t="shared" si="5"/>
        <v>643.28826691223423</v>
      </c>
      <c r="AN57" s="60">
        <f ca="1">AVERAGE(OFFSET($AM$3,0,0,'Données projet'!$E$10+1,1))-AVERAGE(OFFSET($H$3,0,0,'Données projet'!$E$10+1,1))</f>
        <v>323.1883858932618</v>
      </c>
      <c r="AO57" s="60">
        <f t="shared" si="36"/>
        <v>313.39536932399085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10.8</v>
      </c>
      <c r="BD57" s="13">
        <f>IF('Données projet'!$A$88&gt;35,BD56+BC57-BL56,IF(A57&lt;'Données projet'!$A$88,$BA$205^A57,IF(A57='Données projet'!$A$88,'Données projet'!$B$88,BD56+BC57-BL56)))</f>
        <v>222.20000000000005</v>
      </c>
      <c r="BE57" s="14">
        <f>BD57*VLOOKUP('Données projet'!$B$11,Paramètres!$A$1:$I$89,3,0)*VLOOKUP('Données projet'!$B$11,Paramètres!$A$1:$I$89,5,0)</f>
        <v>162.91704000000001</v>
      </c>
      <c r="BF57" s="14">
        <f t="shared" si="37"/>
        <v>41.499768482964704</v>
      </c>
      <c r="BG57" s="22">
        <f t="shared" si="7"/>
        <v>356.02594144116352</v>
      </c>
      <c r="BH57" s="60">
        <f t="shared" si="8"/>
        <v>613.73031410850285</v>
      </c>
      <c r="BI57" s="60">
        <f ca="1">AVERAGE(OFFSET($BH$3,0,0,'Données projet'!$E$11+1,1))-AVERAGE(OFFSET($H$3,0,0,'Données projet'!$E$11+1,1))</f>
        <v>302.52480941204414</v>
      </c>
      <c r="BJ57" s="60">
        <f t="shared" si="38"/>
        <v>293.66452856196088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159.21360000000001</v>
      </c>
      <c r="CA57" s="14">
        <f t="shared" si="39"/>
        <v>40.665089859977108</v>
      </c>
      <c r="CB57" s="22">
        <f t="shared" si="10"/>
        <v>348.12205150612681</v>
      </c>
      <c r="CC57" s="60">
        <f t="shared" si="11"/>
        <v>605.82642417346619</v>
      </c>
      <c r="CD57" s="60">
        <f ca="1">AVERAGE(OFFSET($CC$3,0,0,'Données projet'!$E$12+1,1))-AVERAGE(OFFSET($H$3,0,0,'Données projet'!$E$12+1,1))</f>
        <v>442.98179778678298</v>
      </c>
      <c r="CE57" s="60">
        <f t="shared" si="40"/>
        <v>251.96153561746942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4.8717948717948731</v>
      </c>
      <c r="CT57" s="13">
        <f>IF('Données projet'!$A$140&gt;35,CT56+CS57-DB56,IF(A57&lt;'Données projet'!$A$140,$CQ$205^A57,IF(A57='Données projet'!$A$140,'Données projet'!$B$140,CT56+CS57-DB56)))</f>
        <v>177.82051282051273</v>
      </c>
      <c r="CU57" s="18">
        <f>CT57*VLOOKUP('Données projet'!$B$13,Paramètres!$A$1:$I$89,3,0)*VLOOKUP('Données projet'!$B$13,Paramètres!$A$1:$I$89,5,0)</f>
        <v>169.21399999999991</v>
      </c>
      <c r="CV57" s="14">
        <f t="shared" si="41"/>
        <v>42.913938280485205</v>
      </c>
      <c r="CW57" s="22">
        <f t="shared" si="13"/>
        <v>369.45615917184494</v>
      </c>
      <c r="CX57" s="60">
        <f t="shared" si="14"/>
        <v>627.16053183918427</v>
      </c>
      <c r="CY57" s="60">
        <f ca="1">AVERAGE(OFFSET($CX$3,0,0,'Données projet'!$E$13+1,1))-AVERAGE(OFFSET($H$3,0,0,'Données projet'!$E$13+1,1))</f>
        <v>388.53310909800695</v>
      </c>
      <c r="CZ57" s="60">
        <f t="shared" si="42"/>
        <v>263.82153161042811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0">
        <f t="shared" si="0"/>
        <v>647.02281910056536</v>
      </c>
      <c r="S58" s="60">
        <f ca="1">AVERAGE(OFFSET($R$3,0,0,'Données projet'!$E$9+1,1))-AVERAGE(OFFSET($H$3,0,0,'Données projet'!$E$9+1,1))</f>
        <v>469.67944008675863</v>
      </c>
      <c r="T58" s="60">
        <f t="shared" si="34"/>
        <v>266.11908070867173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233</v>
      </c>
      <c r="AG58" s="13">
        <f>VLOOKUP(A58,'Données projet'!$A$61:$I$81,9,0)</f>
        <v>10.8</v>
      </c>
      <c r="AH58" s="13">
        <f t="array" ref="AH58">INDEX(AG:AG,MIN(IF(ISNUMBER(AG58:AG254),ROW(AG58:AG254),"")))</f>
        <v>10.8</v>
      </c>
      <c r="AI58" s="14">
        <f>IF('Données projet'!$A$62&gt;35,AI57+AH58-AQ57,IF(A58&lt;'Données projet'!$A$62,$AF$205^A58,IF(A58='Données projet'!$A$62,'Données projet'!$B$62,AI57+AH58-AQ57)))</f>
        <v>233.00000000000006</v>
      </c>
      <c r="AJ58" s="14">
        <f>AI58*VLOOKUP('Données projet'!$B$10,Paramètres!$A$1:$I$89,3,0)*VLOOKUP('Données projet'!$B$10,Paramètres!$A$1:$I$89,5,0)</f>
        <v>185.37480000000005</v>
      </c>
      <c r="AK58" s="14">
        <f t="shared" si="35"/>
        <v>46.51592476241273</v>
      </c>
      <c r="AL58" s="22">
        <f t="shared" si="4"/>
        <v>403.87634562786894</v>
      </c>
      <c r="AM58" s="60">
        <f t="shared" si="5"/>
        <v>662.19880110834038</v>
      </c>
      <c r="AN58" s="60">
        <f ca="1">AVERAGE(OFFSET($AM$3,0,0,'Données projet'!$E$10+1,1))-AVERAGE(OFFSET($H$3,0,0,'Données projet'!$E$10+1,1))</f>
        <v>323.1883858932618</v>
      </c>
      <c r="AO58" s="60">
        <f t="shared" si="36"/>
        <v>313.39536932399085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233</v>
      </c>
      <c r="BB58" s="13">
        <f>VLOOKUP(A58,'Données projet'!$A$87:$I$107,9,0)</f>
        <v>10.8</v>
      </c>
      <c r="BC58" s="13">
        <f t="array" ref="BC58">INDEX(BB:BB,MIN(IF(ISNUMBER(BB58:BB254),ROW(BB58:BB254),"")))</f>
        <v>10.8</v>
      </c>
      <c r="BD58" s="13">
        <f>IF('Données projet'!$A$88&gt;35,BD57+BC58-BL57,IF(A58&lt;'Données projet'!$A$88,$BA$205^A58,IF(A58='Données projet'!$A$88,'Données projet'!$B$88,BD57+BC58-BL57)))</f>
        <v>233.00000000000006</v>
      </c>
      <c r="BE58" s="14">
        <f>BD58*VLOOKUP('Données projet'!$B$11,Paramètres!$A$1:$I$89,3,0)*VLOOKUP('Données projet'!$B$11,Paramètres!$A$1:$I$89,5,0)</f>
        <v>170.83560000000003</v>
      </c>
      <c r="BF58" s="14">
        <f t="shared" si="37"/>
        <v>43.277116749159681</v>
      </c>
      <c r="BG58" s="22">
        <f t="shared" si="7"/>
        <v>372.91298167145311</v>
      </c>
      <c r="BH58" s="60">
        <f t="shared" si="8"/>
        <v>631.23543715192454</v>
      </c>
      <c r="BI58" s="60">
        <f ca="1">AVERAGE(OFFSET($BH$3,0,0,'Données projet'!$E$11+1,1))-AVERAGE(OFFSET($H$3,0,0,'Données projet'!$E$11+1,1))</f>
        <v>302.52480941204414</v>
      </c>
      <c r="BJ58" s="60">
        <f t="shared" si="38"/>
        <v>293.66452856196088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165.95280000000002</v>
      </c>
      <c r="CA58" s="14">
        <f t="shared" si="39"/>
        <v>42.182318214665827</v>
      </c>
      <c r="CB58" s="22">
        <f t="shared" si="10"/>
        <v>362.50199755720968</v>
      </c>
      <c r="CC58" s="60">
        <f t="shared" si="11"/>
        <v>620.824453037681</v>
      </c>
      <c r="CD58" s="60">
        <f ca="1">AVERAGE(OFFSET($CC$3,0,0,'Données projet'!$E$12+1,1))-AVERAGE(OFFSET($H$3,0,0,'Données projet'!$E$12+1,1))</f>
        <v>442.98179778678298</v>
      </c>
      <c r="CE58" s="60">
        <f t="shared" si="40"/>
        <v>251.96153561746942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182.69230769230768</v>
      </c>
      <c r="CR58" s="13">
        <f>VLOOKUP(A58,'Données projet'!$A$139:$I$159,9,0)</f>
        <v>4.8717948717948731</v>
      </c>
      <c r="CS58" s="13">
        <f t="array" ref="CS58">INDEX(CR:CR,MIN(IF(ISNUMBER(CR58:CR254),ROW(CR58:CR254),"")))</f>
        <v>4.8717948717948731</v>
      </c>
      <c r="CT58" s="13">
        <f>IF('Données projet'!$A$140&gt;35,CT57+CS58-DB57,IF(A58&lt;'Données projet'!$A$140,$CQ$205^A58,IF(A58='Données projet'!$A$140,'Données projet'!$B$140,CT57+CS58-DB57)))</f>
        <v>182.69230769230759</v>
      </c>
      <c r="CU58" s="18">
        <f>CT58*VLOOKUP('Données projet'!$B$13,Paramètres!$A$1:$I$89,3,0)*VLOOKUP('Données projet'!$B$13,Paramètres!$A$1:$I$89,5,0)</f>
        <v>173.84999999999991</v>
      </c>
      <c r="CV58" s="14">
        <f t="shared" si="41"/>
        <v>43.951168452592761</v>
      </c>
      <c r="CW58" s="22">
        <f t="shared" si="13"/>
        <v>379.33703505493219</v>
      </c>
      <c r="CX58" s="60">
        <f t="shared" si="14"/>
        <v>637.65949053540362</v>
      </c>
      <c r="CY58" s="60">
        <f ca="1">AVERAGE(OFFSET($CX$3,0,0,'Données projet'!$E$13+1,1))-AVERAGE(OFFSET($H$3,0,0,'Données projet'!$E$13+1,1))</f>
        <v>388.53310909800695</v>
      </c>
      <c r="CZ58" s="60">
        <f t="shared" si="42"/>
        <v>263.82153161042811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28.205128205128204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0">
        <f t="shared" si="0"/>
        <v>662.26840846968037</v>
      </c>
      <c r="S59" s="60">
        <f ca="1">AVERAGE(OFFSET($R$3,0,0,'Données projet'!$E$9+1,1))-AVERAGE(OFFSET($H$3,0,0,'Données projet'!$E$9+1,1))</f>
        <v>469.67944008675863</v>
      </c>
      <c r="T59" s="60">
        <f t="shared" si="34"/>
        <v>266.11908070867173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2.4</v>
      </c>
      <c r="AI59" s="14">
        <f>IF('Données projet'!$A$62&gt;35,AI58+AH59-AQ58,IF(A59&lt;'Données projet'!$A$62,$AF$205^A59,IF(A59='Données projet'!$A$62,'Données projet'!$B$62,AI58+AH59-AQ58)))</f>
        <v>235.40000000000006</v>
      </c>
      <c r="AJ59" s="14">
        <f>AI59*VLOOKUP('Données projet'!$B$10,Paramètres!$A$1:$I$89,3,0)*VLOOKUP('Données projet'!$B$10,Paramètres!$A$1:$I$89,5,0)</f>
        <v>187.28424000000007</v>
      </c>
      <c r="AK59" s="14">
        <f t="shared" si="35"/>
        <v>46.939034723010714</v>
      </c>
      <c r="AL59" s="22">
        <f t="shared" si="4"/>
        <v>407.93887014257706</v>
      </c>
      <c r="AM59" s="60">
        <f t="shared" si="5"/>
        <v>666.8686860811988</v>
      </c>
      <c r="AN59" s="60">
        <f ca="1">AVERAGE(OFFSET($AM$3,0,0,'Données projet'!$E$10+1,1))-AVERAGE(OFFSET($H$3,0,0,'Données projet'!$E$10+1,1))</f>
        <v>323.1883858932618</v>
      </c>
      <c r="AO59" s="60">
        <f t="shared" si="36"/>
        <v>313.39536932399085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2.4</v>
      </c>
      <c r="BD59" s="13">
        <f>IF('Données projet'!$A$88&gt;35,BD58+BC59-BL58,IF(A59&lt;'Données projet'!$A$88,$BA$205^A59,IF(A59='Données projet'!$A$88,'Données projet'!$B$88,BD58+BC59-BL58)))</f>
        <v>235.40000000000006</v>
      </c>
      <c r="BE59" s="14">
        <f>BD59*VLOOKUP('Données projet'!$B$11,Paramètres!$A$1:$I$89,3,0)*VLOOKUP('Données projet'!$B$11,Paramètres!$A$1:$I$89,5,0)</f>
        <v>172.59528000000003</v>
      </c>
      <c r="BF59" s="14">
        <f t="shared" si="37"/>
        <v>43.670766434854585</v>
      </c>
      <c r="BG59" s="22">
        <f t="shared" si="7"/>
        <v>376.66336420737179</v>
      </c>
      <c r="BH59" s="60">
        <f t="shared" si="8"/>
        <v>635.59318014599353</v>
      </c>
      <c r="BI59" s="60">
        <f ca="1">AVERAGE(OFFSET($BH$3,0,0,'Données projet'!$E$11+1,1))-AVERAGE(OFFSET($H$3,0,0,'Données projet'!$E$11+1,1))</f>
        <v>302.52480941204414</v>
      </c>
      <c r="BJ59" s="60">
        <f t="shared" si="38"/>
        <v>293.66452856196088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172.35504000000003</v>
      </c>
      <c r="CA59" s="14">
        <f t="shared" si="39"/>
        <v>43.617051120131734</v>
      </c>
      <c r="CB59" s="22">
        <f t="shared" si="10"/>
        <v>376.1513920342295</v>
      </c>
      <c r="CC59" s="60">
        <f t="shared" si="11"/>
        <v>635.08120797285119</v>
      </c>
      <c r="CD59" s="60">
        <f ca="1">AVERAGE(OFFSET($CC$3,0,0,'Données projet'!$E$12+1,1))-AVERAGE(OFFSET($H$3,0,0,'Données projet'!$E$12+1,1))</f>
        <v>442.98179778678298</v>
      </c>
      <c r="CE59" s="60">
        <f t="shared" si="40"/>
        <v>251.96153561746942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4.7435897435897463</v>
      </c>
      <c r="CT59" s="13">
        <f>IF('Données projet'!$A$140&gt;35,CT58+CS59-DB58,IF(A59&lt;'Données projet'!$A$140,$CQ$205^A59,IF(A59='Données projet'!$A$140,'Données projet'!$B$140,CT58+CS59-DB58)))</f>
        <v>159.23076923076914</v>
      </c>
      <c r="CU59" s="18">
        <f>CT59*VLOOKUP('Données projet'!$B$13,Paramètres!$A$1:$I$89,3,0)*VLOOKUP('Données projet'!$B$13,Paramètres!$A$1:$I$89,5,0)</f>
        <v>151.52399999999992</v>
      </c>
      <c r="CV59" s="14">
        <f t="shared" si="41"/>
        <v>38.924716067948651</v>
      </c>
      <c r="CW59" s="22">
        <f t="shared" si="13"/>
        <v>331.69818048501043</v>
      </c>
      <c r="CX59" s="60">
        <f t="shared" si="14"/>
        <v>590.62799642363211</v>
      </c>
      <c r="CY59" s="60">
        <f ca="1">AVERAGE(OFFSET($CX$3,0,0,'Données projet'!$E$13+1,1))-AVERAGE(OFFSET($H$3,0,0,'Données projet'!$E$13+1,1))</f>
        <v>388.53310909800695</v>
      </c>
      <c r="CZ59" s="60">
        <f t="shared" si="42"/>
        <v>263.82153161042811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0">
        <f t="shared" si="0"/>
        <v>677.49197504224037</v>
      </c>
      <c r="S60" s="60">
        <f ca="1">AVERAGE(OFFSET($R$3,0,0,'Données projet'!$E$9+1,1))-AVERAGE(OFFSET($H$3,0,0,'Données projet'!$E$9+1,1))</f>
        <v>469.67944008675863</v>
      </c>
      <c r="T60" s="60">
        <f t="shared" si="34"/>
        <v>266.11908070867173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2.4</v>
      </c>
      <c r="AI60" s="14">
        <f>IF('Données projet'!$A$62&gt;35,AI59+AH60-AQ59,IF(A60&lt;'Données projet'!$A$62,$AF$205^A60,IF(A60='Données projet'!$A$62,'Données projet'!$B$62,AI59+AH60-AQ59)))</f>
        <v>237.80000000000007</v>
      </c>
      <c r="AJ60" s="14">
        <f>AI60*VLOOKUP('Données projet'!$B$10,Paramètres!$A$1:$I$89,3,0)*VLOOKUP('Données projet'!$B$10,Paramètres!$A$1:$I$89,5,0)</f>
        <v>189.19368000000006</v>
      </c>
      <c r="AK60" s="14">
        <f t="shared" si="35"/>
        <v>47.361642848204745</v>
      </c>
      <c r="AL60" s="22">
        <f t="shared" si="4"/>
        <v>412.00052062729009</v>
      </c>
      <c r="AM60" s="60">
        <f t="shared" si="5"/>
        <v>671.5271606779678</v>
      </c>
      <c r="AN60" s="60">
        <f ca="1">AVERAGE(OFFSET($AM$3,0,0,'Données projet'!$E$10+1,1))-AVERAGE(OFFSET($H$3,0,0,'Données projet'!$E$10+1,1))</f>
        <v>323.1883858932618</v>
      </c>
      <c r="AO60" s="60">
        <f t="shared" si="36"/>
        <v>313.39536932399085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2.4</v>
      </c>
      <c r="BD60" s="13">
        <f>IF('Données projet'!$A$88&gt;35,BD59+BC60-BL59,IF(A60&lt;'Données projet'!$A$88,$BA$205^A60,IF(A60='Données projet'!$A$88,'Données projet'!$B$88,BD59+BC60-BL59)))</f>
        <v>237.80000000000007</v>
      </c>
      <c r="BE60" s="14">
        <f>BD60*VLOOKUP('Données projet'!$B$11,Paramètres!$A$1:$I$89,3,0)*VLOOKUP('Données projet'!$B$11,Paramètres!$A$1:$I$89,5,0)</f>
        <v>174.35496000000003</v>
      </c>
      <c r="BF60" s="14">
        <f t="shared" si="37"/>
        <v>44.063949226910864</v>
      </c>
      <c r="BG60" s="22">
        <f t="shared" si="7"/>
        <v>380.41293357020317</v>
      </c>
      <c r="BH60" s="60">
        <f t="shared" si="8"/>
        <v>639.93957362088088</v>
      </c>
      <c r="BI60" s="60">
        <f ca="1">AVERAGE(OFFSET($BH$3,0,0,'Données projet'!$E$11+1,1))-AVERAGE(OFFSET($H$3,0,0,'Données projet'!$E$11+1,1))</f>
        <v>302.52480941204414</v>
      </c>
      <c r="BJ60" s="60">
        <f t="shared" si="38"/>
        <v>293.66452856196088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178.75728000000001</v>
      </c>
      <c r="CA60" s="14">
        <f t="shared" si="39"/>
        <v>45.045592481721528</v>
      </c>
      <c r="CB60" s="22">
        <f t="shared" si="10"/>
        <v>389.79000290566495</v>
      </c>
      <c r="CC60" s="60">
        <f t="shared" si="11"/>
        <v>649.31664295634266</v>
      </c>
      <c r="CD60" s="60">
        <f ca="1">AVERAGE(OFFSET($CC$3,0,0,'Données projet'!$E$12+1,1))-AVERAGE(OFFSET($H$3,0,0,'Données projet'!$E$12+1,1))</f>
        <v>442.98179778678298</v>
      </c>
      <c r="CE60" s="60">
        <f t="shared" si="40"/>
        <v>251.96153561746942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4.7435897435897463</v>
      </c>
      <c r="CT60" s="13">
        <f>IF('Données projet'!$A$140&gt;35,CT59+CS60-DB59,IF(A60&lt;'Données projet'!$A$140,$CQ$205^A60,IF(A60='Données projet'!$A$140,'Données projet'!$B$140,CT59+CS60-DB59)))</f>
        <v>163.97435897435889</v>
      </c>
      <c r="CU60" s="18">
        <f>CT60*VLOOKUP('Données projet'!$B$13,Paramètres!$A$1:$I$89,3,0)*VLOOKUP('Données projet'!$B$13,Paramètres!$A$1:$I$89,5,0)</f>
        <v>156.03799999999993</v>
      </c>
      <c r="CV60" s="14">
        <f t="shared" si="41"/>
        <v>39.94757532752773</v>
      </c>
      <c r="CW60" s="22">
        <f t="shared" si="13"/>
        <v>341.34154369544399</v>
      </c>
      <c r="CX60" s="60">
        <f t="shared" si="14"/>
        <v>600.86818374612176</v>
      </c>
      <c r="CY60" s="60">
        <f ca="1">AVERAGE(OFFSET($CX$3,0,0,'Données projet'!$E$13+1,1))-AVERAGE(OFFSET($H$3,0,0,'Données projet'!$E$13+1,1))</f>
        <v>388.53310909800695</v>
      </c>
      <c r="CZ60" s="60">
        <f t="shared" si="42"/>
        <v>263.82153161042811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0">
        <f t="shared" si="0"/>
        <v>692.69416011977614</v>
      </c>
      <c r="S61" s="60">
        <f ca="1">AVERAGE(OFFSET($R$3,0,0,'Données projet'!$E$9+1,1))-AVERAGE(OFFSET($H$3,0,0,'Données projet'!$E$9+1,1))</f>
        <v>469.67944008675863</v>
      </c>
      <c r="T61" s="60">
        <f t="shared" si="34"/>
        <v>266.11908070867173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2.4</v>
      </c>
      <c r="AI61" s="14">
        <f>IF('Données projet'!$A$62&gt;35,AI60+AH61-AQ60,IF(A61&lt;'Données projet'!$A$62,$AF$205^A61,IF(A61='Données projet'!$A$62,'Données projet'!$B$62,AI60+AH61-AQ60)))</f>
        <v>240.20000000000007</v>
      </c>
      <c r="AJ61" s="14">
        <f>AI61*VLOOKUP('Données projet'!$B$10,Paramètres!$A$1:$I$89,3,0)*VLOOKUP('Données projet'!$B$10,Paramètres!$A$1:$I$89,5,0)</f>
        <v>191.10312000000008</v>
      </c>
      <c r="AK61" s="14">
        <f t="shared" si="35"/>
        <v>47.783754789189338</v>
      </c>
      <c r="AL61" s="22">
        <f t="shared" si="4"/>
        <v>416.06130692450489</v>
      </c>
      <c r="AM61" s="60">
        <f t="shared" si="5"/>
        <v>676.17441752319337</v>
      </c>
      <c r="AN61" s="60">
        <f ca="1">AVERAGE(OFFSET($AM$3,0,0,'Données projet'!$E$10+1,1))-AVERAGE(OFFSET($H$3,0,0,'Données projet'!$E$10+1,1))</f>
        <v>323.1883858932618</v>
      </c>
      <c r="AO61" s="60">
        <f t="shared" si="36"/>
        <v>313.39536932399085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2.4</v>
      </c>
      <c r="BD61" s="13">
        <f>IF('Données projet'!$A$88&gt;35,BD60+BC61-BL60,IF(A61&lt;'Données projet'!$A$88,$BA$205^A61,IF(A61='Données projet'!$A$88,'Données projet'!$B$88,BD60+BC61-BL60)))</f>
        <v>240.20000000000007</v>
      </c>
      <c r="BE61" s="14">
        <f>BD61*VLOOKUP('Données projet'!$B$11,Paramètres!$A$1:$I$89,3,0)*VLOOKUP('Données projet'!$B$11,Paramètres!$A$1:$I$89,5,0)</f>
        <v>176.11464000000007</v>
      </c>
      <c r="BF61" s="14">
        <f t="shared" si="37"/>
        <v>44.456670383042024</v>
      </c>
      <c r="BG61" s="22">
        <f t="shared" si="7"/>
        <v>384.16169891713162</v>
      </c>
      <c r="BH61" s="60">
        <f t="shared" si="8"/>
        <v>644.27480951582004</v>
      </c>
      <c r="BI61" s="60">
        <f ca="1">AVERAGE(OFFSET($BH$3,0,0,'Données projet'!$E$11+1,1))-AVERAGE(OFFSET($H$3,0,0,'Données projet'!$E$11+1,1))</f>
        <v>302.52480941204414</v>
      </c>
      <c r="BJ61" s="60">
        <f t="shared" si="38"/>
        <v>293.66452856196088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185.15951999999999</v>
      </c>
      <c r="CA61" s="14">
        <f t="shared" si="39"/>
        <v>46.468189455290606</v>
      </c>
      <c r="CB61" s="22">
        <f t="shared" si="10"/>
        <v>403.41826063463105</v>
      </c>
      <c r="CC61" s="60">
        <f t="shared" si="11"/>
        <v>663.53137123331953</v>
      </c>
      <c r="CD61" s="60">
        <f ca="1">AVERAGE(OFFSET($CC$3,0,0,'Données projet'!$E$12+1,1))-AVERAGE(OFFSET($H$3,0,0,'Données projet'!$E$12+1,1))</f>
        <v>442.98179778678298</v>
      </c>
      <c r="CE61" s="60">
        <f t="shared" si="40"/>
        <v>251.96153561746942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4.7435897435897463</v>
      </c>
      <c r="CT61" s="13">
        <f>IF('Données projet'!$A$140&gt;35,CT60+CS61-DB60,IF(A61&lt;'Données projet'!$A$140,$CQ$205^A61,IF(A61='Données projet'!$A$140,'Données projet'!$B$140,CT60+CS61-DB60)))</f>
        <v>168.71794871794864</v>
      </c>
      <c r="CU61" s="18">
        <f>CT61*VLOOKUP('Données projet'!$B$13,Paramètres!$A$1:$I$89,3,0)*VLOOKUP('Données projet'!$B$13,Paramètres!$A$1:$I$89,5,0)</f>
        <v>160.55199999999994</v>
      </c>
      <c r="CV61" s="14">
        <f t="shared" si="41"/>
        <v>40.966995580161921</v>
      </c>
      <c r="CW61" s="22">
        <f t="shared" si="13"/>
        <v>350.97891730211518</v>
      </c>
      <c r="CX61" s="60">
        <f t="shared" si="14"/>
        <v>611.0920279008036</v>
      </c>
      <c r="CY61" s="60">
        <f ca="1">AVERAGE(OFFSET($CX$3,0,0,'Données projet'!$E$13+1,1))-AVERAGE(OFFSET($H$3,0,0,'Données projet'!$E$13+1,1))</f>
        <v>388.53310909800695</v>
      </c>
      <c r="CZ61" s="60">
        <f t="shared" si="42"/>
        <v>263.82153161042811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0">
        <f t="shared" si="0"/>
        <v>707.87556832628184</v>
      </c>
      <c r="S62" s="60">
        <f ca="1">AVERAGE(OFFSET($R$3,0,0,'Données projet'!$E$9+1,1))-AVERAGE(OFFSET($H$3,0,0,'Données projet'!$E$9+1,1))</f>
        <v>469.67944008675863</v>
      </c>
      <c r="T62" s="60">
        <f t="shared" si="34"/>
        <v>266.11908070867173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2.4</v>
      </c>
      <c r="AI62" s="14">
        <f>IF('Données projet'!$A$62&gt;35,AI61+AH62-AQ61,IF(A62&lt;'Données projet'!$A$62,$AF$205^A62,IF(A62='Données projet'!$A$62,'Données projet'!$B$62,AI61+AH62-AQ61)))</f>
        <v>242.60000000000008</v>
      </c>
      <c r="AJ62" s="14">
        <f>AI62*VLOOKUP('Données projet'!$B$10,Paramètres!$A$1:$I$89,3,0)*VLOOKUP('Données projet'!$B$10,Paramètres!$A$1:$I$89,5,0)</f>
        <v>193.01256000000006</v>
      </c>
      <c r="AK62" s="14">
        <f t="shared" si="35"/>
        <v>48.205376077720281</v>
      </c>
      <c r="AL62" s="22">
        <f t="shared" si="4"/>
        <v>420.12123866869621</v>
      </c>
      <c r="AM62" s="60">
        <f t="shared" si="5"/>
        <v>680.81064586253899</v>
      </c>
      <c r="AN62" s="60">
        <f ca="1">AVERAGE(OFFSET($AM$3,0,0,'Données projet'!$E$10+1,1))-AVERAGE(OFFSET($H$3,0,0,'Données projet'!$E$10+1,1))</f>
        <v>323.1883858932618</v>
      </c>
      <c r="AO62" s="60">
        <f t="shared" si="36"/>
        <v>313.39536932399085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2.4</v>
      </c>
      <c r="BD62" s="13">
        <f>IF('Données projet'!$A$88&gt;35,BD61+BC62-BL61,IF(A62&lt;'Données projet'!$A$88,$BA$205^A62,IF(A62='Données projet'!$A$88,'Données projet'!$B$88,BD61+BC62-BL61)))</f>
        <v>242.60000000000008</v>
      </c>
      <c r="BE62" s="14">
        <f>BD62*VLOOKUP('Données projet'!$B$11,Paramètres!$A$1:$I$89,3,0)*VLOOKUP('Données projet'!$B$11,Paramètres!$A$1:$I$89,5,0)</f>
        <v>177.87432000000007</v>
      </c>
      <c r="BF62" s="14">
        <f t="shared" si="37"/>
        <v>44.848935049839078</v>
      </c>
      <c r="BG62" s="22">
        <f t="shared" si="7"/>
        <v>387.90966921180319</v>
      </c>
      <c r="BH62" s="60">
        <f t="shared" si="8"/>
        <v>648.59907640564597</v>
      </c>
      <c r="BI62" s="60">
        <f ca="1">AVERAGE(OFFSET($BH$3,0,0,'Données projet'!$E$11+1,1))-AVERAGE(OFFSET($H$3,0,0,'Données projet'!$E$11+1,1))</f>
        <v>302.52480941204414</v>
      </c>
      <c r="BJ62" s="60">
        <f t="shared" si="38"/>
        <v>293.66452856196088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191.56175999999999</v>
      </c>
      <c r="CA62" s="14">
        <f t="shared" si="39"/>
        <v>47.885071135583438</v>
      </c>
      <c r="CB62" s="22">
        <f t="shared" si="10"/>
        <v>417.03656422780779</v>
      </c>
      <c r="CC62" s="60">
        <f t="shared" si="11"/>
        <v>677.72597142165057</v>
      </c>
      <c r="CD62" s="60">
        <f ca="1">AVERAGE(OFFSET($CC$3,0,0,'Données projet'!$E$12+1,1))-AVERAGE(OFFSET($H$3,0,0,'Données projet'!$E$12+1,1))</f>
        <v>442.98179778678298</v>
      </c>
      <c r="CE62" s="60">
        <f t="shared" si="40"/>
        <v>251.96153561746942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4.7435897435897463</v>
      </c>
      <c r="CT62" s="13">
        <f>IF('Données projet'!$A$140&gt;35,CT61+CS62-DB61,IF(A62&lt;'Données projet'!$A$140,$CQ$205^A62,IF(A62='Données projet'!$A$140,'Données projet'!$B$140,CT61+CS62-DB61)))</f>
        <v>173.4615384615384</v>
      </c>
      <c r="CU62" s="18">
        <f>CT62*VLOOKUP('Données projet'!$B$13,Paramètres!$A$1:$I$89,3,0)*VLOOKUP('Données projet'!$B$13,Paramètres!$A$1:$I$89,5,0)</f>
        <v>165.06599999999995</v>
      </c>
      <c r="CV62" s="14">
        <f t="shared" si="41"/>
        <v>41.983084622237634</v>
      </c>
      <c r="CW62" s="22">
        <f t="shared" si="13"/>
        <v>360.61048905039712</v>
      </c>
      <c r="CX62" s="60">
        <f t="shared" si="14"/>
        <v>621.2998962442399</v>
      </c>
      <c r="CY62" s="60">
        <f ca="1">AVERAGE(OFFSET($CX$3,0,0,'Données projet'!$E$13+1,1))-AVERAGE(OFFSET($H$3,0,0,'Données projet'!$E$13+1,1))</f>
        <v>388.53310909800695</v>
      </c>
      <c r="CZ62" s="60">
        <f t="shared" si="42"/>
        <v>263.82153161042811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0">
        <f t="shared" si="0"/>
        <v>723.03677114895481</v>
      </c>
      <c r="S63" s="60">
        <f ca="1">AVERAGE(OFFSET($R$3,0,0,'Données projet'!$E$9+1,1))-AVERAGE(OFFSET($H$3,0,0,'Données projet'!$E$9+1,1))</f>
        <v>469.67944008675863</v>
      </c>
      <c r="T63" s="60">
        <f t="shared" si="34"/>
        <v>266.11908070867173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2.4</v>
      </c>
      <c r="AH63" s="13">
        <f t="array" ref="AH63">INDEX(AG:AG,MIN(IF(ISNUMBER(AG63:AG259),ROW(AG63:AG259),"")))</f>
        <v>2.4</v>
      </c>
      <c r="AI63" s="14">
        <f>IF('Données projet'!$A$62&gt;35,AI62+AH63-AQ62,IF(A63&lt;'Données projet'!$A$62,$AF$205^A63,IF(A63='Données projet'!$A$62,'Données projet'!$B$62,AI62+AH63-AQ62)))</f>
        <v>245.00000000000009</v>
      </c>
      <c r="AJ63" s="14">
        <f>AI63*VLOOKUP('Données projet'!$B$10,Paramètres!$A$1:$I$89,3,0)*VLOOKUP('Données projet'!$B$10,Paramètres!$A$1:$I$89,5,0)</f>
        <v>194.92200000000008</v>
      </c>
      <c r="AK63" s="14">
        <f t="shared" si="35"/>
        <v>48.626512129794968</v>
      </c>
      <c r="AL63" s="22">
        <f t="shared" si="4"/>
        <v>424.18032529272637</v>
      </c>
      <c r="AM63" s="60">
        <f t="shared" si="5"/>
        <v>685.43603162420391</v>
      </c>
      <c r="AN63" s="60">
        <f ca="1">AVERAGE(OFFSET($AM$3,0,0,'Données projet'!$E$10+1,1))-AVERAGE(OFFSET($H$3,0,0,'Données projet'!$E$10+1,1))</f>
        <v>323.1883858932618</v>
      </c>
      <c r="AO63" s="60">
        <f t="shared" si="36"/>
        <v>313.39536932399085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2.4</v>
      </c>
      <c r="BC63" s="13">
        <f t="array" ref="BC63">INDEX(BB:BB,MIN(IF(ISNUMBER(BB63:BB259),ROW(BB63:BB259),"")))</f>
        <v>2.4</v>
      </c>
      <c r="BD63" s="13">
        <f>IF('Données projet'!$A$88&gt;35,BD62+BC63-BL62,IF(A63&lt;'Données projet'!$A$88,$BA$205^A63,IF(A63='Données projet'!$A$88,'Données projet'!$B$88,BD62+BC63-BL62)))</f>
        <v>245.00000000000009</v>
      </c>
      <c r="BE63" s="14">
        <f>BD63*VLOOKUP('Données projet'!$B$11,Paramètres!$A$1:$I$89,3,0)*VLOOKUP('Données projet'!$B$11,Paramètres!$A$1:$I$89,5,0)</f>
        <v>179.63400000000007</v>
      </c>
      <c r="BF63" s="14">
        <f t="shared" si="37"/>
        <v>45.240748266194686</v>
      </c>
      <c r="BG63" s="22">
        <f t="shared" si="7"/>
        <v>391.65685323028919</v>
      </c>
      <c r="BH63" s="60">
        <f t="shared" si="8"/>
        <v>652.91255956176667</v>
      </c>
      <c r="BI63" s="60">
        <f ca="1">AVERAGE(OFFSET($BH$3,0,0,'Données projet'!$E$11+1,1))-AVERAGE(OFFSET($H$3,0,0,'Données projet'!$E$11+1,1))</f>
        <v>302.52480941204414</v>
      </c>
      <c r="BJ63" s="60">
        <f t="shared" si="38"/>
        <v>293.66452856196088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197.964</v>
      </c>
      <c r="CA63" s="14">
        <f t="shared" si="39"/>
        <v>49.296450435147761</v>
      </c>
      <c r="CB63" s="22">
        <f t="shared" si="10"/>
        <v>430.64528450788231</v>
      </c>
      <c r="CC63" s="60">
        <f t="shared" si="11"/>
        <v>691.90099083935979</v>
      </c>
      <c r="CD63" s="60">
        <f ca="1">AVERAGE(OFFSET($CC$3,0,0,'Données projet'!$E$12+1,1))-AVERAGE(OFFSET($H$3,0,0,'Données projet'!$E$12+1,1))</f>
        <v>442.98179778678298</v>
      </c>
      <c r="CE63" s="60">
        <f t="shared" si="40"/>
        <v>251.96153561746942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178.2051282051282</v>
      </c>
      <c r="CR63" s="13">
        <f>VLOOKUP(A63,'Données projet'!$A$139:$I$159,9,0)</f>
        <v>4.7435897435897463</v>
      </c>
      <c r="CS63" s="13">
        <f t="array" ref="CS63">INDEX(CR:CR,MIN(IF(ISNUMBER(CR63:CR259),ROW(CR63:CR259),"")))</f>
        <v>4.7435897435897463</v>
      </c>
      <c r="CT63" s="13">
        <f>IF('Données projet'!$A$140&gt;35,CT62+CS63-DB62,IF(A63&lt;'Données projet'!$A$140,$CQ$205^A63,IF(A63='Données projet'!$A$140,'Données projet'!$B$140,CT62+CS63-DB62)))</f>
        <v>178.20512820512815</v>
      </c>
      <c r="CU63" s="18">
        <f>CT63*VLOOKUP('Données projet'!$B$13,Paramètres!$A$1:$I$89,3,0)*VLOOKUP('Données projet'!$B$13,Paramètres!$A$1:$I$89,5,0)</f>
        <v>169.57999999999993</v>
      </c>
      <c r="CV63" s="14">
        <f t="shared" si="41"/>
        <v>42.995944018844156</v>
      </c>
      <c r="CW63" s="22">
        <f t="shared" si="13"/>
        <v>370.23643583282006</v>
      </c>
      <c r="CX63" s="60">
        <f t="shared" si="14"/>
        <v>631.49214216429755</v>
      </c>
      <c r="CY63" s="60">
        <f ca="1">AVERAGE(OFFSET($CX$3,0,0,'Données projet'!$E$13+1,1))-AVERAGE(OFFSET($H$3,0,0,'Données projet'!$E$13+1,1))</f>
        <v>388.53310909800695</v>
      </c>
      <c r="CZ63" s="60">
        <f t="shared" si="42"/>
        <v>263.82153161042811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0">
        <f t="shared" si="0"/>
        <v>656.67744079519321</v>
      </c>
      <c r="S64" s="60">
        <f ca="1">AVERAGE(OFFSET($R$3,0,0,'Données projet'!$E$9+1,1))-AVERAGE(OFFSET($H$3,0,0,'Données projet'!$E$9+1,1))</f>
        <v>469.67944008675863</v>
      </c>
      <c r="T64" s="60">
        <f t="shared" si="34"/>
        <v>266.11908070867173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227.00000000000009</v>
      </c>
      <c r="AJ64" s="14">
        <f>AI64*VLOOKUP('Données projet'!$B$10,Paramètres!$A$1:$I$89,3,0)*VLOOKUP('Données projet'!$B$10,Paramètres!$A$1:$I$89,5,0)</f>
        <v>180.60120000000006</v>
      </c>
      <c r="AK64" s="14">
        <f t="shared" si="35"/>
        <v>45.455916121824579</v>
      </c>
      <c r="AL64" s="22">
        <f t="shared" si="4"/>
        <v>393.71614391217787</v>
      </c>
      <c r="AM64" s="60">
        <f t="shared" si="5"/>
        <v>655.52832535730727</v>
      </c>
      <c r="AN64" s="60">
        <f ca="1">AVERAGE(OFFSET($AM$3,0,0,'Données projet'!$E$10+1,1))-AVERAGE(OFFSET($H$3,0,0,'Données projet'!$E$10+1,1))</f>
        <v>323.1883858932618</v>
      </c>
      <c r="AO64" s="60">
        <f t="shared" si="36"/>
        <v>313.39536932399085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227.00000000000009</v>
      </c>
      <c r="BE64" s="14">
        <f>BD64*VLOOKUP('Données projet'!$B$11,Paramètres!$A$1:$I$89,3,0)*VLOOKUP('Données projet'!$B$11,Paramètres!$A$1:$I$89,5,0)</f>
        <v>166.43640000000008</v>
      </c>
      <c r="BF64" s="14">
        <f t="shared" si="37"/>
        <v>42.290914326480518</v>
      </c>
      <c r="BG64" s="22">
        <f t="shared" si="7"/>
        <v>363.53340578528702</v>
      </c>
      <c r="BH64" s="60">
        <f t="shared" si="8"/>
        <v>625.34558723041641</v>
      </c>
      <c r="BI64" s="60">
        <f ca="1">AVERAGE(OFFSET($BH$3,0,0,'Données projet'!$E$11+1,1))-AVERAGE(OFFSET($H$3,0,0,'Données projet'!$E$11+1,1))</f>
        <v>302.52480941204414</v>
      </c>
      <c r="BJ64" s="60">
        <f t="shared" si="38"/>
        <v>293.66452856196088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168.64847999999998</v>
      </c>
      <c r="CA64" s="14">
        <f t="shared" si="39"/>
        <v>42.78718759212785</v>
      </c>
      <c r="CB64" s="22">
        <f t="shared" si="10"/>
        <v>368.25045438962269</v>
      </c>
      <c r="CC64" s="60">
        <f t="shared" si="11"/>
        <v>630.06263583475197</v>
      </c>
      <c r="CD64" s="60">
        <f ca="1">AVERAGE(OFFSET($CC$3,0,0,'Données projet'!$E$12+1,1))-AVERAGE(OFFSET($H$3,0,0,'Données projet'!$E$12+1,1))</f>
        <v>442.98179778678298</v>
      </c>
      <c r="CE64" s="60">
        <f t="shared" si="40"/>
        <v>251.96153561746942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4.4871794871794863</v>
      </c>
      <c r="CT64" s="13">
        <f>IF('Données projet'!$A$140&gt;35,CT63+CS64-DB63,IF(A64&lt;'Données projet'!$A$140,$CQ$205^A64,IF(A64='Données projet'!$A$140,'Données projet'!$B$140,CT63+CS64-DB63)))</f>
        <v>182.69230769230762</v>
      </c>
      <c r="CU64" s="18">
        <f>CT64*VLOOKUP('Données projet'!$B$13,Paramètres!$A$1:$I$89,3,0)*VLOOKUP('Données projet'!$B$13,Paramètres!$A$1:$I$89,5,0)</f>
        <v>173.84999999999994</v>
      </c>
      <c r="CV64" s="14">
        <f t="shared" si="41"/>
        <v>43.951168452592761</v>
      </c>
      <c r="CW64" s="22">
        <f t="shared" si="13"/>
        <v>379.3370350549323</v>
      </c>
      <c r="CX64" s="60">
        <f t="shared" si="14"/>
        <v>641.14921650006158</v>
      </c>
      <c r="CY64" s="60">
        <f ca="1">AVERAGE(OFFSET($CX$3,0,0,'Données projet'!$E$13+1,1))-AVERAGE(OFFSET($H$3,0,0,'Données projet'!$E$13+1,1))</f>
        <v>388.53310909800695</v>
      </c>
      <c r="CZ64" s="60">
        <f t="shared" si="42"/>
        <v>263.82153161042811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0">
        <f t="shared" si="0"/>
        <v>671.08770661656058</v>
      </c>
      <c r="S65" s="60">
        <f ca="1">AVERAGE(OFFSET($R$3,0,0,'Données projet'!$E$9+1,1))-AVERAGE(OFFSET($H$3,0,0,'Données projet'!$E$9+1,1))</f>
        <v>469.67944008675863</v>
      </c>
      <c r="T65" s="60">
        <f t="shared" si="34"/>
        <v>266.11908070867173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234.00000000000009</v>
      </c>
      <c r="AJ65" s="14">
        <f>AI65*VLOOKUP('Données projet'!$B$10,Paramètres!$A$1:$I$89,3,0)*VLOOKUP('Données projet'!$B$10,Paramètres!$A$1:$I$89,5,0)</f>
        <v>186.17040000000009</v>
      </c>
      <c r="AK65" s="14">
        <f t="shared" si="35"/>
        <v>46.69228193379606</v>
      </c>
      <c r="AL65" s="22">
        <f t="shared" si="4"/>
        <v>405.56917103469499</v>
      </c>
      <c r="AM65" s="60">
        <f t="shared" si="5"/>
        <v>667.92817399434625</v>
      </c>
      <c r="AN65" s="60">
        <f ca="1">AVERAGE(OFFSET($AM$3,0,0,'Données projet'!$E$10+1,1))-AVERAGE(OFFSET($H$3,0,0,'Données projet'!$E$10+1,1))</f>
        <v>323.1883858932618</v>
      </c>
      <c r="AO65" s="60">
        <f t="shared" si="36"/>
        <v>313.39536932399085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234.00000000000009</v>
      </c>
      <c r="BE65" s="14">
        <f>BD65*VLOOKUP('Données projet'!$B$11,Paramètres!$A$1:$I$89,3,0)*VLOOKUP('Données projet'!$B$11,Paramètres!$A$1:$I$89,5,0)</f>
        <v>171.56880000000007</v>
      </c>
      <c r="BF65" s="14">
        <f t="shared" si="37"/>
        <v>43.441194534014848</v>
      </c>
      <c r="BG65" s="22">
        <f t="shared" si="7"/>
        <v>374.47574048007596</v>
      </c>
      <c r="BH65" s="60">
        <f t="shared" si="8"/>
        <v>636.83474343972728</v>
      </c>
      <c r="BI65" s="60">
        <f ca="1">AVERAGE(OFFSET($BH$3,0,0,'Données projet'!$E$11+1,1))-AVERAGE(OFFSET($H$3,0,0,'Données projet'!$E$11+1,1))</f>
        <v>302.52480941204414</v>
      </c>
      <c r="BJ65" s="60">
        <f t="shared" si="38"/>
        <v>293.66452856196088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174.71375999999998</v>
      </c>
      <c r="CA65" s="14">
        <f t="shared" si="39"/>
        <v>44.144062647515817</v>
      </c>
      <c r="CB65" s="22">
        <f t="shared" si="10"/>
        <v>381.17737444442332</v>
      </c>
      <c r="CC65" s="60">
        <f t="shared" si="11"/>
        <v>643.53637740407464</v>
      </c>
      <c r="CD65" s="60">
        <f ca="1">AVERAGE(OFFSET($CC$3,0,0,'Données projet'!$E$12+1,1))-AVERAGE(OFFSET($H$3,0,0,'Données projet'!$E$12+1,1))</f>
        <v>442.98179778678298</v>
      </c>
      <c r="CE65" s="60">
        <f t="shared" si="40"/>
        <v>251.96153561746942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4.4871794871794863</v>
      </c>
      <c r="CT65" s="13">
        <f>IF('Données projet'!$A$140&gt;35,CT64+CS65-DB64,IF(A65&lt;'Données projet'!$A$140,$CQ$205^A65,IF(A65='Données projet'!$A$140,'Données projet'!$B$140,CT64+CS65-DB64)))</f>
        <v>187.1794871794871</v>
      </c>
      <c r="CU65" s="18">
        <f>CT65*VLOOKUP('Données projet'!$B$13,Paramètres!$A$1:$I$89,3,0)*VLOOKUP('Données projet'!$B$13,Paramètres!$A$1:$I$89,5,0)</f>
        <v>178.11999999999992</v>
      </c>
      <c r="CV65" s="14">
        <f t="shared" si="41"/>
        <v>44.90366556024162</v>
      </c>
      <c r="CW65" s="22">
        <f t="shared" si="13"/>
        <v>388.4328841840873</v>
      </c>
      <c r="CX65" s="60">
        <f t="shared" si="14"/>
        <v>650.79188714373868</v>
      </c>
      <c r="CY65" s="60">
        <f ca="1">AVERAGE(OFFSET($CX$3,0,0,'Données projet'!$E$13+1,1))-AVERAGE(OFFSET($H$3,0,0,'Données projet'!$E$13+1,1))</f>
        <v>388.53310909800695</v>
      </c>
      <c r="CZ65" s="60">
        <f t="shared" si="42"/>
        <v>263.82153161042811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0">
        <f t="shared" si="0"/>
        <v>685.47833274433401</v>
      </c>
      <c r="S66" s="60">
        <f ca="1">AVERAGE(OFFSET($R$3,0,0,'Données projet'!$E$9+1,1))-AVERAGE(OFFSET($H$3,0,0,'Données projet'!$E$9+1,1))</f>
        <v>469.67944008675863</v>
      </c>
      <c r="T66" s="60">
        <f t="shared" si="34"/>
        <v>266.11908070867173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241.00000000000009</v>
      </c>
      <c r="AJ66" s="14">
        <f>AI66*VLOOKUP('Données projet'!$B$10,Paramètres!$A$1:$I$89,3,0)*VLOOKUP('Données projet'!$B$10,Paramètres!$A$1:$I$89,5,0)</f>
        <v>191.73960000000008</v>
      </c>
      <c r="AK66" s="14">
        <f t="shared" si="35"/>
        <v>47.924349465834943</v>
      </c>
      <c r="AL66" s="22">
        <f t="shared" si="4"/>
        <v>417.41471198632934</v>
      </c>
      <c r="AM66" s="60">
        <f t="shared" si="5"/>
        <v>680.31105032973551</v>
      </c>
      <c r="AN66" s="60">
        <f ca="1">AVERAGE(OFFSET($AM$3,0,0,'Données projet'!$E$10+1,1))-AVERAGE(OFFSET($H$3,0,0,'Données projet'!$E$10+1,1))</f>
        <v>323.1883858932618</v>
      </c>
      <c r="AO66" s="60">
        <f t="shared" si="36"/>
        <v>313.39536932399085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241.00000000000009</v>
      </c>
      <c r="BE66" s="14">
        <f>BD66*VLOOKUP('Données projet'!$B$11,Paramètres!$A$1:$I$89,3,0)*VLOOKUP('Données projet'!$B$11,Paramètres!$A$1:$I$89,5,0)</f>
        <v>176.70120000000006</v>
      </c>
      <c r="BF66" s="14">
        <f t="shared" si="37"/>
        <v>44.587475741993387</v>
      </c>
      <c r="BG66" s="22">
        <f t="shared" si="7"/>
        <v>385.41111025063856</v>
      </c>
      <c r="BH66" s="60">
        <f t="shared" si="8"/>
        <v>648.30744859404467</v>
      </c>
      <c r="BI66" s="60">
        <f ca="1">AVERAGE(OFFSET($BH$3,0,0,'Données projet'!$E$11+1,1))-AVERAGE(OFFSET($H$3,0,0,'Données projet'!$E$11+1,1))</f>
        <v>302.52480941204414</v>
      </c>
      <c r="BJ66" s="60">
        <f t="shared" si="38"/>
        <v>293.66452856196088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180.77903999999995</v>
      </c>
      <c r="CA66" s="14">
        <f t="shared" si="39"/>
        <v>45.495464625737284</v>
      </c>
      <c r="CB66" s="22">
        <f t="shared" si="10"/>
        <v>394.09476222315897</v>
      </c>
      <c r="CC66" s="60">
        <f t="shared" si="11"/>
        <v>656.99110056656514</v>
      </c>
      <c r="CD66" s="60">
        <f ca="1">AVERAGE(OFFSET($CC$3,0,0,'Données projet'!$E$12+1,1))-AVERAGE(OFFSET($H$3,0,0,'Données projet'!$E$12+1,1))</f>
        <v>442.98179778678298</v>
      </c>
      <c r="CE66" s="60">
        <f t="shared" si="40"/>
        <v>251.96153561746942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4.4871794871794863</v>
      </c>
      <c r="CT66" s="13">
        <f>IF('Données projet'!$A$140&gt;35,CT65+CS66-DB65,IF(A66&lt;'Données projet'!$A$140,$CQ$205^A66,IF(A66='Données projet'!$A$140,'Données projet'!$B$140,CT65+CS66-DB65)))</f>
        <v>191.66666666666657</v>
      </c>
      <c r="CU66" s="18">
        <f>CT66*VLOOKUP('Données projet'!$B$13,Paramètres!$A$1:$I$89,3,0)*VLOOKUP('Données projet'!$B$13,Paramètres!$A$1:$I$89,5,0)</f>
        <v>182.3899999999999</v>
      </c>
      <c r="CV66" s="14">
        <f t="shared" si="41"/>
        <v>45.853508245632462</v>
      </c>
      <c r="CW66" s="22">
        <f t="shared" si="13"/>
        <v>397.52411019447635</v>
      </c>
      <c r="CX66" s="60">
        <f t="shared" si="14"/>
        <v>660.42044853788252</v>
      </c>
      <c r="CY66" s="60">
        <f ca="1">AVERAGE(OFFSET($CX$3,0,0,'Données projet'!$E$13+1,1))-AVERAGE(OFFSET($H$3,0,0,'Données projet'!$E$13+1,1))</f>
        <v>388.53310909800695</v>
      </c>
      <c r="CZ66" s="60">
        <f t="shared" si="42"/>
        <v>263.82153161042811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0">
        <f t="shared" ref="R67:R130" si="55">Q67+(I67+J67)*44/12</f>
        <v>699.84986345764082</v>
      </c>
      <c r="S67" s="60">
        <f ca="1">AVERAGE(OFFSET($R$3,0,0,'Données projet'!$E$9+1,1))-AVERAGE(OFFSET($H$3,0,0,'Données projet'!$E$9+1,1))</f>
        <v>469.67944008675863</v>
      </c>
      <c r="T67" s="60">
        <f t="shared" si="34"/>
        <v>266.11908070867173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248.00000000000009</v>
      </c>
      <c r="AJ67" s="14">
        <f>AI67*VLOOKUP('Données projet'!$B$10,Paramètres!$A$1:$I$89,3,0)*VLOOKUP('Données projet'!$B$10,Paramètres!$A$1:$I$89,5,0)</f>
        <v>197.30880000000008</v>
      </c>
      <c r="AK67" s="14">
        <f t="shared" si="35"/>
        <v>49.152257900676119</v>
      </c>
      <c r="AL67" s="22">
        <f t="shared" si="4"/>
        <v>429.25300917701105</v>
      </c>
      <c r="AM67" s="60">
        <f t="shared" si="5"/>
        <v>692.67736133656581</v>
      </c>
      <c r="AN67" s="60">
        <f ca="1">AVERAGE(OFFSET($AM$3,0,0,'Données projet'!$E$10+1,1))-AVERAGE(OFFSET($H$3,0,0,'Données projet'!$E$10+1,1))</f>
        <v>323.1883858932618</v>
      </c>
      <c r="AO67" s="60">
        <f t="shared" si="36"/>
        <v>313.39536932399085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248.00000000000009</v>
      </c>
      <c r="BE67" s="14">
        <f>BD67*VLOOKUP('Données projet'!$B$11,Paramètres!$A$1:$I$89,3,0)*VLOOKUP('Données projet'!$B$11,Paramètres!$A$1:$I$89,5,0)</f>
        <v>181.83360000000005</v>
      </c>
      <c r="BF67" s="14">
        <f t="shared" si="37"/>
        <v>45.729887442143827</v>
      </c>
      <c r="BG67" s="22">
        <f t="shared" si="7"/>
        <v>396.33974062840053</v>
      </c>
      <c r="BH67" s="60">
        <f t="shared" si="8"/>
        <v>659.76409278795529</v>
      </c>
      <c r="BI67" s="60">
        <f ca="1">AVERAGE(OFFSET($BH$3,0,0,'Données projet'!$E$11+1,1))-AVERAGE(OFFSET($H$3,0,0,'Données projet'!$E$11+1,1))</f>
        <v>302.52480941204414</v>
      </c>
      <c r="BJ67" s="60">
        <f t="shared" si="38"/>
        <v>293.66452856196088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186.84431999999995</v>
      </c>
      <c r="CA67" s="14">
        <f t="shared" si="39"/>
        <v>46.841598205171657</v>
      </c>
      <c r="CB67" s="22">
        <f t="shared" si="10"/>
        <v>407.00297420734051</v>
      </c>
      <c r="CC67" s="60">
        <f t="shared" si="11"/>
        <v>670.42732636689527</v>
      </c>
      <c r="CD67" s="60">
        <f ca="1">AVERAGE(OFFSET($CC$3,0,0,'Données projet'!$E$12+1,1))-AVERAGE(OFFSET($H$3,0,0,'Données projet'!$E$12+1,1))</f>
        <v>442.98179778678298</v>
      </c>
      <c r="CE67" s="60">
        <f t="shared" si="40"/>
        <v>251.96153561746942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4.4871794871794863</v>
      </c>
      <c r="CT67" s="13">
        <f>IF('Données projet'!$A$140&gt;35,CT66+CS67-DB66,IF(A67&lt;'Données projet'!$A$140,$CQ$205^A67,IF(A67='Données projet'!$A$140,'Données projet'!$B$140,CT66+CS67-DB66)))</f>
        <v>196.15384615384605</v>
      </c>
      <c r="CU67" s="18">
        <f>CT67*VLOOKUP('Données projet'!$B$13,Paramètres!$A$1:$I$89,3,0)*VLOOKUP('Données projet'!$B$13,Paramètres!$A$1:$I$89,5,0)</f>
        <v>186.65999999999991</v>
      </c>
      <c r="CV67" s="14">
        <f t="shared" si="41"/>
        <v>46.800765804305463</v>
      </c>
      <c r="CW67" s="22">
        <f t="shared" si="13"/>
        <v>406.61083377583185</v>
      </c>
      <c r="CX67" s="60">
        <f t="shared" si="14"/>
        <v>670.03518593538661</v>
      </c>
      <c r="CY67" s="60">
        <f ca="1">AVERAGE(OFFSET($CX$3,0,0,'Données projet'!$E$13+1,1))-AVERAGE(OFFSET($H$3,0,0,'Données projet'!$E$13+1,1))</f>
        <v>388.53310909800695</v>
      </c>
      <c r="CZ67" s="60">
        <f t="shared" si="42"/>
        <v>263.82153161042811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0">
        <f t="shared" si="55"/>
        <v>714.20281412892245</v>
      </c>
      <c r="S68" s="60">
        <f ca="1">AVERAGE(OFFSET($R$3,0,0,'Données projet'!$E$9+1,1))-AVERAGE(OFFSET($H$3,0,0,'Données projet'!$E$9+1,1))</f>
        <v>469.67944008675863</v>
      </c>
      <c r="T68" s="60">
        <f t="shared" si="34"/>
        <v>266.11908070867173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255</v>
      </c>
      <c r="AG68" s="13">
        <f>VLOOKUP(A68,'Données projet'!$A$61:$I$81,9,0)</f>
        <v>7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255.00000000000009</v>
      </c>
      <c r="AJ68" s="14">
        <f>AI68*VLOOKUP('Données projet'!$B$10,Paramètres!$A$1:$I$89,3,0)*VLOOKUP('Données projet'!$B$10,Paramètres!$A$1:$I$89,5,0)</f>
        <v>202.87800000000007</v>
      </c>
      <c r="AK68" s="14">
        <f t="shared" si="35"/>
        <v>50.376138116990127</v>
      </c>
      <c r="AL68" s="22">
        <f t="shared" ref="AL68:AL131" si="58">(AJ68+AK68)*0.475*44/12</f>
        <v>441.08429055375791</v>
      </c>
      <c r="AM68" s="60">
        <f t="shared" ref="AM68:AM131" si="59">AL68+(AD68+AE68)*44/12</f>
        <v>705.02749667021317</v>
      </c>
      <c r="AN68" s="60">
        <f ca="1">AVERAGE(OFFSET($AM$3,0,0,'Données projet'!$E$10+1,1))-AVERAGE(OFFSET($H$3,0,0,'Données projet'!$E$10+1,1))</f>
        <v>323.1883858932618</v>
      </c>
      <c r="AO68" s="60">
        <f t="shared" si="36"/>
        <v>313.39536932399085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255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255.00000000000009</v>
      </c>
      <c r="BE68" s="14">
        <f>BD68*VLOOKUP('Données projet'!$B$11,Paramètres!$A$1:$I$89,3,0)*VLOOKUP('Données projet'!$B$11,Paramètres!$A$1:$I$89,5,0)</f>
        <v>186.96600000000007</v>
      </c>
      <c r="BF68" s="14">
        <f t="shared" si="37"/>
        <v>46.868551400324648</v>
      </c>
      <c r="BG68" s="22">
        <f t="shared" ref="BG68:BG131" si="61">(BE68+BF68)*0.475*44/12</f>
        <v>407.26184368889881</v>
      </c>
      <c r="BH68" s="60">
        <f t="shared" ref="BH68:BH131" si="62">BG68+(AY68+AZ68)*44/12</f>
        <v>671.20504980535407</v>
      </c>
      <c r="BI68" s="60">
        <f ca="1">AVERAGE(OFFSET($BH$3,0,0,'Données projet'!$E$11+1,1))-AVERAGE(OFFSET($H$3,0,0,'Données projet'!$E$11+1,1))</f>
        <v>302.52480941204414</v>
      </c>
      <c r="BJ68" s="60">
        <f t="shared" si="38"/>
        <v>293.66452856196088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192.90959999999995</v>
      </c>
      <c r="CA68" s="14">
        <f t="shared" si="39"/>
        <v>48.182654021446417</v>
      </c>
      <c r="CB68" s="22">
        <f t="shared" ref="CB68:CB131" si="64">(BZ68+CA68)*0.475*44/12</f>
        <v>419.90234242068573</v>
      </c>
      <c r="CC68" s="60">
        <f t="shared" ref="CC68:CC131" si="65">CB68+(BT68+BU68)*44/12</f>
        <v>683.84554853714098</v>
      </c>
      <c r="CD68" s="60">
        <f ca="1">AVERAGE(OFFSET($CC$3,0,0,'Données projet'!$E$12+1,1))-AVERAGE(OFFSET($H$3,0,0,'Données projet'!$E$12+1,1))</f>
        <v>442.98179778678298</v>
      </c>
      <c r="CE68" s="60">
        <f t="shared" si="40"/>
        <v>251.96153561746942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200.64102564102564</v>
      </c>
      <c r="CR68" s="13">
        <f>VLOOKUP(A68,'Données projet'!$A$139:$I$159,9,0)</f>
        <v>4.4871794871794863</v>
      </c>
      <c r="CS68" s="13">
        <f t="array" ref="CS68">INDEX(CR:CR,MIN(IF(ISNUMBER(CR68:CR264),ROW(CR68:CR264),"")))</f>
        <v>4.4871794871794863</v>
      </c>
      <c r="CT68" s="13">
        <f>IF('Données projet'!$A$140&gt;35,CT67+CS68-DB67,IF(A68&lt;'Données projet'!$A$140,$CQ$205^A68,IF(A68='Données projet'!$A$140,'Données projet'!$B$140,CT67+CS68-DB67)))</f>
        <v>200.64102564102552</v>
      </c>
      <c r="CU68" s="18">
        <f>CT68*VLOOKUP('Données projet'!$B$13,Paramètres!$A$1:$I$89,3,0)*VLOOKUP('Données projet'!$B$13,Paramètres!$A$1:$I$89,5,0)</f>
        <v>190.92999999999989</v>
      </c>
      <c r="CV68" s="14">
        <f t="shared" si="41"/>
        <v>47.745504180483643</v>
      </c>
      <c r="CW68" s="22">
        <f t="shared" ref="CW68:CW131" si="67">(CU68+CV68)*0.475*44/12</f>
        <v>415.69316978100875</v>
      </c>
      <c r="CX68" s="60">
        <f t="shared" ref="CX68:CX131" si="68">CW68+(CO68+CP68)*44/12</f>
        <v>679.63637589746395</v>
      </c>
      <c r="CY68" s="60">
        <f ca="1">AVERAGE(OFFSET($CX$3,0,0,'Données projet'!$E$13+1,1))-AVERAGE(OFFSET($H$3,0,0,'Données projet'!$E$13+1,1))</f>
        <v>388.53310909800695</v>
      </c>
      <c r="CZ68" s="60">
        <f t="shared" si="42"/>
        <v>263.82153161042811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28.205128205128204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0">
        <f t="shared" si="55"/>
        <v>727.76985102612184</v>
      </c>
      <c r="S69" s="60">
        <f ca="1">AVERAGE(OFFSET($R$3,0,0,'Données projet'!$E$9+1,1))-AVERAGE(OFFSET($H$3,0,0,'Données projet'!$E$9+1,1))</f>
        <v>469.67944008675863</v>
      </c>
      <c r="T69" s="60">
        <f t="shared" ref="T69:T132" si="88">$T$3</f>
        <v>266.11908070867173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1.6</v>
      </c>
      <c r="AI69" s="14">
        <f>IF('Données projet'!$A$62&gt;35,AI68+AH69-AQ68,IF(A69&lt;'Données projet'!$A$62,$AF$205^A69,IF(A69='Données projet'!$A$62,'Données projet'!$B$62,AI68+AH69-AQ68)))</f>
        <v>256.60000000000008</v>
      </c>
      <c r="AJ69" s="14">
        <f>AI69*VLOOKUP('Données projet'!$B$10,Paramètres!$A$1:$I$89,3,0)*VLOOKUP('Données projet'!$B$10,Paramètres!$A$1:$I$89,5,0)</f>
        <v>204.15096000000008</v>
      </c>
      <c r="AK69" s="14">
        <f t="shared" ref="AK69:AK132" si="89">EXP(-1.0587+0.8836*LN(AJ69)+0.284)</f>
        <v>50.65532957489819</v>
      </c>
      <c r="AL69" s="22">
        <f t="shared" si="58"/>
        <v>443.7876210096145</v>
      </c>
      <c r="AM69" s="60">
        <f t="shared" si="59"/>
        <v>708.24068012680164</v>
      </c>
      <c r="AN69" s="60">
        <f ca="1">AVERAGE(OFFSET($AM$3,0,0,'Données projet'!$E$10+1,1))-AVERAGE(OFFSET($H$3,0,0,'Données projet'!$E$10+1,1))</f>
        <v>323.1883858932618</v>
      </c>
      <c r="AO69" s="60">
        <f t="shared" ref="AO69:AO132" si="90">$AO$3</f>
        <v>313.39536932399085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1.6</v>
      </c>
      <c r="BD69" s="13">
        <f>IF('Données projet'!$A$88&gt;35,BD68+BC69-BL68,IF(A69&lt;'Données projet'!$A$88,$BA$205^A69,IF(A69='Données projet'!$A$88,'Données projet'!$B$88,BD68+BC69-BL68)))</f>
        <v>256.60000000000008</v>
      </c>
      <c r="BE69" s="14">
        <f>BD69*VLOOKUP('Données projet'!$B$11,Paramètres!$A$1:$I$89,3,0)*VLOOKUP('Données projet'!$B$11,Paramètres!$A$1:$I$89,5,0)</f>
        <v>188.13912000000005</v>
      </c>
      <c r="BF69" s="14">
        <f t="shared" ref="BF69:BF132" si="91">EXP(-1.0587+0.8836*LN(BE69)+0.284)</f>
        <v>47.128303332183869</v>
      </c>
      <c r="BG69" s="22">
        <f t="shared" si="61"/>
        <v>409.75742897022025</v>
      </c>
      <c r="BH69" s="60">
        <f t="shared" si="62"/>
        <v>674.21048808740738</v>
      </c>
      <c r="BI69" s="60">
        <f ca="1">AVERAGE(OFFSET($BH$3,0,0,'Données projet'!$E$11+1,1))-AVERAGE(OFFSET($H$3,0,0,'Données projet'!$E$11+1,1))</f>
        <v>302.52480941204414</v>
      </c>
      <c r="BJ69" s="60">
        <f t="shared" ref="BJ69:BJ132" si="92">$BJ$3</f>
        <v>293.66452856196088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198.63791999999995</v>
      </c>
      <c r="CA69" s="14">
        <f t="shared" ref="CA69:CA132" si="93">EXP(-1.0587+0.8836*LN(BZ69)+0.284)</f>
        <v>49.444704816101329</v>
      </c>
      <c r="CB69" s="22">
        <f t="shared" si="64"/>
        <v>432.07723822137638</v>
      </c>
      <c r="CC69" s="60">
        <f t="shared" si="65"/>
        <v>696.53029733856351</v>
      </c>
      <c r="CD69" s="60">
        <f ca="1">AVERAGE(OFFSET($CC$3,0,0,'Données projet'!$E$12+1,1))-AVERAGE(OFFSET($H$3,0,0,'Données projet'!$E$12+1,1))</f>
        <v>442.98179778678298</v>
      </c>
      <c r="CE69" s="60">
        <f t="shared" ref="CE69:CE132" si="94">$CE$3</f>
        <v>251.96153561746942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4.3589743589743595</v>
      </c>
      <c r="CT69" s="13">
        <f>IF('Données projet'!$A$140&gt;35,CT68+CS69-DB68,IF(A69&lt;'Données projet'!$A$140,$CQ$205^A69,IF(A69='Données projet'!$A$140,'Données projet'!$B$140,CT68+CS69-DB68)))</f>
        <v>176.79487179487168</v>
      </c>
      <c r="CU69" s="18">
        <f>CT69*VLOOKUP('Données projet'!$B$13,Paramètres!$A$1:$I$89,3,0)*VLOOKUP('Données projet'!$B$13,Paramètres!$A$1:$I$89,5,0)</f>
        <v>168.23799999999989</v>
      </c>
      <c r="CV69" s="14">
        <f t="shared" ref="CV69:CV132" si="95">EXP(-1.0587+0.8836*LN(CU69)+0.284)</f>
        <v>42.695155225480995</v>
      </c>
      <c r="CW69" s="22">
        <f t="shared" si="67"/>
        <v>367.37524535104586</v>
      </c>
      <c r="CX69" s="60">
        <f t="shared" si="68"/>
        <v>631.828304468233</v>
      </c>
      <c r="CY69" s="60">
        <f ca="1">AVERAGE(OFFSET($CX$3,0,0,'Données projet'!$E$13+1,1))-AVERAGE(OFFSET($H$3,0,0,'Données projet'!$E$13+1,1))</f>
        <v>388.53310909800695</v>
      </c>
      <c r="CZ69" s="60">
        <f t="shared" ref="CZ69:CZ132" si="96">$CZ$3</f>
        <v>263.82153161042811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0">
        <f t="shared" si="55"/>
        <v>741.32019587747834</v>
      </c>
      <c r="S70" s="60">
        <f ca="1">AVERAGE(OFFSET($R$3,0,0,'Données projet'!$E$9+1,1))-AVERAGE(OFFSET($H$3,0,0,'Données projet'!$E$9+1,1))</f>
        <v>469.67944008675863</v>
      </c>
      <c r="T70" s="60">
        <f t="shared" si="88"/>
        <v>266.11908070867173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1.6</v>
      </c>
      <c r="AI70" s="14">
        <f>IF('Données projet'!$A$62&gt;35,AI69+AH70-AQ69,IF(A70&lt;'Données projet'!$A$62,$AF$205^A70,IF(A70='Données projet'!$A$62,'Données projet'!$B$62,AI69+AH70-AQ69)))</f>
        <v>258.2000000000001</v>
      </c>
      <c r="AJ70" s="14">
        <f>AI70*VLOOKUP('Données projet'!$B$10,Paramètres!$A$1:$I$89,3,0)*VLOOKUP('Données projet'!$B$10,Paramètres!$A$1:$I$89,5,0)</f>
        <v>205.42392000000007</v>
      </c>
      <c r="AK70" s="14">
        <f t="shared" si="89"/>
        <v>50.934318468081216</v>
      </c>
      <c r="AL70" s="22">
        <f t="shared" si="58"/>
        <v>446.49059866524152</v>
      </c>
      <c r="AM70" s="60">
        <f t="shared" si="59"/>
        <v>711.44466597345843</v>
      </c>
      <c r="AN70" s="60">
        <f ca="1">AVERAGE(OFFSET($AM$3,0,0,'Données projet'!$E$10+1,1))-AVERAGE(OFFSET($H$3,0,0,'Données projet'!$E$10+1,1))</f>
        <v>323.1883858932618</v>
      </c>
      <c r="AO70" s="60">
        <f t="shared" si="90"/>
        <v>313.39536932399085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1.6</v>
      </c>
      <c r="BD70" s="13">
        <f>IF('Données projet'!$A$88&gt;35,BD69+BC70-BL69,IF(A70&lt;'Données projet'!$A$88,$BA$205^A70,IF(A70='Données projet'!$A$88,'Données projet'!$B$88,BD69+BC70-BL69)))</f>
        <v>258.2000000000001</v>
      </c>
      <c r="BE70" s="14">
        <f>BD70*VLOOKUP('Données projet'!$B$11,Paramètres!$A$1:$I$89,3,0)*VLOOKUP('Données projet'!$B$11,Paramètres!$A$1:$I$89,5,0)</f>
        <v>189.31224000000006</v>
      </c>
      <c r="BF70" s="14">
        <f t="shared" si="91"/>
        <v>47.387866803482609</v>
      </c>
      <c r="BG70" s="22">
        <f t="shared" si="61"/>
        <v>412.25268601606558</v>
      </c>
      <c r="BH70" s="60">
        <f t="shared" si="62"/>
        <v>677.20675332428254</v>
      </c>
      <c r="BI70" s="60">
        <f ca="1">AVERAGE(OFFSET($BH$3,0,0,'Données projet'!$E$11+1,1))-AVERAGE(OFFSET($H$3,0,0,'Données projet'!$E$11+1,1))</f>
        <v>302.52480941204414</v>
      </c>
      <c r="BJ70" s="60">
        <f t="shared" si="92"/>
        <v>293.66452856196088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204.36623999999995</v>
      </c>
      <c r="CA70" s="14">
        <f t="shared" si="93"/>
        <v>50.702525713362093</v>
      </c>
      <c r="CB70" s="22">
        <f t="shared" si="64"/>
        <v>444.24476695077215</v>
      </c>
      <c r="CC70" s="60">
        <f t="shared" si="65"/>
        <v>709.19883425898911</v>
      </c>
      <c r="CD70" s="60">
        <f ca="1">AVERAGE(OFFSET($CC$3,0,0,'Données projet'!$E$12+1,1))-AVERAGE(OFFSET($H$3,0,0,'Données projet'!$E$12+1,1))</f>
        <v>442.98179778678298</v>
      </c>
      <c r="CE70" s="60">
        <f t="shared" si="94"/>
        <v>251.96153561746942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4.3589743589743595</v>
      </c>
      <c r="CT70" s="13">
        <f>IF('Données projet'!$A$140&gt;35,CT69+CS70-DB69,IF(A70&lt;'Données projet'!$A$140,$CQ$205^A70,IF(A70='Données projet'!$A$140,'Données projet'!$B$140,CT69+CS70-DB69)))</f>
        <v>181.15384615384605</v>
      </c>
      <c r="CU70" s="18">
        <f>CT70*VLOOKUP('Données projet'!$B$13,Paramètres!$A$1:$I$89,3,0)*VLOOKUP('Données projet'!$B$13,Paramètres!$A$1:$I$89,5,0)</f>
        <v>172.38599999999991</v>
      </c>
      <c r="CV70" s="14">
        <f t="shared" si="95"/>
        <v>43.623973962324399</v>
      </c>
      <c r="CW70" s="22">
        <f t="shared" si="67"/>
        <v>376.21737131771482</v>
      </c>
      <c r="CX70" s="60">
        <f t="shared" si="68"/>
        <v>641.17143862593173</v>
      </c>
      <c r="CY70" s="60">
        <f ca="1">AVERAGE(OFFSET($CX$3,0,0,'Données projet'!$E$13+1,1))-AVERAGE(OFFSET($H$3,0,0,'Données projet'!$E$13+1,1))</f>
        <v>388.53310909800695</v>
      </c>
      <c r="CZ70" s="60">
        <f t="shared" si="96"/>
        <v>263.82153161042811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0">
        <f t="shared" si="55"/>
        <v>754.85424734389653</v>
      </c>
      <c r="S71" s="60">
        <f ca="1">AVERAGE(OFFSET($R$3,0,0,'Données projet'!$E$9+1,1))-AVERAGE(OFFSET($H$3,0,0,'Données projet'!$E$9+1,1))</f>
        <v>469.67944008675863</v>
      </c>
      <c r="T71" s="60">
        <f t="shared" si="88"/>
        <v>266.11908070867173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1.6</v>
      </c>
      <c r="AI71" s="14">
        <f>IF('Données projet'!$A$62&gt;35,AI70+AH71-AQ70,IF(A71&lt;'Données projet'!$A$62,$AF$205^A71,IF(A71='Données projet'!$A$62,'Données projet'!$B$62,AI70+AH71-AQ70)))</f>
        <v>259.80000000000013</v>
      </c>
      <c r="AJ71" s="14">
        <f>AI71*VLOOKUP('Données projet'!$B$10,Paramètres!$A$1:$I$89,3,0)*VLOOKUP('Données projet'!$B$10,Paramètres!$A$1:$I$89,5,0)</f>
        <v>206.69688000000014</v>
      </c>
      <c r="AK71" s="14">
        <f t="shared" si="89"/>
        <v>51.213106197404478</v>
      </c>
      <c r="AL71" s="22">
        <f t="shared" si="58"/>
        <v>449.19322596047977</v>
      </c>
      <c r="AM71" s="60">
        <f t="shared" si="59"/>
        <v>714.63961008769866</v>
      </c>
      <c r="AN71" s="60">
        <f ca="1">AVERAGE(OFFSET($AM$3,0,0,'Données projet'!$E$10+1,1))-AVERAGE(OFFSET($H$3,0,0,'Données projet'!$E$10+1,1))</f>
        <v>323.1883858932618</v>
      </c>
      <c r="AO71" s="60">
        <f t="shared" si="90"/>
        <v>313.39536932399085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1.6</v>
      </c>
      <c r="BD71" s="13">
        <f>IF('Données projet'!$A$88&gt;35,BD70+BC71-BL70,IF(A71&lt;'Données projet'!$A$88,$BA$205^A71,IF(A71='Données projet'!$A$88,'Données projet'!$B$88,BD70+BC71-BL70)))</f>
        <v>259.80000000000013</v>
      </c>
      <c r="BE71" s="14">
        <f>BD71*VLOOKUP('Données projet'!$B$11,Paramètres!$A$1:$I$89,3,0)*VLOOKUP('Données projet'!$B$11,Paramètres!$A$1:$I$89,5,0)</f>
        <v>190.4853600000001</v>
      </c>
      <c r="BF71" s="14">
        <f t="shared" si="91"/>
        <v>47.647243117546637</v>
      </c>
      <c r="BG71" s="22">
        <f t="shared" si="61"/>
        <v>414.74761709639392</v>
      </c>
      <c r="BH71" s="60">
        <f t="shared" si="62"/>
        <v>680.19400122361276</v>
      </c>
      <c r="BI71" s="60">
        <f ca="1">AVERAGE(OFFSET($BH$3,0,0,'Données projet'!$E$11+1,1))-AVERAGE(OFFSET($H$3,0,0,'Données projet'!$E$11+1,1))</f>
        <v>302.52480941204414</v>
      </c>
      <c r="BJ71" s="60">
        <f t="shared" si="92"/>
        <v>293.66452856196088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210.09456</v>
      </c>
      <c r="CA71" s="14">
        <f t="shared" si="93"/>
        <v>51.956248895959689</v>
      </c>
      <c r="CB71" s="22">
        <f t="shared" si="64"/>
        <v>456.40515882712975</v>
      </c>
      <c r="CC71" s="60">
        <f t="shared" si="65"/>
        <v>721.85154295434859</v>
      </c>
      <c r="CD71" s="60">
        <f ca="1">AVERAGE(OFFSET($CC$3,0,0,'Données projet'!$E$12+1,1))-AVERAGE(OFFSET($H$3,0,0,'Données projet'!$E$12+1,1))</f>
        <v>442.98179778678298</v>
      </c>
      <c r="CE71" s="60">
        <f t="shared" si="94"/>
        <v>251.96153561746942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4.3589743589743595</v>
      </c>
      <c r="CT71" s="13">
        <f>IF('Données projet'!$A$140&gt;35,CT70+CS71-DB70,IF(A71&lt;'Données projet'!$A$140,$CQ$205^A71,IF(A71='Données projet'!$A$140,'Données projet'!$B$140,CT70+CS71-DB70)))</f>
        <v>185.51282051282041</v>
      </c>
      <c r="CU71" s="18">
        <f>CT71*VLOOKUP('Données projet'!$B$13,Paramètres!$A$1:$I$89,3,0)*VLOOKUP('Données projet'!$B$13,Paramètres!$A$1:$I$89,5,0)</f>
        <v>176.53399999999991</v>
      </c>
      <c r="CV71" s="14">
        <f t="shared" si="95"/>
        <v>44.550194592706617</v>
      </c>
      <c r="CW71" s="22">
        <f t="shared" si="67"/>
        <v>385.05497224896385</v>
      </c>
      <c r="CX71" s="60">
        <f t="shared" si="68"/>
        <v>650.50135637618268</v>
      </c>
      <c r="CY71" s="60">
        <f ca="1">AVERAGE(OFFSET($CX$3,0,0,'Données projet'!$E$13+1,1))-AVERAGE(OFFSET($H$3,0,0,'Données projet'!$E$13+1,1))</f>
        <v>388.53310909800695</v>
      </c>
      <c r="CZ71" s="60">
        <f t="shared" si="96"/>
        <v>263.82153161042811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0">
        <f t="shared" si="55"/>
        <v>768.37238729111891</v>
      </c>
      <c r="S72" s="60">
        <f ca="1">AVERAGE(OFFSET($R$3,0,0,'Données projet'!$E$9+1,1))-AVERAGE(OFFSET($H$3,0,0,'Données projet'!$E$9+1,1))</f>
        <v>469.67944008675863</v>
      </c>
      <c r="T72" s="60">
        <f t="shared" si="88"/>
        <v>266.11908070867173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1.6</v>
      </c>
      <c r="AI72" s="14">
        <f>IF('Données projet'!$A$62&gt;35,AI71+AH72-AQ71,IF(A72&lt;'Données projet'!$A$62,$AF$205^A72,IF(A72='Données projet'!$A$62,'Données projet'!$B$62,AI71+AH72-AQ71)))</f>
        <v>261.40000000000015</v>
      </c>
      <c r="AJ72" s="14">
        <f>AI72*VLOOKUP('Données projet'!$B$10,Paramètres!$A$1:$I$89,3,0)*VLOOKUP('Données projet'!$B$10,Paramètres!$A$1:$I$89,5,0)</f>
        <v>207.96984000000012</v>
      </c>
      <c r="AK72" s="14">
        <f t="shared" si="89"/>
        <v>51.491694145480423</v>
      </c>
      <c r="AL72" s="22">
        <f t="shared" si="58"/>
        <v>451.89550530337857</v>
      </c>
      <c r="AM72" s="60">
        <f t="shared" si="59"/>
        <v>717.82566565344518</v>
      </c>
      <c r="AN72" s="60">
        <f ca="1">AVERAGE(OFFSET($AM$3,0,0,'Données projet'!$E$10+1,1))-AVERAGE(OFFSET($H$3,0,0,'Données projet'!$E$10+1,1))</f>
        <v>323.1883858932618</v>
      </c>
      <c r="AO72" s="60">
        <f t="shared" si="90"/>
        <v>313.39536932399085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1.6</v>
      </c>
      <c r="BD72" s="13">
        <f>IF('Données projet'!$A$88&gt;35,BD71+BC72-BL71,IF(A72&lt;'Données projet'!$A$88,$BA$205^A72,IF(A72='Données projet'!$A$88,'Données projet'!$B$88,BD71+BC72-BL71)))</f>
        <v>261.40000000000015</v>
      </c>
      <c r="BE72" s="14">
        <f>BD72*VLOOKUP('Données projet'!$B$11,Paramètres!$A$1:$I$89,3,0)*VLOOKUP('Données projet'!$B$11,Paramètres!$A$1:$I$89,5,0)</f>
        <v>191.65848000000011</v>
      </c>
      <c r="BF72" s="14">
        <f t="shared" si="91"/>
        <v>47.906433560720011</v>
      </c>
      <c r="BG72" s="22">
        <f t="shared" si="61"/>
        <v>417.24222445158756</v>
      </c>
      <c r="BH72" s="60">
        <f t="shared" si="62"/>
        <v>683.17238480165406</v>
      </c>
      <c r="BI72" s="60">
        <f ca="1">AVERAGE(OFFSET($BH$3,0,0,'Données projet'!$E$11+1,1))-AVERAGE(OFFSET($H$3,0,0,'Données projet'!$E$11+1,1))</f>
        <v>302.52480941204414</v>
      </c>
      <c r="BJ72" s="60">
        <f t="shared" si="92"/>
        <v>293.66452856196088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215.82287999999997</v>
      </c>
      <c r="CA72" s="14">
        <f t="shared" si="93"/>
        <v>53.205998928315829</v>
      </c>
      <c r="CB72" s="22">
        <f t="shared" si="64"/>
        <v>468.55863080015001</v>
      </c>
      <c r="CC72" s="60">
        <f t="shared" si="65"/>
        <v>734.48879115021657</v>
      </c>
      <c r="CD72" s="60">
        <f ca="1">AVERAGE(OFFSET($CC$3,0,0,'Données projet'!$E$12+1,1))-AVERAGE(OFFSET($H$3,0,0,'Données projet'!$E$12+1,1))</f>
        <v>442.98179778678298</v>
      </c>
      <c r="CE72" s="60">
        <f t="shared" si="94"/>
        <v>251.96153561746942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4.3589743589743595</v>
      </c>
      <c r="CT72" s="13">
        <f>IF('Données projet'!$A$140&gt;35,CT71+CS72-DB71,IF(A72&lt;'Données projet'!$A$140,$CQ$205^A72,IF(A72='Données projet'!$A$140,'Données projet'!$B$140,CT71+CS72-DB71)))</f>
        <v>189.87179487179478</v>
      </c>
      <c r="CU72" s="18">
        <f>CT72*VLOOKUP('Données projet'!$B$13,Paramètres!$A$1:$I$89,3,0)*VLOOKUP('Données projet'!$B$13,Paramètres!$A$1:$I$89,5,0)</f>
        <v>180.6819999999999</v>
      </c>
      <c r="CV72" s="14">
        <f t="shared" si="95"/>
        <v>45.473885189516494</v>
      </c>
      <c r="CW72" s="22">
        <f t="shared" si="67"/>
        <v>393.88816670507435</v>
      </c>
      <c r="CX72" s="60">
        <f t="shared" si="68"/>
        <v>659.81832705514091</v>
      </c>
      <c r="CY72" s="60">
        <f ca="1">AVERAGE(OFFSET($CX$3,0,0,'Données projet'!$E$13+1,1))-AVERAGE(OFFSET($H$3,0,0,'Données projet'!$E$13+1,1))</f>
        <v>388.53310909800695</v>
      </c>
      <c r="CZ72" s="60">
        <f t="shared" si="96"/>
        <v>263.82153161042811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0">
        <f t="shared" si="55"/>
        <v>781.87498200368964</v>
      </c>
      <c r="S73" s="60">
        <f ca="1">AVERAGE(OFFSET($R$3,0,0,'Données projet'!$E$9+1,1))-AVERAGE(OFFSET($H$3,0,0,'Données projet'!$E$9+1,1))</f>
        <v>469.67944008675863</v>
      </c>
      <c r="T73" s="60">
        <f t="shared" si="88"/>
        <v>266.11908070867173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1.6</v>
      </c>
      <c r="AH73" s="13">
        <f t="array" ref="AH73">INDEX(AG:AG,MIN(IF(ISNUMBER(AG73:AG269),ROW(AG73:AG269),"")))</f>
        <v>1.6</v>
      </c>
      <c r="AI73" s="14">
        <f>IF('Données projet'!$A$62&gt;35,AI72+AH73-AQ72,IF(A73&lt;'Données projet'!$A$62,$AF$205^A73,IF(A73='Données projet'!$A$62,'Données projet'!$B$62,AI72+AH73-AQ72)))</f>
        <v>263.00000000000017</v>
      </c>
      <c r="AJ73" s="14">
        <f>AI73*VLOOKUP('Données projet'!$B$10,Paramètres!$A$1:$I$89,3,0)*VLOOKUP('Données projet'!$B$10,Paramètres!$A$1:$I$89,5,0)</f>
        <v>209.24280000000013</v>
      </c>
      <c r="AK73" s="14">
        <f t="shared" si="89"/>
        <v>51.770083677016856</v>
      </c>
      <c r="AL73" s="22">
        <f t="shared" si="58"/>
        <v>454.59743907080457</v>
      </c>
      <c r="AM73" s="60">
        <f t="shared" si="59"/>
        <v>721.00298320781405</v>
      </c>
      <c r="AN73" s="60">
        <f ca="1">AVERAGE(OFFSET($AM$3,0,0,'Données projet'!$E$10+1,1))-AVERAGE(OFFSET($H$3,0,0,'Données projet'!$E$10+1,1))</f>
        <v>323.1883858932618</v>
      </c>
      <c r="AO73" s="60">
        <f t="shared" si="90"/>
        <v>313.39536932399085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1.6</v>
      </c>
      <c r="BC73" s="13">
        <f t="array" ref="BC73">INDEX(BB:BB,MIN(IF(ISNUMBER(BB73:BB269),ROW(BB73:BB269),"")))</f>
        <v>1.6</v>
      </c>
      <c r="BD73" s="13">
        <f>IF('Données projet'!$A$88&gt;35,BD72+BC73-BL72,IF(A73&lt;'Données projet'!$A$88,$BA$205^A73,IF(A73='Données projet'!$A$88,'Données projet'!$B$88,BD72+BC73-BL72)))</f>
        <v>263.00000000000017</v>
      </c>
      <c r="BE73" s="14">
        <f>BD73*VLOOKUP('Données projet'!$B$11,Paramètres!$A$1:$I$89,3,0)*VLOOKUP('Données projet'!$B$11,Paramètres!$A$1:$I$89,5,0)</f>
        <v>192.83160000000012</v>
      </c>
      <c r="BF73" s="14">
        <f t="shared" si="91"/>
        <v>48.165439402688861</v>
      </c>
      <c r="BG73" s="22">
        <f t="shared" si="61"/>
        <v>419.73651029301664</v>
      </c>
      <c r="BH73" s="60">
        <f t="shared" si="62"/>
        <v>686.14205443002606</v>
      </c>
      <c r="BI73" s="60">
        <f ca="1">AVERAGE(OFFSET($BH$3,0,0,'Données projet'!$E$11+1,1))-AVERAGE(OFFSET($H$3,0,0,'Données projet'!$E$11+1,1))</f>
        <v>302.52480941204414</v>
      </c>
      <c r="BJ73" s="60">
        <f t="shared" si="92"/>
        <v>293.66452856196088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221.55119999999997</v>
      </c>
      <c r="CA73" s="14">
        <f t="shared" si="93"/>
        <v>54.451893386016494</v>
      </c>
      <c r="CB73" s="22">
        <f t="shared" si="64"/>
        <v>480.70538764731208</v>
      </c>
      <c r="CC73" s="60">
        <f t="shared" si="65"/>
        <v>747.11093178432156</v>
      </c>
      <c r="CD73" s="60">
        <f ca="1">AVERAGE(OFFSET($CC$3,0,0,'Données projet'!$E$12+1,1))-AVERAGE(OFFSET($H$3,0,0,'Données projet'!$E$12+1,1))</f>
        <v>442.98179778678298</v>
      </c>
      <c r="CE73" s="60">
        <f t="shared" si="94"/>
        <v>251.96153561746942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194.23076923076923</v>
      </c>
      <c r="CR73" s="13">
        <f>VLOOKUP(A73,'Données projet'!$A$139:$I$159,9,0)</f>
        <v>4.3589743589743595</v>
      </c>
      <c r="CS73" s="13">
        <f t="array" ref="CS73">INDEX(CR:CR,MIN(IF(ISNUMBER(CR73:CR269),ROW(CR73:CR269),"")))</f>
        <v>4.3589743589743595</v>
      </c>
      <c r="CT73" s="13">
        <f>IF('Données projet'!$A$140&gt;35,CT72+CS73-DB72,IF(A73&lt;'Données projet'!$A$140,$CQ$205^A73,IF(A73='Données projet'!$A$140,'Données projet'!$B$140,CT72+CS73-DB72)))</f>
        <v>194.23076923076914</v>
      </c>
      <c r="CU73" s="18">
        <f>CT73*VLOOKUP('Données projet'!$B$13,Paramètres!$A$1:$I$89,3,0)*VLOOKUP('Données projet'!$B$13,Paramètres!$A$1:$I$89,5,0)</f>
        <v>184.8299999999999</v>
      </c>
      <c r="CV73" s="14">
        <f t="shared" si="95"/>
        <v>46.395110521715885</v>
      </c>
      <c r="CW73" s="22">
        <f t="shared" si="67"/>
        <v>402.7170674919883</v>
      </c>
      <c r="CX73" s="60">
        <f t="shared" si="68"/>
        <v>669.12261162899779</v>
      </c>
      <c r="CY73" s="60">
        <f ca="1">AVERAGE(OFFSET($CX$3,0,0,'Données projet'!$E$13+1,1))-AVERAGE(OFFSET($H$3,0,0,'Données projet'!$E$13+1,1))</f>
        <v>388.53310909800695</v>
      </c>
      <c r="CZ73" s="60">
        <f t="shared" si="96"/>
        <v>263.82153161042811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0">
        <f t="shared" si="55"/>
        <v>713.67462961866772</v>
      </c>
      <c r="S74" s="60">
        <f ca="1">AVERAGE(OFFSET($R$3,0,0,'Données projet'!$E$9+1,1))-AVERAGE(OFFSET($H$3,0,0,'Données projet'!$E$9+1,1))</f>
        <v>469.67944008675863</v>
      </c>
      <c r="T74" s="60">
        <f t="shared" si="88"/>
        <v>266.11908070867173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5.6</v>
      </c>
      <c r="AI74" s="14">
        <f>IF('Données projet'!$A$62&gt;35,AI73+AH74-AQ73,IF(A74&lt;'Données projet'!$A$62,$AF$205^A74,IF(A74='Données projet'!$A$62,'Données projet'!$B$62,AI73+AH74-AQ73)))</f>
        <v>247.60000000000019</v>
      </c>
      <c r="AJ74" s="14">
        <f>AI74*VLOOKUP('Données projet'!$B$10,Paramètres!$A$1:$I$89,3,0)*VLOOKUP('Données projet'!$B$10,Paramètres!$A$1:$I$89,5,0)</f>
        <v>196.99056000000016</v>
      </c>
      <c r="AK74" s="14">
        <f t="shared" si="89"/>
        <v>49.082201425782451</v>
      </c>
      <c r="AL74" s="22">
        <f t="shared" si="58"/>
        <v>428.57672614990469</v>
      </c>
      <c r="AM74" s="60">
        <f t="shared" si="59"/>
        <v>695.44940722795263</v>
      </c>
      <c r="AN74" s="60">
        <f ca="1">AVERAGE(OFFSET($AM$3,0,0,'Données projet'!$E$10+1,1))-AVERAGE(OFFSET($H$3,0,0,'Données projet'!$E$10+1,1))</f>
        <v>323.1883858932618</v>
      </c>
      <c r="AO74" s="60">
        <f t="shared" si="90"/>
        <v>313.39536932399085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5.6</v>
      </c>
      <c r="BD74" s="13">
        <f>IF('Données projet'!$A$88&gt;35,BD73+BC74-BL73,IF(A74&lt;'Données projet'!$A$88,$BA$205^A74,IF(A74='Données projet'!$A$88,'Données projet'!$B$88,BD73+BC74-BL73)))</f>
        <v>247.60000000000019</v>
      </c>
      <c r="BE74" s="14">
        <f>BD74*VLOOKUP('Données projet'!$B$11,Paramètres!$A$1:$I$89,3,0)*VLOOKUP('Données projet'!$B$11,Paramètres!$A$1:$I$89,5,0)</f>
        <v>181.54032000000015</v>
      </c>
      <c r="BF74" s="14">
        <f t="shared" si="91"/>
        <v>45.664708855272956</v>
      </c>
      <c r="BG74" s="22">
        <f t="shared" si="61"/>
        <v>395.71542525626728</v>
      </c>
      <c r="BH74" s="60">
        <f t="shared" si="62"/>
        <v>662.58810633431517</v>
      </c>
      <c r="BI74" s="60">
        <f ca="1">AVERAGE(OFFSET($BH$3,0,0,'Données projet'!$E$11+1,1))-AVERAGE(OFFSET($H$3,0,0,'Données projet'!$E$11+1,1))</f>
        <v>302.52480941204414</v>
      </c>
      <c r="BJ74" s="60">
        <f t="shared" si="92"/>
        <v>293.66452856196088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191.39327999999998</v>
      </c>
      <c r="CA74" s="14">
        <f t="shared" si="93"/>
        <v>47.847856170442952</v>
      </c>
      <c r="CB74" s="22">
        <f t="shared" si="64"/>
        <v>416.67831216352141</v>
      </c>
      <c r="CC74" s="60">
        <f t="shared" si="65"/>
        <v>683.55099324156936</v>
      </c>
      <c r="CD74" s="60">
        <f ca="1">AVERAGE(OFFSET($CC$3,0,0,'Données projet'!$E$12+1,1))-AVERAGE(OFFSET($H$3,0,0,'Données projet'!$E$12+1,1))</f>
        <v>442.98179778678298</v>
      </c>
      <c r="CE74" s="60">
        <f t="shared" si="94"/>
        <v>251.96153561746942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3.9743589743589722</v>
      </c>
      <c r="CT74" s="13">
        <f>IF('Données projet'!$A$140&gt;35,CT73+CS74-DB73,IF(A74&lt;'Données projet'!$A$140,$CQ$205^A74,IF(A74='Données projet'!$A$140,'Données projet'!$B$140,CT73+CS74-DB73)))</f>
        <v>198.20512820512812</v>
      </c>
      <c r="CU74" s="18">
        <f>CT74*VLOOKUP('Données projet'!$B$13,Paramètres!$A$1:$I$89,3,0)*VLOOKUP('Données projet'!$B$13,Paramètres!$A$1:$I$89,5,0)</f>
        <v>188.61199999999991</v>
      </c>
      <c r="CV74" s="14">
        <f t="shared" si="95"/>
        <v>47.232954932734806</v>
      </c>
      <c r="CW74" s="22">
        <f t="shared" si="67"/>
        <v>410.76329650784623</v>
      </c>
      <c r="CX74" s="60">
        <f t="shared" si="68"/>
        <v>677.63597758589412</v>
      </c>
      <c r="CY74" s="60">
        <f ca="1">AVERAGE(OFFSET($CX$3,0,0,'Données projet'!$E$13+1,1))-AVERAGE(OFFSET($H$3,0,0,'Données projet'!$E$13+1,1))</f>
        <v>388.53310909800695</v>
      </c>
      <c r="CZ74" s="60">
        <f t="shared" si="96"/>
        <v>263.82153161042811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0">
        <f t="shared" si="55"/>
        <v>726.04099743373422</v>
      </c>
      <c r="S75" s="60">
        <f ca="1">AVERAGE(OFFSET($R$3,0,0,'Données projet'!$E$9+1,1))-AVERAGE(OFFSET($H$3,0,0,'Données projet'!$E$9+1,1))</f>
        <v>469.67944008675863</v>
      </c>
      <c r="T75" s="60">
        <f t="shared" si="88"/>
        <v>266.11908070867173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5.6</v>
      </c>
      <c r="AI75" s="14">
        <f>IF('Données projet'!$A$62&gt;35,AI74+AH75-AQ74,IF(A75&lt;'Données projet'!$A$62,$AF$205^A75,IF(A75='Données projet'!$A$62,'Données projet'!$B$62,AI74+AH75-AQ74)))</f>
        <v>253.20000000000019</v>
      </c>
      <c r="AJ75" s="14">
        <f>AI75*VLOOKUP('Données projet'!$B$10,Paramètres!$A$1:$I$89,3,0)*VLOOKUP('Données projet'!$B$10,Paramètres!$A$1:$I$89,5,0)</f>
        <v>201.44592000000014</v>
      </c>
      <c r="AK75" s="14">
        <f t="shared" si="89"/>
        <v>50.061803830547262</v>
      </c>
      <c r="AL75" s="22">
        <f t="shared" si="58"/>
        <v>438.04261900487001</v>
      </c>
      <c r="AM75" s="60">
        <f t="shared" si="59"/>
        <v>705.37433324239112</v>
      </c>
      <c r="AN75" s="60">
        <f ca="1">AVERAGE(OFFSET($AM$3,0,0,'Données projet'!$E$10+1,1))-AVERAGE(OFFSET($H$3,0,0,'Données projet'!$E$10+1,1))</f>
        <v>323.1883858932618</v>
      </c>
      <c r="AO75" s="60">
        <f t="shared" si="90"/>
        <v>313.39536932399085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5.6</v>
      </c>
      <c r="BD75" s="13">
        <f>IF('Données projet'!$A$88&gt;35,BD74+BC75-BL74,IF(A75&lt;'Données projet'!$A$88,$BA$205^A75,IF(A75='Données projet'!$A$88,'Données projet'!$B$88,BD74+BC75-BL74)))</f>
        <v>253.20000000000019</v>
      </c>
      <c r="BE75" s="14">
        <f>BD75*VLOOKUP('Données projet'!$B$11,Paramètres!$A$1:$I$89,3,0)*VLOOKUP('Données projet'!$B$11,Paramètres!$A$1:$I$89,5,0)</f>
        <v>185.64624000000012</v>
      </c>
      <c r="BF75" s="14">
        <f t="shared" si="91"/>
        <v>46.576103562683336</v>
      </c>
      <c r="BG75" s="22">
        <f t="shared" si="61"/>
        <v>404.45391503834031</v>
      </c>
      <c r="BH75" s="60">
        <f t="shared" si="62"/>
        <v>671.78562927586142</v>
      </c>
      <c r="BI75" s="60">
        <f ca="1">AVERAGE(OFFSET($BH$3,0,0,'Données projet'!$E$11+1,1))-AVERAGE(OFFSET($H$3,0,0,'Données projet'!$E$11+1,1))</f>
        <v>302.52480941204414</v>
      </c>
      <c r="BJ75" s="60">
        <f t="shared" si="92"/>
        <v>293.66452856196088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196.61615999999995</v>
      </c>
      <c r="CA75" s="14">
        <f t="shared" si="93"/>
        <v>48.999765174076551</v>
      </c>
      <c r="CB75" s="22">
        <f t="shared" si="64"/>
        <v>427.7810696781832</v>
      </c>
      <c r="CC75" s="60">
        <f t="shared" si="65"/>
        <v>695.11278391570431</v>
      </c>
      <c r="CD75" s="60">
        <f ca="1">AVERAGE(OFFSET($CC$3,0,0,'Données projet'!$E$12+1,1))-AVERAGE(OFFSET($H$3,0,0,'Données projet'!$E$12+1,1))</f>
        <v>442.98179778678298</v>
      </c>
      <c r="CE75" s="60">
        <f t="shared" si="94"/>
        <v>251.96153561746942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3.9743589743589722</v>
      </c>
      <c r="CT75" s="13">
        <f>IF('Données projet'!$A$140&gt;35,CT74+CS75-DB74,IF(A75&lt;'Données projet'!$A$140,$CQ$205^A75,IF(A75='Données projet'!$A$140,'Données projet'!$B$140,CT74+CS75-DB74)))</f>
        <v>202.1794871794871</v>
      </c>
      <c r="CU75" s="18">
        <f>CT75*VLOOKUP('Données projet'!$B$13,Paramètres!$A$1:$I$89,3,0)*VLOOKUP('Données projet'!$B$13,Paramètres!$A$1:$I$89,5,0)</f>
        <v>192.39399999999992</v>
      </c>
      <c r="CV75" s="14">
        <f t="shared" si="95"/>
        <v>48.06884593738954</v>
      </c>
      <c r="CW75" s="22">
        <f t="shared" si="67"/>
        <v>418.80612334095326</v>
      </c>
      <c r="CX75" s="60">
        <f t="shared" si="68"/>
        <v>686.13783757847432</v>
      </c>
      <c r="CY75" s="60">
        <f ca="1">AVERAGE(OFFSET($CX$3,0,0,'Données projet'!$E$13+1,1))-AVERAGE(OFFSET($H$3,0,0,'Données projet'!$E$13+1,1))</f>
        <v>388.53310909800695</v>
      </c>
      <c r="CZ75" s="60">
        <f t="shared" si="96"/>
        <v>263.82153161042811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0">
        <f t="shared" si="55"/>
        <v>738.39280375661042</v>
      </c>
      <c r="S76" s="60">
        <f ca="1">AVERAGE(OFFSET($R$3,0,0,'Données projet'!$E$9+1,1))-AVERAGE(OFFSET($H$3,0,0,'Données projet'!$E$9+1,1))</f>
        <v>469.67944008675863</v>
      </c>
      <c r="T76" s="60">
        <f t="shared" si="88"/>
        <v>266.11908070867173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5.6</v>
      </c>
      <c r="AI76" s="14">
        <f>IF('Données projet'!$A$62&gt;35,AI75+AH76-AQ75,IF(A76&lt;'Données projet'!$A$62,$AF$205^A76,IF(A76='Données projet'!$A$62,'Données projet'!$B$62,AI75+AH76-AQ75)))</f>
        <v>258.80000000000018</v>
      </c>
      <c r="AJ76" s="14">
        <f>AI76*VLOOKUP('Données projet'!$B$10,Paramètres!$A$1:$I$89,3,0)*VLOOKUP('Données projet'!$B$10,Paramètres!$A$1:$I$89,5,0)</f>
        <v>205.90128000000013</v>
      </c>
      <c r="AK76" s="14">
        <f t="shared" si="89"/>
        <v>51.038887365811256</v>
      </c>
      <c r="AL76" s="22">
        <f t="shared" si="58"/>
        <v>447.50412482878806</v>
      </c>
      <c r="AM76" s="60">
        <f t="shared" si="59"/>
        <v>715.28690902670985</v>
      </c>
      <c r="AN76" s="60">
        <f ca="1">AVERAGE(OFFSET($AM$3,0,0,'Données projet'!$E$10+1,1))-AVERAGE(OFFSET($H$3,0,0,'Données projet'!$E$10+1,1))</f>
        <v>323.1883858932618</v>
      </c>
      <c r="AO76" s="60">
        <f t="shared" si="90"/>
        <v>313.39536932399085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5.6</v>
      </c>
      <c r="BD76" s="13">
        <f>IF('Données projet'!$A$88&gt;35,BD75+BC76-BL75,IF(A76&lt;'Données projet'!$A$88,$BA$205^A76,IF(A76='Données projet'!$A$88,'Données projet'!$B$88,BD75+BC76-BL75)))</f>
        <v>258.80000000000018</v>
      </c>
      <c r="BE76" s="14">
        <f>BD76*VLOOKUP('Données projet'!$B$11,Paramètres!$A$1:$I$89,3,0)*VLOOKUP('Données projet'!$B$11,Paramètres!$A$1:$I$89,5,0)</f>
        <v>189.75216000000015</v>
      </c>
      <c r="BF76" s="14">
        <f t="shared" si="91"/>
        <v>47.485154784287168</v>
      </c>
      <c r="BG76" s="22">
        <f t="shared" si="61"/>
        <v>413.18832324930037</v>
      </c>
      <c r="BH76" s="60">
        <f t="shared" si="62"/>
        <v>680.97110744722215</v>
      </c>
      <c r="BI76" s="60">
        <f ca="1">AVERAGE(OFFSET($BH$3,0,0,'Données projet'!$E$11+1,1))-AVERAGE(OFFSET($H$3,0,0,'Données projet'!$E$11+1,1))</f>
        <v>302.52480941204414</v>
      </c>
      <c r="BJ76" s="60">
        <f t="shared" si="92"/>
        <v>293.66452856196088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201.83903999999995</v>
      </c>
      <c r="CA76" s="14">
        <f t="shared" si="93"/>
        <v>50.148117498343801</v>
      </c>
      <c r="CB76" s="22">
        <f t="shared" si="64"/>
        <v>438.87763264294864</v>
      </c>
      <c r="CC76" s="60">
        <f t="shared" si="65"/>
        <v>706.66041684087043</v>
      </c>
      <c r="CD76" s="60">
        <f ca="1">AVERAGE(OFFSET($CC$3,0,0,'Données projet'!$E$12+1,1))-AVERAGE(OFFSET($H$3,0,0,'Données projet'!$E$12+1,1))</f>
        <v>442.98179778678298</v>
      </c>
      <c r="CE76" s="60">
        <f t="shared" si="94"/>
        <v>251.96153561746942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3.9743589743589722</v>
      </c>
      <c r="CT76" s="13">
        <f>IF('Données projet'!$A$140&gt;35,CT75+CS76-DB75,IF(A76&lt;'Données projet'!$A$140,$CQ$205^A76,IF(A76='Données projet'!$A$140,'Données projet'!$B$140,CT75+CS76-DB75)))</f>
        <v>206.15384615384608</v>
      </c>
      <c r="CU76" s="18">
        <f>CT76*VLOOKUP('Données projet'!$B$13,Paramètres!$A$1:$I$89,3,0)*VLOOKUP('Données projet'!$B$13,Paramètres!$A$1:$I$89,5,0)</f>
        <v>196.17599999999993</v>
      </c>
      <c r="CV76" s="14">
        <f t="shared" si="95"/>
        <v>48.902826361146467</v>
      </c>
      <c r="CW76" s="22">
        <f t="shared" si="67"/>
        <v>426.84562257899665</v>
      </c>
      <c r="CX76" s="60">
        <f t="shared" si="68"/>
        <v>694.62840677691838</v>
      </c>
      <c r="CY76" s="60">
        <f ca="1">AVERAGE(OFFSET($CX$3,0,0,'Données projet'!$E$13+1,1))-AVERAGE(OFFSET($H$3,0,0,'Données projet'!$E$13+1,1))</f>
        <v>388.53310909800695</v>
      </c>
      <c r="CZ76" s="60">
        <f t="shared" si="96"/>
        <v>263.82153161042811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0">
        <f t="shared" si="55"/>
        <v>750.73037710187918</v>
      </c>
      <c r="S77" s="60">
        <f ca="1">AVERAGE(OFFSET($R$3,0,0,'Données projet'!$E$9+1,1))-AVERAGE(OFFSET($H$3,0,0,'Données projet'!$E$9+1,1))</f>
        <v>469.67944008675863</v>
      </c>
      <c r="T77" s="60">
        <f t="shared" si="88"/>
        <v>266.11908070867173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5.6</v>
      </c>
      <c r="AI77" s="14">
        <f>IF('Données projet'!$A$62&gt;35,AI76+AH77-AQ76,IF(A77&lt;'Données projet'!$A$62,$AF$205^A77,IF(A77='Données projet'!$A$62,'Données projet'!$B$62,AI76+AH77-AQ76)))</f>
        <v>264.4000000000002</v>
      </c>
      <c r="AJ77" s="14">
        <f>AI77*VLOOKUP('Données projet'!$B$10,Paramètres!$A$1:$I$89,3,0)*VLOOKUP('Données projet'!$B$10,Paramètres!$A$1:$I$89,5,0)</f>
        <v>210.35664000000017</v>
      </c>
      <c r="AK77" s="14">
        <f t="shared" si="89"/>
        <v>52.013512813001839</v>
      </c>
      <c r="AL77" s="22">
        <f t="shared" si="58"/>
        <v>456.96134948264512</v>
      </c>
      <c r="AM77" s="60">
        <f t="shared" si="59"/>
        <v>725.18737858559598</v>
      </c>
      <c r="AN77" s="60">
        <f ca="1">AVERAGE(OFFSET($AM$3,0,0,'Données projet'!$E$10+1,1))-AVERAGE(OFFSET($H$3,0,0,'Données projet'!$E$10+1,1))</f>
        <v>323.1883858932618</v>
      </c>
      <c r="AO77" s="60">
        <f t="shared" si="90"/>
        <v>313.39536932399085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5.6</v>
      </c>
      <c r="BD77" s="13">
        <f>IF('Données projet'!$A$88&gt;35,BD76+BC77-BL76,IF(A77&lt;'Données projet'!$A$88,$BA$205^A77,IF(A77='Données projet'!$A$88,'Données projet'!$B$88,BD76+BC77-BL76)))</f>
        <v>264.4000000000002</v>
      </c>
      <c r="BE77" s="14">
        <f>BD77*VLOOKUP('Données projet'!$B$11,Paramètres!$A$1:$I$89,3,0)*VLOOKUP('Données projet'!$B$11,Paramètres!$A$1:$I$89,5,0)</f>
        <v>193.85808000000014</v>
      </c>
      <c r="BF77" s="14">
        <f t="shared" si="91"/>
        <v>48.39191906942613</v>
      </c>
      <c r="BG77" s="22">
        <f t="shared" si="61"/>
        <v>421.91874837925076</v>
      </c>
      <c r="BH77" s="60">
        <f t="shared" si="62"/>
        <v>690.14477748220156</v>
      </c>
      <c r="BI77" s="60">
        <f ca="1">AVERAGE(OFFSET($BH$3,0,0,'Données projet'!$E$11+1,1))-AVERAGE(OFFSET($H$3,0,0,'Données projet'!$E$11+1,1))</f>
        <v>302.52480941204414</v>
      </c>
      <c r="BJ77" s="60">
        <f t="shared" si="92"/>
        <v>293.66452856196088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207.06191999999993</v>
      </c>
      <c r="CA77" s="14">
        <f t="shared" si="93"/>
        <v>51.293015758902222</v>
      </c>
      <c r="CB77" s="22">
        <f t="shared" si="64"/>
        <v>449.96817978008789</v>
      </c>
      <c r="CC77" s="60">
        <f t="shared" si="65"/>
        <v>718.19420888303875</v>
      </c>
      <c r="CD77" s="60">
        <f ca="1">AVERAGE(OFFSET($CC$3,0,0,'Données projet'!$E$12+1,1))-AVERAGE(OFFSET($H$3,0,0,'Données projet'!$E$12+1,1))</f>
        <v>442.98179778678298</v>
      </c>
      <c r="CE77" s="60">
        <f t="shared" si="94"/>
        <v>251.96153561746942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3.9743589743589722</v>
      </c>
      <c r="CT77" s="13">
        <f>IF('Données projet'!$A$140&gt;35,CT76+CS77-DB76,IF(A77&lt;'Données projet'!$A$140,$CQ$205^A77,IF(A77='Données projet'!$A$140,'Données projet'!$B$140,CT76+CS77-DB76)))</f>
        <v>210.12820512820505</v>
      </c>
      <c r="CU77" s="18">
        <f>CT77*VLOOKUP('Données projet'!$B$13,Paramètres!$A$1:$I$89,3,0)*VLOOKUP('Données projet'!$B$13,Paramètres!$A$1:$I$89,5,0)</f>
        <v>199.95799999999994</v>
      </c>
      <c r="CV77" s="14">
        <f t="shared" si="95"/>
        <v>49.734937283774826</v>
      </c>
      <c r="CW77" s="22">
        <f t="shared" si="67"/>
        <v>434.88186576924096</v>
      </c>
      <c r="CX77" s="60">
        <f t="shared" si="68"/>
        <v>703.10789487219176</v>
      </c>
      <c r="CY77" s="60">
        <f ca="1">AVERAGE(OFFSET($CX$3,0,0,'Données projet'!$E$13+1,1))-AVERAGE(OFFSET($H$3,0,0,'Données projet'!$E$13+1,1))</f>
        <v>388.53310909800695</v>
      </c>
      <c r="CZ77" s="60">
        <f t="shared" si="96"/>
        <v>263.82153161042811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0">
        <f t="shared" si="55"/>
        <v>763.05403343662067</v>
      </c>
      <c r="S78" s="60">
        <f ca="1">AVERAGE(OFFSET($R$3,0,0,'Données projet'!$E$9+1,1))-AVERAGE(OFFSET($H$3,0,0,'Données projet'!$E$9+1,1))</f>
        <v>469.67944008675863</v>
      </c>
      <c r="T78" s="60">
        <f t="shared" si="88"/>
        <v>266.11908070867173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270</v>
      </c>
      <c r="AG78" s="13">
        <f>VLOOKUP(A78,'Données projet'!$A$61:$I$81,9,0)</f>
        <v>5.6</v>
      </c>
      <c r="AH78" s="13">
        <f t="array" ref="AH78">INDEX(AG:AG,MIN(IF(ISNUMBER(AG78:AG274),ROW(AG78:AG274),"")))</f>
        <v>5.6</v>
      </c>
      <c r="AI78" s="14">
        <f>IF('Données projet'!$A$62&gt;35,AI77+AH78-AQ77,IF(A78&lt;'Données projet'!$A$62,$AF$205^A78,IF(A78='Données projet'!$A$62,'Données projet'!$B$62,AI77+AH78-AQ77)))</f>
        <v>270.00000000000023</v>
      </c>
      <c r="AJ78" s="14">
        <f>AI78*VLOOKUP('Données projet'!$B$10,Paramètres!$A$1:$I$89,3,0)*VLOOKUP('Données projet'!$B$10,Paramètres!$A$1:$I$89,5,0)</f>
        <v>214.81200000000021</v>
      </c>
      <c r="AK78" s="14">
        <f t="shared" si="89"/>
        <v>52.985738231738104</v>
      </c>
      <c r="AL78" s="22">
        <f t="shared" si="58"/>
        <v>466.41439408694424</v>
      </c>
      <c r="AM78" s="60">
        <f t="shared" si="59"/>
        <v>735.07597878676904</v>
      </c>
      <c r="AN78" s="60">
        <f ca="1">AVERAGE(OFFSET($AM$3,0,0,'Données projet'!$E$10+1,1))-AVERAGE(OFFSET($H$3,0,0,'Données projet'!$E$10+1,1))</f>
        <v>323.1883858932618</v>
      </c>
      <c r="AO78" s="60">
        <f t="shared" si="90"/>
        <v>313.39536932399085</v>
      </c>
      <c r="AP78" s="16">
        <f>IF(ISNA(VLOOKUP(A78,'Données projet'!$A$61:$I$81,3,0)),0,VLOOKUP(A78,'Données projet'!$A$61:$I$81,3,0))</f>
        <v>7</v>
      </c>
      <c r="AQ78" s="16">
        <f>IF(ISNA(VLOOKUP(A78,'Données projet'!$A$61:$I$81,4,0)),0,VLOOKUP(A78,'Données projet'!$A$61:$I$81,4,0))</f>
        <v>9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270</v>
      </c>
      <c r="BB78" s="13">
        <f>VLOOKUP(A78,'Données projet'!$A$87:$I$107,9,0)</f>
        <v>5.6</v>
      </c>
      <c r="BC78" s="13">
        <f t="array" ref="BC78">INDEX(BB:BB,MIN(IF(ISNUMBER(BB78:BB274),ROW(BB78:BB274),"")))</f>
        <v>5.6</v>
      </c>
      <c r="BD78" s="13">
        <f>IF('Données projet'!$A$88&gt;35,BD77+BC78-BL77,IF(A78&lt;'Données projet'!$A$88,$BA$205^A78,IF(A78='Données projet'!$A$88,'Données projet'!$B$88,BD77+BC78-BL77)))</f>
        <v>270.00000000000023</v>
      </c>
      <c r="BE78" s="14">
        <f>BD78*VLOOKUP('Données projet'!$B$11,Paramètres!$A$1:$I$89,3,0)*VLOOKUP('Données projet'!$B$11,Paramètres!$A$1:$I$89,5,0)</f>
        <v>197.96400000000017</v>
      </c>
      <c r="BF78" s="14">
        <f t="shared" si="91"/>
        <v>49.296450435147804</v>
      </c>
      <c r="BG78" s="22">
        <f t="shared" si="61"/>
        <v>430.64528450788265</v>
      </c>
      <c r="BH78" s="60">
        <f t="shared" si="62"/>
        <v>699.30686920770745</v>
      </c>
      <c r="BI78" s="60">
        <f ca="1">AVERAGE(OFFSET($BH$3,0,0,'Données projet'!$E$11+1,1))-AVERAGE(OFFSET($H$3,0,0,'Données projet'!$E$11+1,1))</f>
        <v>302.52480941204414</v>
      </c>
      <c r="BJ78" s="60">
        <f t="shared" si="92"/>
        <v>293.66452856196088</v>
      </c>
      <c r="BK78" s="16">
        <f>IF(ISNA(VLOOKUP(A78,'Données projet'!$A$87:$I$107,3,0)),0,VLOOKUP(A78,'Données projet'!$A$87:$I$107,3,0))</f>
        <v>7</v>
      </c>
      <c r="BL78" s="16">
        <f>IF(ISNA(VLOOKUP(A78,'Données projet'!$A$87:$I$107,4,0)),0,VLOOKUP(A78,'Données projet'!$A$87:$I$107,4,0))</f>
        <v>9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212.28479999999993</v>
      </c>
      <c r="CA78" s="14">
        <f t="shared" si="93"/>
        <v>52.434557099704143</v>
      </c>
      <c r="CB78" s="22">
        <f t="shared" si="64"/>
        <v>461.05288028198464</v>
      </c>
      <c r="CC78" s="60">
        <f t="shared" si="65"/>
        <v>729.71446498180944</v>
      </c>
      <c r="CD78" s="60">
        <f ca="1">AVERAGE(OFFSET($CC$3,0,0,'Données projet'!$E$12+1,1))-AVERAGE(OFFSET($H$3,0,0,'Données projet'!$E$12+1,1))</f>
        <v>442.98179778678298</v>
      </c>
      <c r="CE78" s="60">
        <f t="shared" si="94"/>
        <v>251.96153561746942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214.10256410256409</v>
      </c>
      <c r="CR78" s="13">
        <f>VLOOKUP(A78,'Données projet'!$A$139:$I$159,9,0)</f>
        <v>3.9743589743589722</v>
      </c>
      <c r="CS78" s="13">
        <f t="array" ref="CS78">INDEX(CR:CR,MIN(IF(ISNUMBER(CR78:CR274),ROW(CR78:CR274),"")))</f>
        <v>3.9743589743589722</v>
      </c>
      <c r="CT78" s="13">
        <f>IF('Données projet'!$A$140&gt;35,CT77+CS78-DB77,IF(A78&lt;'Données projet'!$A$140,$CQ$205^A78,IF(A78='Données projet'!$A$140,'Données projet'!$B$140,CT77+CS78-DB77)))</f>
        <v>214.10256410256403</v>
      </c>
      <c r="CU78" s="18">
        <f>CT78*VLOOKUP('Données projet'!$B$13,Paramètres!$A$1:$I$89,3,0)*VLOOKUP('Données projet'!$B$13,Paramètres!$A$1:$I$89,5,0)</f>
        <v>203.73999999999995</v>
      </c>
      <c r="CV78" s="14">
        <f t="shared" si="95"/>
        <v>50.565218142155274</v>
      </c>
      <c r="CW78" s="22">
        <f t="shared" si="67"/>
        <v>442.91492159758701</v>
      </c>
      <c r="CX78" s="60">
        <f t="shared" si="68"/>
        <v>711.57650629741181</v>
      </c>
      <c r="CY78" s="60">
        <f ca="1">AVERAGE(OFFSET($CX$3,0,0,'Données projet'!$E$13+1,1))-AVERAGE(OFFSET($H$3,0,0,'Données projet'!$E$13+1,1))</f>
        <v>388.53310909800695</v>
      </c>
      <c r="CZ78" s="60">
        <f t="shared" si="96"/>
        <v>263.82153161042811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26.923076923076923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0">
        <f t="shared" si="55"/>
        <v>774.98087811905521</v>
      </c>
      <c r="S79" s="60">
        <f ca="1">AVERAGE(OFFSET($R$3,0,0,'Données projet'!$E$9+1,1))-AVERAGE(OFFSET($H$3,0,0,'Données projet'!$E$9+1,1))</f>
        <v>469.67944008675863</v>
      </c>
      <c r="T79" s="60">
        <f t="shared" si="88"/>
        <v>266.11908070867173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264.00000000000023</v>
      </c>
      <c r="AJ79" s="14">
        <f>AI79*VLOOKUP('Données projet'!$B$10,Paramètres!$A$1:$I$89,3,0)*VLOOKUP('Données projet'!$B$10,Paramètres!$A$1:$I$89,5,0)</f>
        <v>210.03840000000019</v>
      </c>
      <c r="AK79" s="14">
        <f t="shared" si="89"/>
        <v>51.943976975133673</v>
      </c>
      <c r="AL79" s="22">
        <f t="shared" si="58"/>
        <v>456.28597323169151</v>
      </c>
      <c r="AM79" s="60">
        <f t="shared" si="59"/>
        <v>725.37555761254089</v>
      </c>
      <c r="AN79" s="60">
        <f ca="1">AVERAGE(OFFSET($AM$3,0,0,'Données projet'!$E$10+1,1))-AVERAGE(OFFSET($H$3,0,0,'Données projet'!$E$10+1,1))</f>
        <v>323.1883858932618</v>
      </c>
      <c r="AO79" s="60">
        <f t="shared" si="90"/>
        <v>313.39536932399085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264.00000000000023</v>
      </c>
      <c r="BE79" s="14">
        <f>BD79*VLOOKUP('Données projet'!$B$11,Paramètres!$A$1:$I$89,3,0)*VLOOKUP('Données projet'!$B$11,Paramètres!$A$1:$I$89,5,0)</f>
        <v>193.56480000000016</v>
      </c>
      <c r="BF79" s="14">
        <f t="shared" si="91"/>
        <v>48.327224868697201</v>
      </c>
      <c r="BG79" s="22">
        <f t="shared" si="61"/>
        <v>421.29527664631456</v>
      </c>
      <c r="BH79" s="60">
        <f t="shared" si="62"/>
        <v>690.38486102716399</v>
      </c>
      <c r="BI79" s="60">
        <f ca="1">AVERAGE(OFFSET($BH$3,0,0,'Données projet'!$E$11+1,1))-AVERAGE(OFFSET($H$3,0,0,'Données projet'!$E$11+1,1))</f>
        <v>302.52480941204414</v>
      </c>
      <c r="BJ79" s="60">
        <f t="shared" si="92"/>
        <v>293.66452856196088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217.33919999999992</v>
      </c>
      <c r="CA79" s="14">
        <f t="shared" si="93"/>
        <v>53.536165068020416</v>
      </c>
      <c r="CB79" s="22">
        <f t="shared" si="64"/>
        <v>471.77459416013545</v>
      </c>
      <c r="CC79" s="60">
        <f t="shared" si="65"/>
        <v>740.86417854098488</v>
      </c>
      <c r="CD79" s="60">
        <f ca="1">AVERAGE(OFFSET($CC$3,0,0,'Données projet'!$E$12+1,1))-AVERAGE(OFFSET($H$3,0,0,'Données projet'!$E$12+1,1))</f>
        <v>442.98179778678298</v>
      </c>
      <c r="CE79" s="60">
        <f t="shared" si="94"/>
        <v>251.96153561746942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3.8461538461538511</v>
      </c>
      <c r="CT79" s="13">
        <f>IF('Données projet'!$A$140&gt;35,CT78+CS79-DB78,IF(A79&lt;'Données projet'!$A$140,$CQ$205^A79,IF(A79='Données projet'!$A$140,'Données projet'!$B$140,CT78+CS79-DB78)))</f>
        <v>191.02564102564094</v>
      </c>
      <c r="CU79" s="18">
        <f>CT79*VLOOKUP('Données projet'!$B$13,Paramètres!$A$1:$I$89,3,0)*VLOOKUP('Données projet'!$B$13,Paramètres!$A$1:$I$89,5,0)</f>
        <v>181.77999999999992</v>
      </c>
      <c r="CV79" s="14">
        <f t="shared" si="95"/>
        <v>45.717976285292259</v>
      </c>
      <c r="CW79" s="22">
        <f t="shared" si="67"/>
        <v>396.22564203021716</v>
      </c>
      <c r="CX79" s="60">
        <f t="shared" si="68"/>
        <v>665.31522641106653</v>
      </c>
      <c r="CY79" s="60">
        <f ca="1">AVERAGE(OFFSET($CX$3,0,0,'Données projet'!$E$13+1,1))-AVERAGE(OFFSET($H$3,0,0,'Données projet'!$E$13+1,1))</f>
        <v>388.53310909800695</v>
      </c>
      <c r="CZ79" s="60">
        <f t="shared" si="96"/>
        <v>263.82153161042811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0">
        <f t="shared" si="55"/>
        <v>786.8947727107618</v>
      </c>
      <c r="S80" s="60">
        <f ca="1">AVERAGE(OFFSET($R$3,0,0,'Données projet'!$E$9+1,1))-AVERAGE(OFFSET($H$3,0,0,'Données projet'!$E$9+1,1))</f>
        <v>469.67944008675863</v>
      </c>
      <c r="T80" s="60">
        <f t="shared" si="88"/>
        <v>266.11908070867173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267.00000000000023</v>
      </c>
      <c r="AJ80" s="14">
        <f>AI80*VLOOKUP('Données projet'!$B$10,Paramètres!$A$1:$I$89,3,0)*VLOOKUP('Données projet'!$B$10,Paramètres!$A$1:$I$89,5,0)</f>
        <v>212.42520000000022</v>
      </c>
      <c r="AK80" s="14">
        <f t="shared" si="89"/>
        <v>52.465198231787234</v>
      </c>
      <c r="AL80" s="22">
        <f t="shared" si="58"/>
        <v>461.35077692036316</v>
      </c>
      <c r="AM80" s="60">
        <f t="shared" si="59"/>
        <v>730.86093614463539</v>
      </c>
      <c r="AN80" s="60">
        <f ca="1">AVERAGE(OFFSET($AM$3,0,0,'Données projet'!$E$10+1,1))-AVERAGE(OFFSET($H$3,0,0,'Données projet'!$E$10+1,1))</f>
        <v>323.1883858932618</v>
      </c>
      <c r="AO80" s="60">
        <f t="shared" si="90"/>
        <v>313.39536932399085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267.00000000000023</v>
      </c>
      <c r="BE80" s="14">
        <f>BD80*VLOOKUP('Données projet'!$B$11,Paramètres!$A$1:$I$89,3,0)*VLOOKUP('Données projet'!$B$11,Paramètres!$A$1:$I$89,5,0)</f>
        <v>195.76440000000017</v>
      </c>
      <c r="BF80" s="14">
        <f t="shared" si="91"/>
        <v>48.812154563023498</v>
      </c>
      <c r="BG80" s="22">
        <f t="shared" si="61"/>
        <v>425.97083253059947</v>
      </c>
      <c r="BH80" s="60">
        <f t="shared" si="62"/>
        <v>695.48099175487175</v>
      </c>
      <c r="BI80" s="60">
        <f ca="1">AVERAGE(OFFSET($BH$3,0,0,'Données projet'!$E$11+1,1))-AVERAGE(OFFSET($H$3,0,0,'Données projet'!$E$11+1,1))</f>
        <v>302.52480941204414</v>
      </c>
      <c r="BJ80" s="60">
        <f t="shared" si="92"/>
        <v>293.66452856196088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222.39359999999994</v>
      </c>
      <c r="CA80" s="14">
        <f t="shared" si="93"/>
        <v>54.634794757949287</v>
      </c>
      <c r="CB80" s="22">
        <f t="shared" si="64"/>
        <v>482.4911208700949</v>
      </c>
      <c r="CC80" s="60">
        <f t="shared" si="65"/>
        <v>752.00128009436719</v>
      </c>
      <c r="CD80" s="60">
        <f ca="1">AVERAGE(OFFSET($CC$3,0,0,'Données projet'!$E$12+1,1))-AVERAGE(OFFSET($H$3,0,0,'Données projet'!$E$12+1,1))</f>
        <v>442.98179778678298</v>
      </c>
      <c r="CE80" s="60">
        <f t="shared" si="94"/>
        <v>251.96153561746942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3.8461538461538511</v>
      </c>
      <c r="CT80" s="13">
        <f>IF('Données projet'!$A$140&gt;35,CT79+CS80-DB79,IF(A80&lt;'Données projet'!$A$140,$CQ$205^A80,IF(A80='Données projet'!$A$140,'Données projet'!$B$140,CT79+CS80-DB79)))</f>
        <v>194.87179487179478</v>
      </c>
      <c r="CU80" s="18">
        <f>CT80*VLOOKUP('Données projet'!$B$13,Paramètres!$A$1:$I$89,3,0)*VLOOKUP('Données projet'!$B$13,Paramètres!$A$1:$I$89,5,0)</f>
        <v>185.43999999999991</v>
      </c>
      <c r="CV80" s="14">
        <f t="shared" si="95"/>
        <v>46.530380670487169</v>
      </c>
      <c r="CW80" s="22">
        <f t="shared" si="67"/>
        <v>404.01507966776506</v>
      </c>
      <c r="CX80" s="60">
        <f t="shared" si="68"/>
        <v>673.52523889203735</v>
      </c>
      <c r="CY80" s="60">
        <f ca="1">AVERAGE(OFFSET($CX$3,0,0,'Données projet'!$E$13+1,1))-AVERAGE(OFFSET($H$3,0,0,'Données projet'!$E$13+1,1))</f>
        <v>388.53310909800695</v>
      </c>
      <c r="CZ80" s="60">
        <f t="shared" si="96"/>
        <v>263.82153161042811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0">
        <f t="shared" si="55"/>
        <v>798.79598604590456</v>
      </c>
      <c r="S81" s="60">
        <f ca="1">AVERAGE(OFFSET($R$3,0,0,'Données projet'!$E$9+1,1))-AVERAGE(OFFSET($H$3,0,0,'Données projet'!$E$9+1,1))</f>
        <v>469.67944008675863</v>
      </c>
      <c r="T81" s="60">
        <f t="shared" si="88"/>
        <v>266.11908070867173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270.00000000000023</v>
      </c>
      <c r="AJ81" s="14">
        <f>AI81*VLOOKUP('Données projet'!$B$10,Paramètres!$A$1:$I$89,3,0)*VLOOKUP('Données projet'!$B$10,Paramètres!$A$1:$I$89,5,0)</f>
        <v>214.81200000000021</v>
      </c>
      <c r="AK81" s="14">
        <f t="shared" si="89"/>
        <v>52.985738231738104</v>
      </c>
      <c r="AL81" s="22">
        <f t="shared" si="58"/>
        <v>466.41439408694424</v>
      </c>
      <c r="AM81" s="60">
        <f t="shared" si="59"/>
        <v>736.33783212137041</v>
      </c>
      <c r="AN81" s="60">
        <f ca="1">AVERAGE(OFFSET($AM$3,0,0,'Données projet'!$E$10+1,1))-AVERAGE(OFFSET($H$3,0,0,'Données projet'!$E$10+1,1))</f>
        <v>323.1883858932618</v>
      </c>
      <c r="AO81" s="60">
        <f t="shared" si="90"/>
        <v>313.39536932399085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270.00000000000023</v>
      </c>
      <c r="BE81" s="14">
        <f>BD81*VLOOKUP('Données projet'!$B$11,Paramètres!$A$1:$I$89,3,0)*VLOOKUP('Données projet'!$B$11,Paramètres!$A$1:$I$89,5,0)</f>
        <v>197.96400000000017</v>
      </c>
      <c r="BF81" s="14">
        <f t="shared" si="91"/>
        <v>49.296450435147804</v>
      </c>
      <c r="BG81" s="22">
        <f t="shared" si="61"/>
        <v>430.64528450788265</v>
      </c>
      <c r="BH81" s="60">
        <f t="shared" si="62"/>
        <v>700.56872254230893</v>
      </c>
      <c r="BI81" s="60">
        <f ca="1">AVERAGE(OFFSET($BH$3,0,0,'Données projet'!$E$11+1,1))-AVERAGE(OFFSET($H$3,0,0,'Données projet'!$E$11+1,1))</f>
        <v>302.52480941204414</v>
      </c>
      <c r="BJ81" s="60">
        <f t="shared" si="92"/>
        <v>293.66452856196088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227.44799999999995</v>
      </c>
      <c r="CA81" s="14">
        <f t="shared" si="93"/>
        <v>55.730521649800686</v>
      </c>
      <c r="CB81" s="22">
        <f t="shared" si="64"/>
        <v>493.20259187340275</v>
      </c>
      <c r="CC81" s="60">
        <f t="shared" si="65"/>
        <v>763.12602990782898</v>
      </c>
      <c r="CD81" s="60">
        <f ca="1">AVERAGE(OFFSET($CC$3,0,0,'Données projet'!$E$12+1,1))-AVERAGE(OFFSET($H$3,0,0,'Données projet'!$E$12+1,1))</f>
        <v>442.98179778678298</v>
      </c>
      <c r="CE81" s="60">
        <f t="shared" si="94"/>
        <v>251.96153561746942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3.8461538461538511</v>
      </c>
      <c r="CT81" s="13">
        <f>IF('Données projet'!$A$140&gt;35,CT80+CS81-DB80,IF(A81&lt;'Données projet'!$A$140,$CQ$205^A81,IF(A81='Données projet'!$A$140,'Données projet'!$B$140,CT80+CS81-DB80)))</f>
        <v>198.71794871794862</v>
      </c>
      <c r="CU81" s="18">
        <f>CT81*VLOOKUP('Données projet'!$B$13,Paramètres!$A$1:$I$89,3,0)*VLOOKUP('Données projet'!$B$13,Paramètres!$A$1:$I$89,5,0)</f>
        <v>189.09999999999991</v>
      </c>
      <c r="CV81" s="14">
        <f t="shared" si="95"/>
        <v>47.340920677804583</v>
      </c>
      <c r="CW81" s="22">
        <f t="shared" si="67"/>
        <v>411.80127018050945</v>
      </c>
      <c r="CX81" s="60">
        <f t="shared" si="68"/>
        <v>681.72470821493562</v>
      </c>
      <c r="CY81" s="60">
        <f ca="1">AVERAGE(OFFSET($CX$3,0,0,'Données projet'!$E$13+1,1))-AVERAGE(OFFSET($H$3,0,0,'Données projet'!$E$13+1,1))</f>
        <v>388.53310909800695</v>
      </c>
      <c r="CZ81" s="60">
        <f t="shared" si="96"/>
        <v>263.82153161042811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0">
        <f t="shared" si="55"/>
        <v>810.68477814530434</v>
      </c>
      <c r="S82" s="60">
        <f ca="1">AVERAGE(OFFSET($R$3,0,0,'Données projet'!$E$9+1,1))-AVERAGE(OFFSET($H$3,0,0,'Données projet'!$E$9+1,1))</f>
        <v>469.67944008675863</v>
      </c>
      <c r="T82" s="60">
        <f t="shared" si="88"/>
        <v>266.11908070867173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273.00000000000023</v>
      </c>
      <c r="AJ82" s="14">
        <f>AI82*VLOOKUP('Données projet'!$B$10,Paramètres!$A$1:$I$89,3,0)*VLOOKUP('Données projet'!$B$10,Paramètres!$A$1:$I$89,5,0)</f>
        <v>217.1988000000002</v>
      </c>
      <c r="AK82" s="14">
        <f t="shared" si="89"/>
        <v>53.505605420484088</v>
      </c>
      <c r="AL82" s="22">
        <f t="shared" si="58"/>
        <v>471.47683944067677</v>
      </c>
      <c r="AM82" s="60">
        <f t="shared" si="59"/>
        <v>741.80638682185372</v>
      </c>
      <c r="AN82" s="60">
        <f ca="1">AVERAGE(OFFSET($AM$3,0,0,'Données projet'!$E$10+1,1))-AVERAGE(OFFSET($H$3,0,0,'Données projet'!$E$10+1,1))</f>
        <v>323.1883858932618</v>
      </c>
      <c r="AO82" s="60">
        <f t="shared" si="90"/>
        <v>313.39536932399085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273.00000000000023</v>
      </c>
      <c r="BE82" s="14">
        <f>BD82*VLOOKUP('Données projet'!$B$11,Paramètres!$A$1:$I$89,3,0)*VLOOKUP('Données projet'!$B$11,Paramètres!$A$1:$I$89,5,0)</f>
        <v>200.16360000000014</v>
      </c>
      <c r="BF82" s="14">
        <f t="shared" si="91"/>
        <v>49.780120342525315</v>
      </c>
      <c r="BG82" s="22">
        <f t="shared" si="61"/>
        <v>435.31864626323181</v>
      </c>
      <c r="BH82" s="60">
        <f t="shared" si="62"/>
        <v>705.64819364440882</v>
      </c>
      <c r="BI82" s="60">
        <f ca="1">AVERAGE(OFFSET($BH$3,0,0,'Données projet'!$E$11+1,1))-AVERAGE(OFFSET($H$3,0,0,'Données projet'!$E$11+1,1))</f>
        <v>302.52480941204414</v>
      </c>
      <c r="BJ82" s="60">
        <f t="shared" si="92"/>
        <v>293.66452856196088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232.50239999999991</v>
      </c>
      <c r="CA82" s="14">
        <f t="shared" si="93"/>
        <v>56.823417677671891</v>
      </c>
      <c r="CB82" s="22">
        <f t="shared" si="64"/>
        <v>503.90913245527832</v>
      </c>
      <c r="CC82" s="60">
        <f t="shared" si="65"/>
        <v>774.23867983645528</v>
      </c>
      <c r="CD82" s="60">
        <f ca="1">AVERAGE(OFFSET($CC$3,0,0,'Données projet'!$E$12+1,1))-AVERAGE(OFFSET($H$3,0,0,'Données projet'!$E$12+1,1))</f>
        <v>442.98179778678298</v>
      </c>
      <c r="CE82" s="60">
        <f t="shared" si="94"/>
        <v>251.96153561746942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3.8461538461538511</v>
      </c>
      <c r="CT82" s="13">
        <f>IF('Données projet'!$A$140&gt;35,CT81+CS82-DB81,IF(A82&lt;'Données projet'!$A$140,$CQ$205^A82,IF(A82='Données projet'!$A$140,'Données projet'!$B$140,CT81+CS82-DB81)))</f>
        <v>202.56410256410246</v>
      </c>
      <c r="CU82" s="18">
        <f>CT82*VLOOKUP('Données projet'!$B$13,Paramètres!$A$1:$I$89,3,0)*VLOOKUP('Données projet'!$B$13,Paramètres!$A$1:$I$89,5,0)</f>
        <v>192.75999999999991</v>
      </c>
      <c r="CV82" s="14">
        <f t="shared" si="95"/>
        <v>48.149636551965187</v>
      </c>
      <c r="CW82" s="22">
        <f t="shared" si="67"/>
        <v>419.58428366133921</v>
      </c>
      <c r="CX82" s="60">
        <f t="shared" si="68"/>
        <v>689.91383104251622</v>
      </c>
      <c r="CY82" s="60">
        <f ca="1">AVERAGE(OFFSET($CX$3,0,0,'Données projet'!$E$13+1,1))-AVERAGE(OFFSET($H$3,0,0,'Données projet'!$E$13+1,1))</f>
        <v>388.53310909800695</v>
      </c>
      <c r="CZ82" s="60">
        <f t="shared" si="96"/>
        <v>263.82153161042811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0">
        <f t="shared" si="55"/>
        <v>822.56140070048309</v>
      </c>
      <c r="S83" s="60">
        <f ca="1">AVERAGE(OFFSET($R$3,0,0,'Données projet'!$E$9+1,1))-AVERAGE(OFFSET($H$3,0,0,'Données projet'!$E$9+1,1))</f>
        <v>469.67944008675863</v>
      </c>
      <c r="T83" s="60">
        <f t="shared" si="88"/>
        <v>266.11908070867173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276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276.00000000000023</v>
      </c>
      <c r="AJ83" s="14">
        <f>AI83*VLOOKUP('Données projet'!$B$10,Paramètres!$A$1:$I$89,3,0)*VLOOKUP('Données projet'!$B$10,Paramètres!$A$1:$I$89,5,0)</f>
        <v>219.58560000000017</v>
      </c>
      <c r="AK83" s="14">
        <f t="shared" si="89"/>
        <v>54.024808047218592</v>
      </c>
      <c r="AL83" s="22">
        <f t="shared" si="58"/>
        <v>476.5381273489059</v>
      </c>
      <c r="AM83" s="60">
        <f t="shared" si="59"/>
        <v>747.26673898759202</v>
      </c>
      <c r="AN83" s="60">
        <f ca="1">AVERAGE(OFFSET($AM$3,0,0,'Données projet'!$E$10+1,1))-AVERAGE(OFFSET($H$3,0,0,'Données projet'!$E$10+1,1))</f>
        <v>323.1883858932618</v>
      </c>
      <c r="AO83" s="60">
        <f t="shared" si="90"/>
        <v>313.39536932399085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276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276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276.00000000000023</v>
      </c>
      <c r="BE83" s="14">
        <f>BD83*VLOOKUP('Données projet'!$B$11,Paramètres!$A$1:$I$89,3,0)*VLOOKUP('Données projet'!$B$11,Paramètres!$A$1:$I$89,5,0)</f>
        <v>202.36320000000018</v>
      </c>
      <c r="BF83" s="14">
        <f t="shared" si="91"/>
        <v>50.263171959975224</v>
      </c>
      <c r="BG83" s="22">
        <f t="shared" si="61"/>
        <v>439.99093116362383</v>
      </c>
      <c r="BH83" s="60">
        <f t="shared" si="62"/>
        <v>710.71954280230989</v>
      </c>
      <c r="BI83" s="60">
        <f ca="1">AVERAGE(OFFSET($BH$3,0,0,'Données projet'!$E$11+1,1))-AVERAGE(OFFSET($H$3,0,0,'Données projet'!$E$11+1,1))</f>
        <v>302.52480941204414</v>
      </c>
      <c r="BJ83" s="60">
        <f t="shared" si="92"/>
        <v>293.66452856196088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276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237.55679999999992</v>
      </c>
      <c r="CA83" s="14">
        <f t="shared" si="93"/>
        <v>57.913551469467308</v>
      </c>
      <c r="CB83" s="22">
        <f t="shared" si="64"/>
        <v>514.61086214265538</v>
      </c>
      <c r="CC83" s="60">
        <f t="shared" si="65"/>
        <v>785.33947378134144</v>
      </c>
      <c r="CD83" s="60">
        <f ca="1">AVERAGE(OFFSET($CC$3,0,0,'Données projet'!$E$12+1,1))-AVERAGE(OFFSET($H$3,0,0,'Données projet'!$E$12+1,1))</f>
        <v>442.98179778678298</v>
      </c>
      <c r="CE83" s="60">
        <f t="shared" si="94"/>
        <v>251.96153561746942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206.41025641025641</v>
      </c>
      <c r="CR83" s="13">
        <f>VLOOKUP(A83,'Données projet'!$A$139:$I$159,9,0)</f>
        <v>3.8461538461538511</v>
      </c>
      <c r="CS83" s="13">
        <f t="array" ref="CS83">INDEX(CR:CR,MIN(IF(ISNUMBER(CR83:CR279),ROW(CR83:CR279),"")))</f>
        <v>3.8461538461538511</v>
      </c>
      <c r="CT83" s="13">
        <f>IF('Données projet'!$A$140&gt;35,CT82+CS83-DB82,IF(A83&lt;'Données projet'!$A$140,$CQ$205^A83,IF(A83='Données projet'!$A$140,'Données projet'!$B$140,CT82+CS83-DB82)))</f>
        <v>206.4102564102563</v>
      </c>
      <c r="CU83" s="18">
        <f>CT83*VLOOKUP('Données projet'!$B$13,Paramètres!$A$1:$I$89,3,0)*VLOOKUP('Données projet'!$B$13,Paramètres!$A$1:$I$89,5,0)</f>
        <v>196.4199999999999</v>
      </c>
      <c r="CV83" s="14">
        <f t="shared" si="95"/>
        <v>48.956566921958114</v>
      </c>
      <c r="CW83" s="22">
        <f t="shared" si="67"/>
        <v>427.3641873890769</v>
      </c>
      <c r="CX83" s="60">
        <f t="shared" si="68"/>
        <v>698.09279902776302</v>
      </c>
      <c r="CY83" s="60">
        <f ca="1">AVERAGE(OFFSET($CX$3,0,0,'Données projet'!$E$13+1,1))-AVERAGE(OFFSET($H$3,0,0,'Données projet'!$E$13+1,1))</f>
        <v>388.53310909800695</v>
      </c>
      <c r="CZ83" s="60">
        <f t="shared" si="96"/>
        <v>263.82153161042811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0">
        <f t="shared" si="55"/>
        <v>753.24151115717973</v>
      </c>
      <c r="S84" s="60">
        <f ca="1">AVERAGE(OFFSET($R$3,0,0,'Données projet'!$E$9+1,1))-AVERAGE(OFFSET($H$3,0,0,'Données projet'!$E$9+1,1))</f>
        <v>469.67944008675863</v>
      </c>
      <c r="T84" s="60">
        <f t="shared" si="88"/>
        <v>266.11908070867173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1.8089849618263545E-13</v>
      </c>
      <c r="AK84" s="14">
        <f t="shared" si="89"/>
        <v>2.536422473342444E-12</v>
      </c>
      <c r="AL84" s="22">
        <f t="shared" si="58"/>
        <v>4.7326673552561798E-12</v>
      </c>
      <c r="AM84" s="60">
        <f t="shared" si="59"/>
        <v>271.12075302350615</v>
      </c>
      <c r="AN84" s="60">
        <f ca="1">AVERAGE(OFFSET($AM$3,0,0,'Données projet'!$E$10+1,1))-AVERAGE(OFFSET($H$3,0,0,'Données projet'!$E$10+1,1))</f>
        <v>323.1883858932618</v>
      </c>
      <c r="AO84" s="60">
        <f t="shared" si="90"/>
        <v>313.39536932399085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2.2737367544323206E-13</v>
      </c>
      <c r="BE84" s="14">
        <f>BD84*VLOOKUP('Données projet'!$B$11,Paramètres!$A$1:$I$89,3,0)*VLOOKUP('Données projet'!$B$11,Paramètres!$A$1:$I$89,5,0)</f>
        <v>1.6671037883497774E-13</v>
      </c>
      <c r="BF84" s="14">
        <f t="shared" si="91"/>
        <v>2.3598166018346595E-12</v>
      </c>
      <c r="BG84" s="22">
        <f t="shared" si="61"/>
        <v>4.400367824666284E-12</v>
      </c>
      <c r="BH84" s="60">
        <f t="shared" si="62"/>
        <v>271.12075302350581</v>
      </c>
      <c r="BI84" s="60">
        <f ca="1">AVERAGE(OFFSET($BH$3,0,0,'Données projet'!$E$11+1,1))-AVERAGE(OFFSET($H$3,0,0,'Données projet'!$E$11+1,1))</f>
        <v>302.52480941204414</v>
      </c>
      <c r="BJ84" s="60">
        <f t="shared" si="92"/>
        <v>293.66452856196088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206.89343999999994</v>
      </c>
      <c r="CA84" s="14">
        <f t="shared" si="93"/>
        <v>51.256136462199102</v>
      </c>
      <c r="CB84" s="22">
        <f t="shared" si="64"/>
        <v>449.61051233832995</v>
      </c>
      <c r="CC84" s="60">
        <f t="shared" si="65"/>
        <v>720.73126536183145</v>
      </c>
      <c r="CD84" s="60">
        <f ca="1">AVERAGE(OFFSET($CC$3,0,0,'Données projet'!$E$12+1,1))-AVERAGE(OFFSET($H$3,0,0,'Données projet'!$E$12+1,1))</f>
        <v>442.98179778678298</v>
      </c>
      <c r="CE84" s="60">
        <f t="shared" si="94"/>
        <v>251.96153561746942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3.7179487179487181</v>
      </c>
      <c r="CT84" s="13">
        <f>IF('Données projet'!$A$140&gt;35,CT83+CS84-DB83,IF(A84&lt;'Données projet'!$A$140,$CQ$205^A84,IF(A84='Données projet'!$A$140,'Données projet'!$B$140,CT83+CS84-DB83)))</f>
        <v>210.12820512820502</v>
      </c>
      <c r="CU84" s="18">
        <f>CT84*VLOOKUP('Données projet'!$B$13,Paramètres!$A$1:$I$89,3,0)*VLOOKUP('Données projet'!$B$13,Paramètres!$A$1:$I$89,5,0)</f>
        <v>199.95799999999991</v>
      </c>
      <c r="CV84" s="14">
        <f t="shared" si="95"/>
        <v>49.734937283774826</v>
      </c>
      <c r="CW84" s="22">
        <f t="shared" si="67"/>
        <v>434.88186576924096</v>
      </c>
      <c r="CX84" s="60">
        <f t="shared" si="68"/>
        <v>706.0026187927424</v>
      </c>
      <c r="CY84" s="60">
        <f ca="1">AVERAGE(OFFSET($CX$3,0,0,'Données projet'!$E$13+1,1))-AVERAGE(OFFSET($H$3,0,0,'Données projet'!$E$13+1,1))</f>
        <v>388.53310909800695</v>
      </c>
      <c r="CZ84" s="60">
        <f t="shared" si="96"/>
        <v>263.82153161042811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0">
        <f t="shared" si="55"/>
        <v>764.36493575445309</v>
      </c>
      <c r="S85" s="60">
        <f ca="1">AVERAGE(OFFSET($R$3,0,0,'Données projet'!$E$9+1,1))-AVERAGE(OFFSET($H$3,0,0,'Données projet'!$E$9+1,1))</f>
        <v>469.67944008675863</v>
      </c>
      <c r="T85" s="60">
        <f t="shared" si="88"/>
        <v>266.11908070867173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1.8089849618263545E-13</v>
      </c>
      <c r="AK85" s="14">
        <f t="shared" si="89"/>
        <v>2.536422473342444E-12</v>
      </c>
      <c r="AL85" s="22">
        <f t="shared" si="58"/>
        <v>4.7326673552561798E-12</v>
      </c>
      <c r="AM85" s="60">
        <f t="shared" si="59"/>
        <v>271.50609163199175</v>
      </c>
      <c r="AN85" s="60">
        <f ca="1">AVERAGE(OFFSET($AM$3,0,0,'Données projet'!$E$10+1,1))-AVERAGE(OFFSET($H$3,0,0,'Données projet'!$E$10+1,1))</f>
        <v>323.1883858932618</v>
      </c>
      <c r="AO85" s="60">
        <f t="shared" si="90"/>
        <v>313.39536932399085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2.2737367544323206E-13</v>
      </c>
      <c r="BE85" s="14">
        <f>BD85*VLOOKUP('Données projet'!$B$11,Paramètres!$A$1:$I$89,3,0)*VLOOKUP('Données projet'!$B$11,Paramètres!$A$1:$I$89,5,0)</f>
        <v>1.6671037883497774E-13</v>
      </c>
      <c r="BF85" s="14">
        <f t="shared" si="91"/>
        <v>2.3598166018346595E-12</v>
      </c>
      <c r="BG85" s="22">
        <f t="shared" si="61"/>
        <v>4.400367824666284E-12</v>
      </c>
      <c r="BH85" s="60">
        <f t="shared" si="62"/>
        <v>271.50609163199141</v>
      </c>
      <c r="BI85" s="60">
        <f ca="1">AVERAGE(OFFSET($BH$3,0,0,'Données projet'!$E$11+1,1))-AVERAGE(OFFSET($H$3,0,0,'Données projet'!$E$11+1,1))</f>
        <v>302.52480941204414</v>
      </c>
      <c r="BJ85" s="60">
        <f t="shared" si="92"/>
        <v>293.66452856196088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211.61087999999995</v>
      </c>
      <c r="CA85" s="14">
        <f t="shared" si="93"/>
        <v>52.287446798055761</v>
      </c>
      <c r="CB85" s="22">
        <f t="shared" si="64"/>
        <v>459.62291917328042</v>
      </c>
      <c r="CC85" s="60">
        <f t="shared" si="65"/>
        <v>731.1290108052674</v>
      </c>
      <c r="CD85" s="60">
        <f ca="1">AVERAGE(OFFSET($CC$3,0,0,'Données projet'!$E$12+1,1))-AVERAGE(OFFSET($H$3,0,0,'Données projet'!$E$12+1,1))</f>
        <v>442.98179778678298</v>
      </c>
      <c r="CE85" s="60">
        <f t="shared" si="94"/>
        <v>251.96153561746942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3.7179487179487181</v>
      </c>
      <c r="CT85" s="13">
        <f>IF('Données projet'!$A$140&gt;35,CT84+CS85-DB84,IF(A85&lt;'Données projet'!$A$140,$CQ$205^A85,IF(A85='Données projet'!$A$140,'Données projet'!$B$140,CT84+CS85-DB84)))</f>
        <v>213.84615384615375</v>
      </c>
      <c r="CU85" s="18">
        <f>CT85*VLOOKUP('Données projet'!$B$13,Paramètres!$A$1:$I$89,3,0)*VLOOKUP('Données projet'!$B$13,Paramètres!$A$1:$I$89,5,0)</f>
        <v>203.4959999999999</v>
      </c>
      <c r="CV85" s="14">
        <f t="shared" si="95"/>
        <v>50.511706115422356</v>
      </c>
      <c r="CW85" s="22">
        <f t="shared" si="67"/>
        <v>442.39675481769376</v>
      </c>
      <c r="CX85" s="60">
        <f t="shared" si="68"/>
        <v>713.90284644968074</v>
      </c>
      <c r="CY85" s="60">
        <f ca="1">AVERAGE(OFFSET($CX$3,0,0,'Données projet'!$E$13+1,1))-AVERAGE(OFFSET($H$3,0,0,'Données projet'!$E$13+1,1))</f>
        <v>388.53310909800695</v>
      </c>
      <c r="CZ85" s="60">
        <f t="shared" si="96"/>
        <v>263.82153161042811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0">
        <f t="shared" si="55"/>
        <v>775.47671683736985</v>
      </c>
      <c r="S86" s="60">
        <f ca="1">AVERAGE(OFFSET($R$3,0,0,'Données projet'!$E$9+1,1))-AVERAGE(OFFSET($H$3,0,0,'Données projet'!$E$9+1,1))</f>
        <v>469.67944008675863</v>
      </c>
      <c r="T86" s="60">
        <f t="shared" si="88"/>
        <v>266.11908070867173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1.8089849618263545E-13</v>
      </c>
      <c r="AK86" s="14">
        <f t="shared" si="89"/>
        <v>2.536422473342444E-12</v>
      </c>
      <c r="AL86" s="22">
        <f t="shared" si="58"/>
        <v>4.7326673552561798E-12</v>
      </c>
      <c r="AM86" s="60">
        <f t="shared" si="59"/>
        <v>271.8847454771082</v>
      </c>
      <c r="AN86" s="60">
        <f ca="1">AVERAGE(OFFSET($AM$3,0,0,'Données projet'!$E$10+1,1))-AVERAGE(OFFSET($H$3,0,0,'Données projet'!$E$10+1,1))</f>
        <v>323.1883858932618</v>
      </c>
      <c r="AO86" s="60">
        <f t="shared" si="90"/>
        <v>313.39536932399085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2.2737367544323206E-13</v>
      </c>
      <c r="BE86" s="14">
        <f>BD86*VLOOKUP('Données projet'!$B$11,Paramètres!$A$1:$I$89,3,0)*VLOOKUP('Données projet'!$B$11,Paramètres!$A$1:$I$89,5,0)</f>
        <v>1.6671037883497774E-13</v>
      </c>
      <c r="BF86" s="14">
        <f t="shared" si="91"/>
        <v>2.3598166018346595E-12</v>
      </c>
      <c r="BG86" s="22">
        <f t="shared" si="61"/>
        <v>4.400367824666284E-12</v>
      </c>
      <c r="BH86" s="60">
        <f t="shared" si="62"/>
        <v>271.88474547710786</v>
      </c>
      <c r="BI86" s="60">
        <f ca="1">AVERAGE(OFFSET($BH$3,0,0,'Données projet'!$E$11+1,1))-AVERAGE(OFFSET($H$3,0,0,'Données projet'!$E$11+1,1))</f>
        <v>302.52480941204414</v>
      </c>
      <c r="BJ86" s="60">
        <f t="shared" si="92"/>
        <v>293.66452856196088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216.32831999999991</v>
      </c>
      <c r="CA86" s="14">
        <f t="shared" si="93"/>
        <v>53.316084217295149</v>
      </c>
      <c r="CB86" s="22">
        <f t="shared" si="64"/>
        <v>469.6306706784556</v>
      </c>
      <c r="CC86" s="60">
        <f t="shared" si="65"/>
        <v>741.51541615555902</v>
      </c>
      <c r="CD86" s="60">
        <f ca="1">AVERAGE(OFFSET($CC$3,0,0,'Données projet'!$E$12+1,1))-AVERAGE(OFFSET($H$3,0,0,'Données projet'!$E$12+1,1))</f>
        <v>442.98179778678298</v>
      </c>
      <c r="CE86" s="60">
        <f t="shared" si="94"/>
        <v>251.96153561746942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3.7179487179487181</v>
      </c>
      <c r="CT86" s="13">
        <f>IF('Données projet'!$A$140&gt;35,CT85+CS86-DB85,IF(A86&lt;'Données projet'!$A$140,$CQ$205^A86,IF(A86='Données projet'!$A$140,'Données projet'!$B$140,CT85+CS86-DB85)))</f>
        <v>217.56410256410248</v>
      </c>
      <c r="CU86" s="18">
        <f>CT86*VLOOKUP('Données projet'!$B$13,Paramètres!$A$1:$I$89,3,0)*VLOOKUP('Données projet'!$B$13,Paramètres!$A$1:$I$89,5,0)</f>
        <v>207.03399999999993</v>
      </c>
      <c r="CV86" s="14">
        <f t="shared" si="95"/>
        <v>51.286904474053166</v>
      </c>
      <c r="CW86" s="22">
        <f t="shared" si="67"/>
        <v>449.90890862564248</v>
      </c>
      <c r="CX86" s="60">
        <f t="shared" si="68"/>
        <v>721.7936541027459</v>
      </c>
      <c r="CY86" s="60">
        <f ca="1">AVERAGE(OFFSET($CX$3,0,0,'Données projet'!$E$13+1,1))-AVERAGE(OFFSET($H$3,0,0,'Données projet'!$E$13+1,1))</f>
        <v>388.53310909800695</v>
      </c>
      <c r="CZ86" s="60">
        <f t="shared" si="96"/>
        <v>263.82153161042811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0">
        <f t="shared" si="55"/>
        <v>786.57709095949235</v>
      </c>
      <c r="S87" s="60">
        <f ca="1">AVERAGE(OFFSET($R$3,0,0,'Données projet'!$E$9+1,1))-AVERAGE(OFFSET($H$3,0,0,'Données projet'!$E$9+1,1))</f>
        <v>469.67944008675863</v>
      </c>
      <c r="T87" s="60">
        <f t="shared" si="88"/>
        <v>266.11908070867173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1.8089849618263545E-13</v>
      </c>
      <c r="AK87" s="14">
        <f t="shared" si="89"/>
        <v>2.536422473342444E-12</v>
      </c>
      <c r="AL87" s="22">
        <f t="shared" si="58"/>
        <v>4.7326673552561798E-12</v>
      </c>
      <c r="AM87" s="60">
        <f t="shared" si="59"/>
        <v>272.25683052455503</v>
      </c>
      <c r="AN87" s="60">
        <f ca="1">AVERAGE(OFFSET($AM$3,0,0,'Données projet'!$E$10+1,1))-AVERAGE(OFFSET($H$3,0,0,'Données projet'!$E$10+1,1))</f>
        <v>323.1883858932618</v>
      </c>
      <c r="AO87" s="60">
        <f t="shared" si="90"/>
        <v>313.39536932399085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2.2737367544323206E-13</v>
      </c>
      <c r="BE87" s="14">
        <f>BD87*VLOOKUP('Données projet'!$B$11,Paramètres!$A$1:$I$89,3,0)*VLOOKUP('Données projet'!$B$11,Paramètres!$A$1:$I$89,5,0)</f>
        <v>1.6671037883497774E-13</v>
      </c>
      <c r="BF87" s="14">
        <f t="shared" si="91"/>
        <v>2.3598166018346595E-12</v>
      </c>
      <c r="BG87" s="22">
        <f t="shared" si="61"/>
        <v>4.400367824666284E-12</v>
      </c>
      <c r="BH87" s="60">
        <f t="shared" si="62"/>
        <v>272.25683052455469</v>
      </c>
      <c r="BI87" s="60">
        <f ca="1">AVERAGE(OFFSET($BH$3,0,0,'Données projet'!$E$11+1,1))-AVERAGE(OFFSET($H$3,0,0,'Données projet'!$E$11+1,1))</f>
        <v>302.52480941204414</v>
      </c>
      <c r="BJ87" s="60">
        <f t="shared" si="92"/>
        <v>293.66452856196088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221.04575999999997</v>
      </c>
      <c r="CA87" s="14">
        <f t="shared" si="93"/>
        <v>54.342113720419057</v>
      </c>
      <c r="CB87" s="22">
        <f t="shared" si="64"/>
        <v>479.63388006306309</v>
      </c>
      <c r="CC87" s="60">
        <f t="shared" si="65"/>
        <v>751.8907105876134</v>
      </c>
      <c r="CD87" s="60">
        <f ca="1">AVERAGE(OFFSET($CC$3,0,0,'Données projet'!$E$12+1,1))-AVERAGE(OFFSET($H$3,0,0,'Données projet'!$E$12+1,1))</f>
        <v>442.98179778678298</v>
      </c>
      <c r="CE87" s="60">
        <f t="shared" si="94"/>
        <v>251.96153561746942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3.7179487179487181</v>
      </c>
      <c r="CT87" s="13">
        <f>IF('Données projet'!$A$140&gt;35,CT86+CS87-DB86,IF(A87&lt;'Données projet'!$A$140,$CQ$205^A87,IF(A87='Données projet'!$A$140,'Données projet'!$B$140,CT86+CS87-DB86)))</f>
        <v>221.28205128205121</v>
      </c>
      <c r="CU87" s="18">
        <f>CT87*VLOOKUP('Données projet'!$B$13,Paramètres!$A$1:$I$89,3,0)*VLOOKUP('Données projet'!$B$13,Paramètres!$A$1:$I$89,5,0)</f>
        <v>210.57199999999992</v>
      </c>
      <c r="CV87" s="14">
        <f t="shared" si="95"/>
        <v>52.060562294525134</v>
      </c>
      <c r="CW87" s="22">
        <f t="shared" si="67"/>
        <v>457.41837932963108</v>
      </c>
      <c r="CX87" s="60">
        <f t="shared" si="68"/>
        <v>729.67520985418139</v>
      </c>
      <c r="CY87" s="60">
        <f ca="1">AVERAGE(OFFSET($CX$3,0,0,'Données projet'!$E$13+1,1))-AVERAGE(OFFSET($H$3,0,0,'Données projet'!$E$13+1,1))</f>
        <v>388.53310909800695</v>
      </c>
      <c r="CZ87" s="60">
        <f t="shared" si="96"/>
        <v>263.82153161042811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0">
        <f t="shared" si="55"/>
        <v>797.66628722155497</v>
      </c>
      <c r="S88" s="60">
        <f ca="1">AVERAGE(OFFSET($R$3,0,0,'Données projet'!$E$9+1,1))-AVERAGE(OFFSET($H$3,0,0,'Données projet'!$E$9+1,1))</f>
        <v>469.67944008675863</v>
      </c>
      <c r="T88" s="60">
        <f t="shared" si="88"/>
        <v>266.11908070867173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1.8089849618263545E-13</v>
      </c>
      <c r="AK88" s="14">
        <f t="shared" si="89"/>
        <v>2.536422473342444E-12</v>
      </c>
      <c r="AL88" s="22">
        <f t="shared" si="58"/>
        <v>4.7326673552561798E-12</v>
      </c>
      <c r="AM88" s="60">
        <f t="shared" si="59"/>
        <v>272.62246072828623</v>
      </c>
      <c r="AN88" s="60">
        <f ca="1">AVERAGE(OFFSET($AM$3,0,0,'Données projet'!$E$10+1,1))-AVERAGE(OFFSET($H$3,0,0,'Données projet'!$E$10+1,1))</f>
        <v>323.1883858932618</v>
      </c>
      <c r="AO88" s="60">
        <f t="shared" si="90"/>
        <v>313.39536932399085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2.2737367544323206E-13</v>
      </c>
      <c r="BE88" s="14">
        <f>BD88*VLOOKUP('Données projet'!$B$11,Paramètres!$A$1:$I$89,3,0)*VLOOKUP('Données projet'!$B$11,Paramètres!$A$1:$I$89,5,0)</f>
        <v>1.6671037883497774E-13</v>
      </c>
      <c r="BF88" s="14">
        <f t="shared" si="91"/>
        <v>2.3598166018346595E-12</v>
      </c>
      <c r="BG88" s="22">
        <f t="shared" si="61"/>
        <v>4.400367824666284E-12</v>
      </c>
      <c r="BH88" s="60">
        <f t="shared" si="62"/>
        <v>272.62246072828589</v>
      </c>
      <c r="BI88" s="60">
        <f ca="1">AVERAGE(OFFSET($BH$3,0,0,'Données projet'!$E$11+1,1))-AVERAGE(OFFSET($H$3,0,0,'Données projet'!$E$11+1,1))</f>
        <v>302.52480941204414</v>
      </c>
      <c r="BJ88" s="60">
        <f t="shared" si="92"/>
        <v>293.66452856196088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225.76319999999996</v>
      </c>
      <c r="CA88" s="14">
        <f t="shared" si="93"/>
        <v>55.365597375021402</v>
      </c>
      <c r="CB88" s="22">
        <f t="shared" si="64"/>
        <v>489.6326554281622</v>
      </c>
      <c r="CC88" s="60">
        <f t="shared" si="65"/>
        <v>762.25511615644371</v>
      </c>
      <c r="CD88" s="60">
        <f ca="1">AVERAGE(OFFSET($CC$3,0,0,'Données projet'!$E$12+1,1))-AVERAGE(OFFSET($H$3,0,0,'Données projet'!$E$12+1,1))</f>
        <v>442.98179778678298</v>
      </c>
      <c r="CE88" s="60">
        <f t="shared" si="94"/>
        <v>251.96153561746942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225</v>
      </c>
      <c r="CR88" s="13">
        <f>VLOOKUP(A88,'Données projet'!$A$139:$I$159,9,0)</f>
        <v>3.7179487179487181</v>
      </c>
      <c r="CS88" s="13">
        <f t="array" ref="CS88">INDEX(CR:CR,MIN(IF(ISNUMBER(CR88:CR284),ROW(CR88:CR284),"")))</f>
        <v>3.7179487179487181</v>
      </c>
      <c r="CT88" s="13">
        <f>IF('Données projet'!$A$140&gt;35,CT87+CS88-DB87,IF(A88&lt;'Données projet'!$A$140,$CQ$205^A88,IF(A88='Données projet'!$A$140,'Données projet'!$B$140,CT87+CS88-DB87)))</f>
        <v>224.99999999999994</v>
      </c>
      <c r="CU88" s="18">
        <f>CT88*VLOOKUP('Données projet'!$B$13,Paramètres!$A$1:$I$89,3,0)*VLOOKUP('Données projet'!$B$13,Paramètres!$A$1:$I$89,5,0)</f>
        <v>214.10999999999996</v>
      </c>
      <c r="CV88" s="14">
        <f t="shared" si="95"/>
        <v>52.832708448119902</v>
      </c>
      <c r="CW88" s="22">
        <f t="shared" si="67"/>
        <v>464.92521721380871</v>
      </c>
      <c r="CX88" s="60">
        <f t="shared" si="68"/>
        <v>737.54767794209022</v>
      </c>
      <c r="CY88" s="60">
        <f ca="1">AVERAGE(OFFSET($CX$3,0,0,'Données projet'!$E$13+1,1))-AVERAGE(OFFSET($H$3,0,0,'Données projet'!$E$13+1,1))</f>
        <v>388.53310909800695</v>
      </c>
      <c r="CZ88" s="60">
        <f t="shared" si="96"/>
        <v>263.82153161042811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25.641025641025639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0">
        <f t="shared" si="55"/>
        <v>808.7445276603537</v>
      </c>
      <c r="S89" s="60">
        <f ca="1">AVERAGE(OFFSET($R$3,0,0,'Données projet'!$E$9+1,1))-AVERAGE(OFFSET($H$3,0,0,'Données projet'!$E$9+1,1))</f>
        <v>469.67944008675863</v>
      </c>
      <c r="T89" s="60">
        <f t="shared" si="88"/>
        <v>266.11908070867173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1.8089849618263545E-13</v>
      </c>
      <c r="AK89" s="14">
        <f t="shared" si="89"/>
        <v>2.536422473342444E-12</v>
      </c>
      <c r="AL89" s="22">
        <f t="shared" si="58"/>
        <v>4.7326673552561798E-12</v>
      </c>
      <c r="AM89" s="60">
        <f t="shared" si="59"/>
        <v>272.98174806540942</v>
      </c>
      <c r="AN89" s="60">
        <f ca="1">AVERAGE(OFFSET($AM$3,0,0,'Données projet'!$E$10+1,1))-AVERAGE(OFFSET($H$3,0,0,'Données projet'!$E$10+1,1))</f>
        <v>323.1883858932618</v>
      </c>
      <c r="AO89" s="60">
        <f t="shared" si="90"/>
        <v>313.39536932399085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2.2737367544323206E-13</v>
      </c>
      <c r="BE89" s="14">
        <f>BD89*VLOOKUP('Données projet'!$B$11,Paramètres!$A$1:$I$89,3,0)*VLOOKUP('Données projet'!$B$11,Paramètres!$A$1:$I$89,5,0)</f>
        <v>1.6671037883497774E-13</v>
      </c>
      <c r="BF89" s="14">
        <f t="shared" si="91"/>
        <v>2.3598166018346595E-12</v>
      </c>
      <c r="BG89" s="22">
        <f t="shared" si="61"/>
        <v>4.400367824666284E-12</v>
      </c>
      <c r="BH89" s="60">
        <f t="shared" si="62"/>
        <v>272.98174806540908</v>
      </c>
      <c r="BI89" s="60">
        <f ca="1">AVERAGE(OFFSET($BH$3,0,0,'Données projet'!$E$11+1,1))-AVERAGE(OFFSET($H$3,0,0,'Données projet'!$E$11+1,1))</f>
        <v>302.52480941204414</v>
      </c>
      <c r="BJ89" s="60">
        <f t="shared" si="92"/>
        <v>293.66452856196088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230.48063999999999</v>
      </c>
      <c r="CA89" s="14">
        <f t="shared" si="93"/>
        <v>56.386594506599792</v>
      </c>
      <c r="CB89" s="22">
        <f t="shared" si="64"/>
        <v>499.62710009899462</v>
      </c>
      <c r="CC89" s="60">
        <f t="shared" si="65"/>
        <v>772.60884816439932</v>
      </c>
      <c r="CD89" s="60">
        <f ca="1">AVERAGE(OFFSET($CC$3,0,0,'Données projet'!$E$12+1,1))-AVERAGE(OFFSET($H$3,0,0,'Données projet'!$E$12+1,1))</f>
        <v>442.98179778678298</v>
      </c>
      <c r="CE89" s="60">
        <f t="shared" si="94"/>
        <v>251.96153561746942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3.5897435897435854</v>
      </c>
      <c r="CT89" s="13">
        <f>IF('Données projet'!$A$140&gt;35,CT88+CS89-DB88,IF(A89&lt;'Données projet'!$A$140,$CQ$205^A89,IF(A89='Données projet'!$A$140,'Données projet'!$B$140,CT88+CS89-DB88)))</f>
        <v>202.9487179487179</v>
      </c>
      <c r="CU89" s="18">
        <f>CT89*VLOOKUP('Données projet'!$B$13,Paramètres!$A$1:$I$89,3,0)*VLOOKUP('Données projet'!$B$13,Paramètres!$A$1:$I$89,5,0)</f>
        <v>193.12599999999998</v>
      </c>
      <c r="CV89" s="14">
        <f t="shared" si="95"/>
        <v>48.230409312753999</v>
      </c>
      <c r="CW89" s="22">
        <f t="shared" si="67"/>
        <v>420.36241288637984</v>
      </c>
      <c r="CX89" s="60">
        <f t="shared" si="68"/>
        <v>693.34416095178449</v>
      </c>
      <c r="CY89" s="60">
        <f ca="1">AVERAGE(OFFSET($CX$3,0,0,'Données projet'!$E$13+1,1))-AVERAGE(OFFSET($H$3,0,0,'Données projet'!$E$13+1,1))</f>
        <v>388.53310909800695</v>
      </c>
      <c r="CZ89" s="60">
        <f t="shared" si="96"/>
        <v>263.82153161042811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0">
        <f t="shared" si="55"/>
        <v>819.8120276072284</v>
      </c>
      <c r="S90" s="60">
        <f ca="1">AVERAGE(OFFSET($R$3,0,0,'Données projet'!$E$9+1,1))-AVERAGE(OFFSET($H$3,0,0,'Données projet'!$E$9+1,1))</f>
        <v>469.67944008675863</v>
      </c>
      <c r="T90" s="60">
        <f t="shared" si="88"/>
        <v>266.11908070867173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1.8089849618263545E-13</v>
      </c>
      <c r="AK90" s="14">
        <f t="shared" si="89"/>
        <v>2.536422473342444E-12</v>
      </c>
      <c r="AL90" s="22">
        <f t="shared" si="58"/>
        <v>4.7326673552561798E-12</v>
      </c>
      <c r="AM90" s="60">
        <f t="shared" si="59"/>
        <v>273.33480257047955</v>
      </c>
      <c r="AN90" s="60">
        <f ca="1">AVERAGE(OFFSET($AM$3,0,0,'Données projet'!$E$10+1,1))-AVERAGE(OFFSET($H$3,0,0,'Données projet'!$E$10+1,1))</f>
        <v>323.1883858932618</v>
      </c>
      <c r="AO90" s="60">
        <f t="shared" si="90"/>
        <v>313.39536932399085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2.2737367544323206E-13</v>
      </c>
      <c r="BE90" s="14">
        <f>BD90*VLOOKUP('Données projet'!$B$11,Paramètres!$A$1:$I$89,3,0)*VLOOKUP('Données projet'!$B$11,Paramètres!$A$1:$I$89,5,0)</f>
        <v>1.6671037883497774E-13</v>
      </c>
      <c r="BF90" s="14">
        <f t="shared" si="91"/>
        <v>2.3598166018346595E-12</v>
      </c>
      <c r="BG90" s="22">
        <f t="shared" si="61"/>
        <v>4.400367824666284E-12</v>
      </c>
      <c r="BH90" s="60">
        <f t="shared" si="62"/>
        <v>273.33480257047921</v>
      </c>
      <c r="BI90" s="60">
        <f ca="1">AVERAGE(OFFSET($BH$3,0,0,'Données projet'!$E$11+1,1))-AVERAGE(OFFSET($H$3,0,0,'Données projet'!$E$11+1,1))</f>
        <v>302.52480941204414</v>
      </c>
      <c r="BJ90" s="60">
        <f t="shared" si="92"/>
        <v>293.66452856196088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235.19808</v>
      </c>
      <c r="CA90" s="14">
        <f t="shared" si="93"/>
        <v>57.40516187330315</v>
      </c>
      <c r="CB90" s="22">
        <f t="shared" si="64"/>
        <v>509.61731292933632</v>
      </c>
      <c r="CC90" s="60">
        <f t="shared" si="65"/>
        <v>782.95211549981116</v>
      </c>
      <c r="CD90" s="60">
        <f ca="1">AVERAGE(OFFSET($CC$3,0,0,'Données projet'!$E$12+1,1))-AVERAGE(OFFSET($H$3,0,0,'Données projet'!$E$12+1,1))</f>
        <v>442.98179778678298</v>
      </c>
      <c r="CE90" s="60">
        <f t="shared" si="94"/>
        <v>251.96153561746942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3.5897435897435854</v>
      </c>
      <c r="CT90" s="13">
        <f>IF('Données projet'!$A$140&gt;35,CT89+CS90-DB89,IF(A90&lt;'Données projet'!$A$140,$CQ$205^A90,IF(A90='Données projet'!$A$140,'Données projet'!$B$140,CT89+CS90-DB89)))</f>
        <v>206.53846153846149</v>
      </c>
      <c r="CU90" s="18">
        <f>CT90*VLOOKUP('Données projet'!$B$13,Paramètres!$A$1:$I$89,3,0)*VLOOKUP('Données projet'!$B$13,Paramètres!$A$1:$I$89,5,0)</f>
        <v>196.54199999999994</v>
      </c>
      <c r="CV90" s="14">
        <f t="shared" si="95"/>
        <v>48.983434287893736</v>
      </c>
      <c r="CW90" s="22">
        <f t="shared" si="67"/>
        <v>427.62346471808149</v>
      </c>
      <c r="CX90" s="60">
        <f t="shared" si="68"/>
        <v>700.95826728855627</v>
      </c>
      <c r="CY90" s="60">
        <f ca="1">AVERAGE(OFFSET($CX$3,0,0,'Données projet'!$E$13+1,1))-AVERAGE(OFFSET($H$3,0,0,'Données projet'!$E$13+1,1))</f>
        <v>388.53310909800695</v>
      </c>
      <c r="CZ90" s="60">
        <f t="shared" si="96"/>
        <v>263.82153161042811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0">
        <f t="shared" si="55"/>
        <v>830.86899601920925</v>
      </c>
      <c r="S91" s="60">
        <f ca="1">AVERAGE(OFFSET($R$3,0,0,'Données projet'!$E$9+1,1))-AVERAGE(OFFSET($H$3,0,0,'Données projet'!$E$9+1,1))</f>
        <v>469.67944008675863</v>
      </c>
      <c r="T91" s="60">
        <f t="shared" si="88"/>
        <v>266.11908070867173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1.8089849618263545E-13</v>
      </c>
      <c r="AK91" s="14">
        <f t="shared" si="89"/>
        <v>2.536422473342444E-12</v>
      </c>
      <c r="AL91" s="22">
        <f t="shared" si="58"/>
        <v>4.7326673552561798E-12</v>
      </c>
      <c r="AM91" s="60">
        <f t="shared" si="59"/>
        <v>273.68173236919841</v>
      </c>
      <c r="AN91" s="60">
        <f ca="1">AVERAGE(OFFSET($AM$3,0,0,'Données projet'!$E$10+1,1))-AVERAGE(OFFSET($H$3,0,0,'Données projet'!$E$10+1,1))</f>
        <v>323.1883858932618</v>
      </c>
      <c r="AO91" s="60">
        <f t="shared" si="90"/>
        <v>313.39536932399085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2.2737367544323206E-13</v>
      </c>
      <c r="BE91" s="14">
        <f>BD91*VLOOKUP('Données projet'!$B$11,Paramètres!$A$1:$I$89,3,0)*VLOOKUP('Données projet'!$B$11,Paramètres!$A$1:$I$89,5,0)</f>
        <v>1.6671037883497774E-13</v>
      </c>
      <c r="BF91" s="14">
        <f t="shared" si="91"/>
        <v>2.3598166018346595E-12</v>
      </c>
      <c r="BG91" s="22">
        <f t="shared" si="61"/>
        <v>4.400367824666284E-12</v>
      </c>
      <c r="BH91" s="60">
        <f t="shared" si="62"/>
        <v>273.68173236919807</v>
      </c>
      <c r="BI91" s="60">
        <f ca="1">AVERAGE(OFFSET($BH$3,0,0,'Données projet'!$E$11+1,1))-AVERAGE(OFFSET($H$3,0,0,'Données projet'!$E$11+1,1))</f>
        <v>302.52480941204414</v>
      </c>
      <c r="BJ91" s="60">
        <f t="shared" si="92"/>
        <v>293.66452856196088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239.91552000000004</v>
      </c>
      <c r="CA91" s="14">
        <f t="shared" si="93"/>
        <v>58.421353826263946</v>
      </c>
      <c r="CB91" s="22">
        <f t="shared" si="64"/>
        <v>519.60338858074306</v>
      </c>
      <c r="CC91" s="60">
        <f t="shared" si="65"/>
        <v>793.28512094993675</v>
      </c>
      <c r="CD91" s="60">
        <f ca="1">AVERAGE(OFFSET($CC$3,0,0,'Données projet'!$E$12+1,1))-AVERAGE(OFFSET($H$3,0,0,'Données projet'!$E$12+1,1))</f>
        <v>442.98179778678298</v>
      </c>
      <c r="CE91" s="60">
        <f t="shared" si="94"/>
        <v>251.96153561746942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3.5897435897435854</v>
      </c>
      <c r="CT91" s="13">
        <f>IF('Données projet'!$A$140&gt;35,CT90+CS91-DB90,IF(A91&lt;'Données projet'!$A$140,$CQ$205^A91,IF(A91='Données projet'!$A$140,'Données projet'!$B$140,CT90+CS91-DB90)))</f>
        <v>210.12820512820508</v>
      </c>
      <c r="CU91" s="18">
        <f>CT91*VLOOKUP('Données projet'!$B$13,Paramètres!$A$1:$I$89,3,0)*VLOOKUP('Données projet'!$B$13,Paramètres!$A$1:$I$89,5,0)</f>
        <v>199.95799999999994</v>
      </c>
      <c r="CV91" s="14">
        <f t="shared" si="95"/>
        <v>49.734937283774826</v>
      </c>
      <c r="CW91" s="22">
        <f t="shared" si="67"/>
        <v>434.88186576924096</v>
      </c>
      <c r="CX91" s="60">
        <f t="shared" si="68"/>
        <v>708.5635981384346</v>
      </c>
      <c r="CY91" s="60">
        <f ca="1">AVERAGE(OFFSET($CX$3,0,0,'Données projet'!$E$13+1,1))-AVERAGE(OFFSET($H$3,0,0,'Données projet'!$E$13+1,1))</f>
        <v>388.53310909800695</v>
      </c>
      <c r="CZ91" s="60">
        <f t="shared" si="96"/>
        <v>263.82153161042811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0">
        <f t="shared" si="55"/>
        <v>841.91563578551791</v>
      </c>
      <c r="S92" s="60">
        <f ca="1">AVERAGE(OFFSET($R$3,0,0,'Données projet'!$E$9+1,1))-AVERAGE(OFFSET($H$3,0,0,'Données projet'!$E$9+1,1))</f>
        <v>469.67944008675863</v>
      </c>
      <c r="T92" s="60">
        <f t="shared" si="88"/>
        <v>266.11908070867173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1.8089849618263545E-13</v>
      </c>
      <c r="AK92" s="14">
        <f t="shared" si="89"/>
        <v>2.536422473342444E-12</v>
      </c>
      <c r="AL92" s="22">
        <f t="shared" si="58"/>
        <v>4.7326673552561798E-12</v>
      </c>
      <c r="AM92" s="60">
        <f t="shared" si="59"/>
        <v>274.0226437115283</v>
      </c>
      <c r="AN92" s="60">
        <f ca="1">AVERAGE(OFFSET($AM$3,0,0,'Données projet'!$E$10+1,1))-AVERAGE(OFFSET($H$3,0,0,'Données projet'!$E$10+1,1))</f>
        <v>323.1883858932618</v>
      </c>
      <c r="AO92" s="60">
        <f t="shared" si="90"/>
        <v>313.39536932399085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2.2737367544323206E-13</v>
      </c>
      <c r="BE92" s="14">
        <f>BD92*VLOOKUP('Données projet'!$B$11,Paramètres!$A$1:$I$89,3,0)*VLOOKUP('Données projet'!$B$11,Paramètres!$A$1:$I$89,5,0)</f>
        <v>1.6671037883497774E-13</v>
      </c>
      <c r="BF92" s="14">
        <f t="shared" si="91"/>
        <v>2.3598166018346595E-12</v>
      </c>
      <c r="BG92" s="22">
        <f t="shared" si="61"/>
        <v>4.400367824666284E-12</v>
      </c>
      <c r="BH92" s="60">
        <f t="shared" si="62"/>
        <v>274.02264371152796</v>
      </c>
      <c r="BI92" s="60">
        <f ca="1">AVERAGE(OFFSET($BH$3,0,0,'Données projet'!$E$11+1,1))-AVERAGE(OFFSET($H$3,0,0,'Données projet'!$E$11+1,1))</f>
        <v>302.52480941204414</v>
      </c>
      <c r="BJ92" s="60">
        <f t="shared" si="92"/>
        <v>293.66452856196088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244.63296000000005</v>
      </c>
      <c r="CA92" s="14">
        <f t="shared" si="93"/>
        <v>59.435222456963288</v>
      </c>
      <c r="CB92" s="22">
        <f t="shared" si="64"/>
        <v>529.58541777921107</v>
      </c>
      <c r="CC92" s="60">
        <f t="shared" si="65"/>
        <v>803.6080614907346</v>
      </c>
      <c r="CD92" s="60">
        <f ca="1">AVERAGE(OFFSET($CC$3,0,0,'Données projet'!$E$12+1,1))-AVERAGE(OFFSET($H$3,0,0,'Données projet'!$E$12+1,1))</f>
        <v>442.98179778678298</v>
      </c>
      <c r="CE92" s="60">
        <f t="shared" si="94"/>
        <v>251.96153561746942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3.5897435897435854</v>
      </c>
      <c r="CT92" s="13">
        <f>IF('Données projet'!$A$140&gt;35,CT91+CS92-DB91,IF(A92&lt;'Données projet'!$A$140,$CQ$205^A92,IF(A92='Données projet'!$A$140,'Données projet'!$B$140,CT91+CS92-DB91)))</f>
        <v>213.71794871794867</v>
      </c>
      <c r="CU92" s="18">
        <f>CT92*VLOOKUP('Données projet'!$B$13,Paramètres!$A$1:$I$89,3,0)*VLOOKUP('Données projet'!$B$13,Paramètres!$A$1:$I$89,5,0)</f>
        <v>203.37399999999994</v>
      </c>
      <c r="CV92" s="14">
        <f t="shared" si="95"/>
        <v>50.48494730176543</v>
      </c>
      <c r="CW92" s="22">
        <f t="shared" si="67"/>
        <v>442.13766655057469</v>
      </c>
      <c r="CX92" s="60">
        <f t="shared" si="68"/>
        <v>716.16031026209828</v>
      </c>
      <c r="CY92" s="60">
        <f ca="1">AVERAGE(OFFSET($CX$3,0,0,'Données projet'!$E$13+1,1))-AVERAGE(OFFSET($H$3,0,0,'Données projet'!$E$13+1,1))</f>
        <v>388.53310909800695</v>
      </c>
      <c r="CZ92" s="60">
        <f t="shared" si="96"/>
        <v>263.82153161042811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0">
        <f t="shared" si="55"/>
        <v>852.95214401181579</v>
      </c>
      <c r="S93" s="60">
        <f ca="1">AVERAGE(OFFSET($R$3,0,0,'Données projet'!$E$9+1,1))-AVERAGE(OFFSET($H$3,0,0,'Données projet'!$E$9+1,1))</f>
        <v>469.67944008675863</v>
      </c>
      <c r="T93" s="60">
        <f t="shared" si="88"/>
        <v>266.11908070867173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1.8089849618263545E-13</v>
      </c>
      <c r="AK93" s="14">
        <f t="shared" si="89"/>
        <v>2.536422473342444E-12</v>
      </c>
      <c r="AL93" s="22">
        <f t="shared" si="58"/>
        <v>4.7326673552561798E-12</v>
      </c>
      <c r="AM93" s="60">
        <f t="shared" si="59"/>
        <v>274.35764100423239</v>
      </c>
      <c r="AN93" s="60">
        <f ca="1">AVERAGE(OFFSET($AM$3,0,0,'Données projet'!$E$10+1,1))-AVERAGE(OFFSET($H$3,0,0,'Données projet'!$E$10+1,1))</f>
        <v>323.1883858932618</v>
      </c>
      <c r="AO93" s="60">
        <f t="shared" si="90"/>
        <v>313.39536932399085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2.2737367544323206E-13</v>
      </c>
      <c r="BE93" s="14">
        <f>BD93*VLOOKUP('Données projet'!$B$11,Paramètres!$A$1:$I$89,3,0)*VLOOKUP('Données projet'!$B$11,Paramètres!$A$1:$I$89,5,0)</f>
        <v>1.6671037883497774E-13</v>
      </c>
      <c r="BF93" s="14">
        <f t="shared" si="91"/>
        <v>2.3598166018346595E-12</v>
      </c>
      <c r="BG93" s="22">
        <f t="shared" si="61"/>
        <v>4.400367824666284E-12</v>
      </c>
      <c r="BH93" s="60">
        <f t="shared" si="62"/>
        <v>274.35764100423205</v>
      </c>
      <c r="BI93" s="60">
        <f ca="1">AVERAGE(OFFSET($BH$3,0,0,'Données projet'!$E$11+1,1))-AVERAGE(OFFSET($H$3,0,0,'Données projet'!$E$11+1,1))</f>
        <v>302.52480941204414</v>
      </c>
      <c r="BJ93" s="60">
        <f t="shared" si="92"/>
        <v>293.66452856196088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249.35040000000006</v>
      </c>
      <c r="CA93" s="14">
        <f t="shared" si="93"/>
        <v>60.446817732908166</v>
      </c>
      <c r="CB93" s="22">
        <f t="shared" si="64"/>
        <v>539.56348755148178</v>
      </c>
      <c r="CC93" s="60">
        <f t="shared" si="65"/>
        <v>813.9211285557094</v>
      </c>
      <c r="CD93" s="60">
        <f ca="1">AVERAGE(OFFSET($CC$3,0,0,'Données projet'!$E$12+1,1))-AVERAGE(OFFSET($H$3,0,0,'Données projet'!$E$12+1,1))</f>
        <v>442.98179778678298</v>
      </c>
      <c r="CE93" s="60">
        <f t="shared" si="94"/>
        <v>251.96153561746942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217.30769230769229</v>
      </c>
      <c r="CR93" s="13">
        <f>VLOOKUP(A93,'Données projet'!$A$139:$I$159,9,0)</f>
        <v>3.5897435897435854</v>
      </c>
      <c r="CS93" s="13">
        <f t="array" ref="CS93">INDEX(CR:CR,MIN(IF(ISNUMBER(CR93:CR289),ROW(CR93:CR289),"")))</f>
        <v>3.5897435897435854</v>
      </c>
      <c r="CT93" s="13">
        <f>IF('Données projet'!$A$140&gt;35,CT92+CS93-DB92,IF(A93&lt;'Données projet'!$A$140,$CQ$205^A93,IF(A93='Données projet'!$A$140,'Données projet'!$B$140,CT92+CS93-DB92)))</f>
        <v>217.30769230769226</v>
      </c>
      <c r="CU93" s="18">
        <f>CT93*VLOOKUP('Données projet'!$B$13,Paramètres!$A$1:$I$89,3,0)*VLOOKUP('Données projet'!$B$13,Paramètres!$A$1:$I$89,5,0)</f>
        <v>206.78999999999994</v>
      </c>
      <c r="CV93" s="14">
        <f t="shared" si="95"/>
        <v>51.233492313143493</v>
      </c>
      <c r="CW93" s="22">
        <f t="shared" si="67"/>
        <v>449.39091577872478</v>
      </c>
      <c r="CX93" s="60">
        <f t="shared" si="68"/>
        <v>723.74855678295239</v>
      </c>
      <c r="CY93" s="60">
        <f ca="1">AVERAGE(OFFSET($CX$3,0,0,'Données projet'!$E$13+1,1))-AVERAGE(OFFSET($H$3,0,0,'Données projet'!$E$13+1,1))</f>
        <v>388.53310909800695</v>
      </c>
      <c r="CZ93" s="60">
        <f t="shared" si="96"/>
        <v>263.82153161042811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0">
        <f t="shared" si="55"/>
        <v>782.30246727880171</v>
      </c>
      <c r="S94" s="60">
        <f ca="1">AVERAGE(OFFSET($R$3,0,0,'Données projet'!$E$9+1,1))-AVERAGE(OFFSET($H$3,0,0,'Données projet'!$E$9+1,1))</f>
        <v>469.67944008675863</v>
      </c>
      <c r="T94" s="60">
        <f t="shared" si="88"/>
        <v>266.11908070867173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1.8089849618263545E-13</v>
      </c>
      <c r="AK94" s="14">
        <f t="shared" si="89"/>
        <v>2.536422473342444E-12</v>
      </c>
      <c r="AL94" s="22">
        <f t="shared" si="58"/>
        <v>4.7326673552561798E-12</v>
      </c>
      <c r="AM94" s="60">
        <f t="shared" si="59"/>
        <v>274.68682684284977</v>
      </c>
      <c r="AN94" s="60">
        <f ca="1">AVERAGE(OFFSET($AM$3,0,0,'Données projet'!$E$10+1,1))-AVERAGE(OFFSET($H$3,0,0,'Données projet'!$E$10+1,1))</f>
        <v>323.1883858932618</v>
      </c>
      <c r="AO94" s="60">
        <f t="shared" si="90"/>
        <v>313.39536932399085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2.2737367544323206E-13</v>
      </c>
      <c r="BE94" s="14">
        <f>BD94*VLOOKUP('Données projet'!$B$11,Paramètres!$A$1:$I$89,3,0)*VLOOKUP('Données projet'!$B$11,Paramètres!$A$1:$I$89,5,0)</f>
        <v>1.6671037883497774E-13</v>
      </c>
      <c r="BF94" s="14">
        <f t="shared" si="91"/>
        <v>2.3598166018346595E-12</v>
      </c>
      <c r="BG94" s="22">
        <f t="shared" si="61"/>
        <v>4.400367824666284E-12</v>
      </c>
      <c r="BH94" s="60">
        <f t="shared" si="62"/>
        <v>274.68682684284943</v>
      </c>
      <c r="BI94" s="60">
        <f ca="1">AVERAGE(OFFSET($BH$3,0,0,'Données projet'!$E$11+1,1))-AVERAGE(OFFSET($H$3,0,0,'Données projet'!$E$11+1,1))</f>
        <v>302.52480941204414</v>
      </c>
      <c r="BJ94" s="60">
        <f t="shared" si="92"/>
        <v>293.66452856196088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218.09736000000007</v>
      </c>
      <c r="CA94" s="14">
        <f t="shared" si="93"/>
        <v>53.701147500486194</v>
      </c>
      <c r="CB94" s="22">
        <f t="shared" si="64"/>
        <v>473.38240056334689</v>
      </c>
      <c r="CC94" s="60">
        <f t="shared" si="65"/>
        <v>748.06922740619189</v>
      </c>
      <c r="CD94" s="60">
        <f ca="1">AVERAGE(OFFSET($CC$3,0,0,'Données projet'!$E$12+1,1))-AVERAGE(OFFSET($H$3,0,0,'Données projet'!$E$12+1,1))</f>
        <v>442.98179778678298</v>
      </c>
      <c r="CE94" s="60">
        <f t="shared" si="94"/>
        <v>251.96153561746942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3.333333333333337</v>
      </c>
      <c r="CT94" s="13">
        <f>IF('Données projet'!$A$140&gt;35,CT93+CS94-DB93,IF(A94&lt;'Données projet'!$A$140,$CQ$205^A94,IF(A94='Données projet'!$A$140,'Données projet'!$B$140,CT93+CS94-DB93)))</f>
        <v>220.64102564102561</v>
      </c>
      <c r="CU94" s="18">
        <f>CT94*VLOOKUP('Données projet'!$B$13,Paramètres!$A$1:$I$89,3,0)*VLOOKUP('Données projet'!$B$13,Paramètres!$A$1:$I$89,5,0)</f>
        <v>209.96199999999999</v>
      </c>
      <c r="CV94" s="14">
        <f t="shared" si="95"/>
        <v>51.927281654776422</v>
      </c>
      <c r="CW94" s="22">
        <f t="shared" si="67"/>
        <v>456.12383221540227</v>
      </c>
      <c r="CX94" s="60">
        <f t="shared" si="68"/>
        <v>730.81065905824732</v>
      </c>
      <c r="CY94" s="60">
        <f ca="1">AVERAGE(OFFSET($CX$3,0,0,'Données projet'!$E$13+1,1))-AVERAGE(OFFSET($H$3,0,0,'Données projet'!$E$13+1,1))</f>
        <v>388.53310909800695</v>
      </c>
      <c r="CZ94" s="60">
        <f t="shared" si="96"/>
        <v>263.82153161042811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0">
        <f t="shared" si="55"/>
        <v>792.0118923918676</v>
      </c>
      <c r="S95" s="60">
        <f ca="1">AVERAGE(OFFSET($R$3,0,0,'Données projet'!$E$9+1,1))-AVERAGE(OFFSET($H$3,0,0,'Données projet'!$E$9+1,1))</f>
        <v>469.67944008675863</v>
      </c>
      <c r="T95" s="60">
        <f t="shared" si="88"/>
        <v>266.11908070867173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1.8089849618263545E-13</v>
      </c>
      <c r="AK95" s="14">
        <f t="shared" si="89"/>
        <v>2.536422473342444E-12</v>
      </c>
      <c r="AL95" s="22">
        <f t="shared" si="58"/>
        <v>4.7326673552561798E-12</v>
      </c>
      <c r="AM95" s="60">
        <f t="shared" si="59"/>
        <v>275.01030204311644</v>
      </c>
      <c r="AN95" s="60">
        <f ca="1">AVERAGE(OFFSET($AM$3,0,0,'Données projet'!$E$10+1,1))-AVERAGE(OFFSET($H$3,0,0,'Données projet'!$E$10+1,1))</f>
        <v>323.1883858932618</v>
      </c>
      <c r="AO95" s="60">
        <f t="shared" si="90"/>
        <v>313.39536932399085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2.2737367544323206E-13</v>
      </c>
      <c r="BE95" s="14">
        <f>BD95*VLOOKUP('Données projet'!$B$11,Paramètres!$A$1:$I$89,3,0)*VLOOKUP('Données projet'!$B$11,Paramètres!$A$1:$I$89,5,0)</f>
        <v>1.6671037883497774E-13</v>
      </c>
      <c r="BF95" s="14">
        <f t="shared" si="91"/>
        <v>2.3598166018346595E-12</v>
      </c>
      <c r="BG95" s="22">
        <f t="shared" si="61"/>
        <v>4.400367824666284E-12</v>
      </c>
      <c r="BH95" s="60">
        <f t="shared" si="62"/>
        <v>275.0103020431161</v>
      </c>
      <c r="BI95" s="60">
        <f ca="1">AVERAGE(OFFSET($BH$3,0,0,'Données projet'!$E$11+1,1))-AVERAGE(OFFSET($H$3,0,0,'Données projet'!$E$11+1,1))</f>
        <v>302.52480941204414</v>
      </c>
      <c r="BJ95" s="60">
        <f t="shared" si="92"/>
        <v>293.66452856196088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222.22512000000006</v>
      </c>
      <c r="CA95" s="14">
        <f t="shared" si="93"/>
        <v>54.598220944501897</v>
      </c>
      <c r="CB95" s="22">
        <f t="shared" si="64"/>
        <v>482.13398547834095</v>
      </c>
      <c r="CC95" s="60">
        <f t="shared" si="65"/>
        <v>757.14428752145272</v>
      </c>
      <c r="CD95" s="60">
        <f ca="1">AVERAGE(OFFSET($CC$3,0,0,'Données projet'!$E$12+1,1))-AVERAGE(OFFSET($H$3,0,0,'Données projet'!$E$12+1,1))</f>
        <v>442.98179778678298</v>
      </c>
      <c r="CE95" s="60">
        <f t="shared" si="94"/>
        <v>251.96153561746942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3.333333333333337</v>
      </c>
      <c r="CT95" s="13">
        <f>IF('Données projet'!$A$140&gt;35,CT94+CS95-DB94,IF(A95&lt;'Données projet'!$A$140,$CQ$205^A95,IF(A95='Données projet'!$A$140,'Données projet'!$B$140,CT94+CS95-DB94)))</f>
        <v>223.97435897435895</v>
      </c>
      <c r="CU95" s="18">
        <f>CT95*VLOOKUP('Données projet'!$B$13,Paramètres!$A$1:$I$89,3,0)*VLOOKUP('Données projet'!$B$13,Paramètres!$A$1:$I$89,5,0)</f>
        <v>213.13399999999999</v>
      </c>
      <c r="CV95" s="14">
        <f t="shared" si="95"/>
        <v>52.619851982252747</v>
      </c>
      <c r="CW95" s="22">
        <f t="shared" si="67"/>
        <v>462.85462553575684</v>
      </c>
      <c r="CX95" s="60">
        <f t="shared" si="68"/>
        <v>737.86492757886856</v>
      </c>
      <c r="CY95" s="60">
        <f ca="1">AVERAGE(OFFSET($CX$3,0,0,'Données projet'!$E$13+1,1))-AVERAGE(OFFSET($H$3,0,0,'Données projet'!$E$13+1,1))</f>
        <v>388.53310909800695</v>
      </c>
      <c r="CZ95" s="60">
        <f t="shared" si="96"/>
        <v>263.82153161042811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0">
        <f t="shared" si="55"/>
        <v>801.71211136995862</v>
      </c>
      <c r="S96" s="60">
        <f ca="1">AVERAGE(OFFSET($R$3,0,0,'Données projet'!$E$9+1,1))-AVERAGE(OFFSET($H$3,0,0,'Données projet'!$E$9+1,1))</f>
        <v>469.67944008675863</v>
      </c>
      <c r="T96" s="60">
        <f t="shared" si="88"/>
        <v>266.11908070867173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1.8089849618263545E-13</v>
      </c>
      <c r="AK96" s="14">
        <f t="shared" si="89"/>
        <v>2.536422473342444E-12</v>
      </c>
      <c r="AL96" s="22">
        <f t="shared" si="58"/>
        <v>4.7326673552561798E-12</v>
      </c>
      <c r="AM96" s="60">
        <f t="shared" si="59"/>
        <v>275.32816567184068</v>
      </c>
      <c r="AN96" s="60">
        <f ca="1">AVERAGE(OFFSET($AM$3,0,0,'Données projet'!$E$10+1,1))-AVERAGE(OFFSET($H$3,0,0,'Données projet'!$E$10+1,1))</f>
        <v>323.1883858932618</v>
      </c>
      <c r="AO96" s="60">
        <f t="shared" si="90"/>
        <v>313.39536932399085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2.2737367544323206E-13</v>
      </c>
      <c r="BE96" s="14">
        <f>BD96*VLOOKUP('Données projet'!$B$11,Paramètres!$A$1:$I$89,3,0)*VLOOKUP('Données projet'!$B$11,Paramètres!$A$1:$I$89,5,0)</f>
        <v>1.6671037883497774E-13</v>
      </c>
      <c r="BF96" s="14">
        <f t="shared" si="91"/>
        <v>2.3598166018346595E-12</v>
      </c>
      <c r="BG96" s="22">
        <f t="shared" si="61"/>
        <v>4.400367824666284E-12</v>
      </c>
      <c r="BH96" s="60">
        <f t="shared" si="62"/>
        <v>275.32816567184034</v>
      </c>
      <c r="BI96" s="60">
        <f ca="1">AVERAGE(OFFSET($BH$3,0,0,'Données projet'!$E$11+1,1))-AVERAGE(OFFSET($H$3,0,0,'Données projet'!$E$11+1,1))</f>
        <v>302.52480941204414</v>
      </c>
      <c r="BJ96" s="60">
        <f t="shared" si="92"/>
        <v>293.66452856196088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226.35288000000003</v>
      </c>
      <c r="CA96" s="14">
        <f t="shared" si="93"/>
        <v>55.493356810213015</v>
      </c>
      <c r="CB96" s="22">
        <f t="shared" si="64"/>
        <v>490.88219577778773</v>
      </c>
      <c r="CC96" s="60">
        <f t="shared" si="65"/>
        <v>766.21036144962363</v>
      </c>
      <c r="CD96" s="60">
        <f ca="1">AVERAGE(OFFSET($CC$3,0,0,'Données projet'!$E$12+1,1))-AVERAGE(OFFSET($H$3,0,0,'Données projet'!$E$12+1,1))</f>
        <v>442.98179778678298</v>
      </c>
      <c r="CE96" s="60">
        <f t="shared" si="94"/>
        <v>251.96153561746942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3.333333333333337</v>
      </c>
      <c r="CT96" s="13">
        <f>IF('Données projet'!$A$140&gt;35,CT95+CS96-DB95,IF(A96&lt;'Données projet'!$A$140,$CQ$205^A96,IF(A96='Données projet'!$A$140,'Données projet'!$B$140,CT95+CS96-DB95)))</f>
        <v>227.30769230769229</v>
      </c>
      <c r="CU96" s="18">
        <f>CT96*VLOOKUP('Données projet'!$B$13,Paramètres!$A$1:$I$89,3,0)*VLOOKUP('Données projet'!$B$13,Paramètres!$A$1:$I$89,5,0)</f>
        <v>216.30599999999998</v>
      </c>
      <c r="CV96" s="14">
        <f t="shared" si="95"/>
        <v>53.311223533460037</v>
      </c>
      <c r="CW96" s="22">
        <f t="shared" si="67"/>
        <v>469.58333098744288</v>
      </c>
      <c r="CX96" s="60">
        <f t="shared" si="68"/>
        <v>744.91149665927878</v>
      </c>
      <c r="CY96" s="60">
        <f ca="1">AVERAGE(OFFSET($CX$3,0,0,'Données projet'!$E$13+1,1))-AVERAGE(OFFSET($H$3,0,0,'Données projet'!$E$13+1,1))</f>
        <v>388.53310909800695</v>
      </c>
      <c r="CZ96" s="60">
        <f t="shared" si="96"/>
        <v>263.82153161042811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0">
        <f t="shared" si="55"/>
        <v>811.40329467218749</v>
      </c>
      <c r="S97" s="60">
        <f ca="1">AVERAGE(OFFSET($R$3,0,0,'Données projet'!$E$9+1,1))-AVERAGE(OFFSET($H$3,0,0,'Données projet'!$E$9+1,1))</f>
        <v>469.67944008675863</v>
      </c>
      <c r="T97" s="60">
        <f t="shared" si="88"/>
        <v>266.11908070867173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1.8089849618263545E-13</v>
      </c>
      <c r="AK97" s="14">
        <f t="shared" si="89"/>
        <v>2.536422473342444E-12</v>
      </c>
      <c r="AL97" s="22">
        <f t="shared" si="58"/>
        <v>4.7326673552561798E-12</v>
      </c>
      <c r="AM97" s="60">
        <f t="shared" si="59"/>
        <v>275.64051507724321</v>
      </c>
      <c r="AN97" s="60">
        <f ca="1">AVERAGE(OFFSET($AM$3,0,0,'Données projet'!$E$10+1,1))-AVERAGE(OFFSET($H$3,0,0,'Données projet'!$E$10+1,1))</f>
        <v>323.1883858932618</v>
      </c>
      <c r="AO97" s="60">
        <f t="shared" si="90"/>
        <v>313.39536932399085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2.2737367544323206E-13</v>
      </c>
      <c r="BE97" s="14">
        <f>BD97*VLOOKUP('Données projet'!$B$11,Paramètres!$A$1:$I$89,3,0)*VLOOKUP('Données projet'!$B$11,Paramètres!$A$1:$I$89,5,0)</f>
        <v>1.6671037883497774E-13</v>
      </c>
      <c r="BF97" s="14">
        <f t="shared" si="91"/>
        <v>2.3598166018346595E-12</v>
      </c>
      <c r="BG97" s="22">
        <f t="shared" si="61"/>
        <v>4.400367824666284E-12</v>
      </c>
      <c r="BH97" s="60">
        <f t="shared" si="62"/>
        <v>275.64051507724287</v>
      </c>
      <c r="BI97" s="60">
        <f ca="1">AVERAGE(OFFSET($BH$3,0,0,'Données projet'!$E$11+1,1))-AVERAGE(OFFSET($H$3,0,0,'Données projet'!$E$11+1,1))</f>
        <v>302.52480941204414</v>
      </c>
      <c r="BJ97" s="60">
        <f t="shared" si="92"/>
        <v>293.66452856196088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230.48063999999999</v>
      </c>
      <c r="CA97" s="14">
        <f t="shared" si="93"/>
        <v>56.386594506599792</v>
      </c>
      <c r="CB97" s="22">
        <f t="shared" si="64"/>
        <v>499.62710009899462</v>
      </c>
      <c r="CC97" s="60">
        <f t="shared" si="65"/>
        <v>775.26761517623311</v>
      </c>
      <c r="CD97" s="60">
        <f ca="1">AVERAGE(OFFSET($CC$3,0,0,'Données projet'!$E$12+1,1))-AVERAGE(OFFSET($H$3,0,0,'Données projet'!$E$12+1,1))</f>
        <v>442.98179778678298</v>
      </c>
      <c r="CE97" s="60">
        <f t="shared" si="94"/>
        <v>251.96153561746942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3.333333333333337</v>
      </c>
      <c r="CT97" s="13">
        <f>IF('Données projet'!$A$140&gt;35,CT96+CS97-DB96,IF(A97&lt;'Données projet'!$A$140,$CQ$205^A97,IF(A97='Données projet'!$A$140,'Données projet'!$B$140,CT96+CS97-DB96)))</f>
        <v>230.64102564102564</v>
      </c>
      <c r="CU97" s="18">
        <f>CT97*VLOOKUP('Données projet'!$B$13,Paramètres!$A$1:$I$89,3,0)*VLOOKUP('Données projet'!$B$13,Paramètres!$A$1:$I$89,5,0)</f>
        <v>219.47800000000001</v>
      </c>
      <c r="CV97" s="14">
        <f t="shared" si="95"/>
        <v>54.001415918656583</v>
      </c>
      <c r="CW97" s="22">
        <f t="shared" si="67"/>
        <v>476.30998272499346</v>
      </c>
      <c r="CX97" s="60">
        <f t="shared" si="68"/>
        <v>751.95049780223189</v>
      </c>
      <c r="CY97" s="60">
        <f ca="1">AVERAGE(OFFSET($CX$3,0,0,'Données projet'!$E$13+1,1))-AVERAGE(OFFSET($H$3,0,0,'Données projet'!$E$13+1,1))</f>
        <v>388.53310909800695</v>
      </c>
      <c r="CZ97" s="60">
        <f t="shared" si="96"/>
        <v>263.82153161042811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0">
        <f t="shared" si="55"/>
        <v>821.08560830018882</v>
      </c>
      <c r="S98" s="60">
        <f ca="1">AVERAGE(OFFSET($R$3,0,0,'Données projet'!$E$9+1,1))-AVERAGE(OFFSET($H$3,0,0,'Données projet'!$E$9+1,1))</f>
        <v>469.67944008675863</v>
      </c>
      <c r="T98" s="60">
        <f t="shared" si="88"/>
        <v>266.11908070867173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1.8089849618263545E-13</v>
      </c>
      <c r="AK98" s="14">
        <f t="shared" si="89"/>
        <v>2.536422473342444E-12</v>
      </c>
      <c r="AL98" s="22">
        <f t="shared" si="58"/>
        <v>4.7326673552561798E-12</v>
      </c>
      <c r="AM98" s="60">
        <f t="shared" si="59"/>
        <v>275.94744591877065</v>
      </c>
      <c r="AN98" s="60">
        <f ca="1">AVERAGE(OFFSET($AM$3,0,0,'Données projet'!$E$10+1,1))-AVERAGE(OFFSET($H$3,0,0,'Données projet'!$E$10+1,1))</f>
        <v>323.1883858932618</v>
      </c>
      <c r="AO98" s="60">
        <f t="shared" si="90"/>
        <v>313.39536932399085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2.2737367544323206E-13</v>
      </c>
      <c r="BE98" s="14">
        <f>BD98*VLOOKUP('Données projet'!$B$11,Paramètres!$A$1:$I$89,3,0)*VLOOKUP('Données projet'!$B$11,Paramètres!$A$1:$I$89,5,0)</f>
        <v>1.6671037883497774E-13</v>
      </c>
      <c r="BF98" s="14">
        <f t="shared" si="91"/>
        <v>2.3598166018346595E-12</v>
      </c>
      <c r="BG98" s="22">
        <f t="shared" si="61"/>
        <v>4.400367824666284E-12</v>
      </c>
      <c r="BH98" s="60">
        <f t="shared" si="62"/>
        <v>275.94744591877031</v>
      </c>
      <c r="BI98" s="60">
        <f ca="1">AVERAGE(OFFSET($BH$3,0,0,'Données projet'!$E$11+1,1))-AVERAGE(OFFSET($H$3,0,0,'Données projet'!$E$11+1,1))</f>
        <v>302.52480941204414</v>
      </c>
      <c r="BJ98" s="60">
        <f t="shared" si="92"/>
        <v>293.66452856196088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234.60839999999999</v>
      </c>
      <c r="CA98" s="14">
        <f t="shared" si="93"/>
        <v>57.277971950226913</v>
      </c>
      <c r="CB98" s="22">
        <f t="shared" si="64"/>
        <v>508.36876447997855</v>
      </c>
      <c r="CC98" s="60">
        <f t="shared" si="65"/>
        <v>784.31621039874449</v>
      </c>
      <c r="CD98" s="60">
        <f ca="1">AVERAGE(OFFSET($CC$3,0,0,'Données projet'!$E$12+1,1))-AVERAGE(OFFSET($H$3,0,0,'Données projet'!$E$12+1,1))</f>
        <v>442.98179778678298</v>
      </c>
      <c r="CE98" s="60">
        <f t="shared" si="94"/>
        <v>251.96153561746942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233.97435897435898</v>
      </c>
      <c r="CR98" s="13">
        <f>VLOOKUP(A98,'Données projet'!$A$139:$I$159,9,0)</f>
        <v>3.333333333333337</v>
      </c>
      <c r="CS98" s="13">
        <f t="array" ref="CS98">INDEX(CR:CR,MIN(IF(ISNUMBER(CR98:CR294),ROW(CR98:CR294),"")))</f>
        <v>3.333333333333337</v>
      </c>
      <c r="CT98" s="13">
        <f>IF('Données projet'!$A$140&gt;35,CT97+CS98-DB97,IF(A98&lt;'Données projet'!$A$140,$CQ$205^A98,IF(A98='Données projet'!$A$140,'Données projet'!$B$140,CT97+CS98-DB97)))</f>
        <v>233.97435897435898</v>
      </c>
      <c r="CU98" s="18">
        <f>CT98*VLOOKUP('Données projet'!$B$13,Paramètres!$A$1:$I$89,3,0)*VLOOKUP('Données projet'!$B$13,Paramètres!$A$1:$I$89,5,0)</f>
        <v>222.65</v>
      </c>
      <c r="CV98" s="14">
        <f t="shared" si="95"/>
        <v>54.690448148719405</v>
      </c>
      <c r="CW98" s="22">
        <f t="shared" si="67"/>
        <v>483.03461385901966</v>
      </c>
      <c r="CX98" s="60">
        <f t="shared" si="68"/>
        <v>758.98205977778559</v>
      </c>
      <c r="CY98" s="60">
        <f ca="1">AVERAGE(OFFSET($CX$3,0,0,'Données projet'!$E$13+1,1))-AVERAGE(OFFSET($H$3,0,0,'Données projet'!$E$13+1,1))</f>
        <v>388.53310909800695</v>
      </c>
      <c r="CZ98" s="60">
        <f t="shared" si="96"/>
        <v>263.82153161042811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23.717948717948715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0">
        <f t="shared" si="55"/>
        <v>830.75921397909997</v>
      </c>
      <c r="S99" s="60">
        <f ca="1">AVERAGE(OFFSET($R$3,0,0,'Données projet'!$E$9+1,1))-AVERAGE(OFFSET($H$3,0,0,'Données projet'!$E$9+1,1))</f>
        <v>469.67944008675863</v>
      </c>
      <c r="T99" s="60">
        <f t="shared" si="88"/>
        <v>266.11908070867173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1.8089849618263545E-13</v>
      </c>
      <c r="AK99" s="14">
        <f t="shared" si="89"/>
        <v>2.536422473342444E-12</v>
      </c>
      <c r="AL99" s="22">
        <f t="shared" si="58"/>
        <v>4.7326673552561798E-12</v>
      </c>
      <c r="AM99" s="60">
        <f t="shared" si="59"/>
        <v>276.24905219639214</v>
      </c>
      <c r="AN99" s="60">
        <f ca="1">AVERAGE(OFFSET($AM$3,0,0,'Données projet'!$E$10+1,1))-AVERAGE(OFFSET($H$3,0,0,'Données projet'!$E$10+1,1))</f>
        <v>323.1883858932618</v>
      </c>
      <c r="AO99" s="60">
        <f t="shared" si="90"/>
        <v>313.39536932399085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2.2737367544323206E-13</v>
      </c>
      <c r="BE99" s="14">
        <f>BD99*VLOOKUP('Données projet'!$B$11,Paramètres!$A$1:$I$89,3,0)*VLOOKUP('Données projet'!$B$11,Paramètres!$A$1:$I$89,5,0)</f>
        <v>1.6671037883497774E-13</v>
      </c>
      <c r="BF99" s="14">
        <f t="shared" si="91"/>
        <v>2.3598166018346595E-12</v>
      </c>
      <c r="BG99" s="22">
        <f t="shared" si="61"/>
        <v>4.400367824666284E-12</v>
      </c>
      <c r="BH99" s="60">
        <f t="shared" si="62"/>
        <v>276.2490521963918</v>
      </c>
      <c r="BI99" s="60">
        <f ca="1">AVERAGE(OFFSET($BH$3,0,0,'Données projet'!$E$11+1,1))-AVERAGE(OFFSET($H$3,0,0,'Données projet'!$E$11+1,1))</f>
        <v>302.52480941204414</v>
      </c>
      <c r="BJ99" s="60">
        <f t="shared" si="92"/>
        <v>293.66452856196088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238.73615999999996</v>
      </c>
      <c r="CA99" s="14">
        <f t="shared" si="93"/>
        <v>58.167525647006343</v>
      </c>
      <c r="CB99" s="22">
        <f t="shared" si="64"/>
        <v>517.10725250186931</v>
      </c>
      <c r="CC99" s="60">
        <f t="shared" si="65"/>
        <v>793.35630469825674</v>
      </c>
      <c r="CD99" s="60">
        <f ca="1">AVERAGE(OFFSET($CC$3,0,0,'Données projet'!$E$12+1,1))-AVERAGE(OFFSET($H$3,0,0,'Données projet'!$E$12+1,1))</f>
        <v>442.98179778678298</v>
      </c>
      <c r="CE99" s="60">
        <f t="shared" si="94"/>
        <v>251.96153561746942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3.2051282051281986</v>
      </c>
      <c r="CT99" s="13">
        <f>IF('Données projet'!$A$140&gt;35,CT98+CS99-DB98,IF(A99&lt;'Données projet'!$A$140,$CQ$205^A99,IF(A99='Données projet'!$A$140,'Données projet'!$B$140,CT98+CS99-DB98)))</f>
        <v>213.46153846153845</v>
      </c>
      <c r="CU99" s="18">
        <f>CT99*VLOOKUP('Données projet'!$B$13,Paramètres!$A$1:$I$89,3,0)*VLOOKUP('Données projet'!$B$13,Paramètres!$A$1:$I$89,5,0)</f>
        <v>203.13</v>
      </c>
      <c r="CV99" s="14">
        <f t="shared" si="95"/>
        <v>50.431424067617797</v>
      </c>
      <c r="CW99" s="22">
        <f t="shared" si="67"/>
        <v>441.61948025110092</v>
      </c>
      <c r="CX99" s="60">
        <f t="shared" si="68"/>
        <v>717.86853244748841</v>
      </c>
      <c r="CY99" s="60">
        <f ca="1">AVERAGE(OFFSET($CX$3,0,0,'Données projet'!$E$13+1,1))-AVERAGE(OFFSET($H$3,0,0,'Données projet'!$E$13+1,1))</f>
        <v>388.53310909800695</v>
      </c>
      <c r="CZ99" s="60">
        <f t="shared" si="96"/>
        <v>263.82153161042811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0">
        <f t="shared" si="55"/>
        <v>840.42426932724845</v>
      </c>
      <c r="S100" s="60">
        <f ca="1">AVERAGE(OFFSET($R$3,0,0,'Données projet'!$E$9+1,1))-AVERAGE(OFFSET($H$3,0,0,'Données projet'!$E$9+1,1))</f>
        <v>469.67944008675863</v>
      </c>
      <c r="T100" s="60">
        <f t="shared" si="88"/>
        <v>266.11908070867173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1.8089849618263545E-13</v>
      </c>
      <c r="AK100" s="14">
        <f t="shared" si="89"/>
        <v>2.536422473342444E-12</v>
      </c>
      <c r="AL100" s="22">
        <f t="shared" si="58"/>
        <v>4.7326673552561798E-12</v>
      </c>
      <c r="AM100" s="60">
        <f t="shared" si="59"/>
        <v>276.54542627938753</v>
      </c>
      <c r="AN100" s="60">
        <f ca="1">AVERAGE(OFFSET($AM$3,0,0,'Données projet'!$E$10+1,1))-AVERAGE(OFFSET($H$3,0,0,'Données projet'!$E$10+1,1))</f>
        <v>323.1883858932618</v>
      </c>
      <c r="AO100" s="60">
        <f t="shared" si="90"/>
        <v>313.39536932399085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2.2737367544323206E-13</v>
      </c>
      <c r="BE100" s="14">
        <f>BD100*VLOOKUP('Données projet'!$B$11,Paramètres!$A$1:$I$89,3,0)*VLOOKUP('Données projet'!$B$11,Paramètres!$A$1:$I$89,5,0)</f>
        <v>1.6671037883497774E-13</v>
      </c>
      <c r="BF100" s="14">
        <f t="shared" si="91"/>
        <v>2.3598166018346595E-12</v>
      </c>
      <c r="BG100" s="22">
        <f t="shared" si="61"/>
        <v>4.400367824666284E-12</v>
      </c>
      <c r="BH100" s="60">
        <f t="shared" si="62"/>
        <v>276.54542627938719</v>
      </c>
      <c r="BI100" s="60">
        <f ca="1">AVERAGE(OFFSET($BH$3,0,0,'Données projet'!$E$11+1,1))-AVERAGE(OFFSET($H$3,0,0,'Données projet'!$E$11+1,1))</f>
        <v>302.52480941204414</v>
      </c>
      <c r="BJ100" s="60">
        <f t="shared" si="92"/>
        <v>293.66452856196088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242.86391999999995</v>
      </c>
      <c r="CA100" s="14">
        <f t="shared" si="93"/>
        <v>59.055290768146357</v>
      </c>
      <c r="CB100" s="22">
        <f t="shared" si="64"/>
        <v>525.84262542118813</v>
      </c>
      <c r="CC100" s="60">
        <f t="shared" si="65"/>
        <v>802.38805170057094</v>
      </c>
      <c r="CD100" s="60">
        <f ca="1">AVERAGE(OFFSET($CC$3,0,0,'Données projet'!$E$12+1,1))-AVERAGE(OFFSET($H$3,0,0,'Données projet'!$E$12+1,1))</f>
        <v>442.98179778678298</v>
      </c>
      <c r="CE100" s="60">
        <f t="shared" si="94"/>
        <v>251.96153561746942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3.2051282051281986</v>
      </c>
      <c r="CT100" s="13">
        <f>IF('Données projet'!$A$140&gt;35,CT99+CS100-DB99,IF(A100&lt;'Données projet'!$A$140,$CQ$205^A100,IF(A100='Données projet'!$A$140,'Données projet'!$B$140,CT99+CS100-DB99)))</f>
        <v>216.66666666666666</v>
      </c>
      <c r="CU100" s="18">
        <f>CT100*VLOOKUP('Données projet'!$B$13,Paramètres!$A$1:$I$89,3,0)*VLOOKUP('Données projet'!$B$13,Paramètres!$A$1:$I$89,5,0)</f>
        <v>206.17999999999998</v>
      </c>
      <c r="CV100" s="14">
        <f t="shared" si="95"/>
        <v>51.09992979292003</v>
      </c>
      <c r="CW100" s="22">
        <f t="shared" si="67"/>
        <v>448.095877722669</v>
      </c>
      <c r="CX100" s="60">
        <f t="shared" si="68"/>
        <v>724.64130400205181</v>
      </c>
      <c r="CY100" s="60">
        <f ca="1">AVERAGE(OFFSET($CX$3,0,0,'Données projet'!$E$13+1,1))-AVERAGE(OFFSET($H$3,0,0,'Données projet'!$E$13+1,1))</f>
        <v>388.53310909800695</v>
      </c>
      <c r="CZ100" s="60">
        <f t="shared" si="96"/>
        <v>263.82153161042811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0">
        <f t="shared" si="55"/>
        <v>850.08092801548719</v>
      </c>
      <c r="S101" s="60">
        <f ca="1">AVERAGE(OFFSET($R$3,0,0,'Données projet'!$E$9+1,1))-AVERAGE(OFFSET($H$3,0,0,'Données projet'!$E$9+1,1))</f>
        <v>469.67944008675863</v>
      </c>
      <c r="T101" s="60">
        <f t="shared" si="88"/>
        <v>266.11908070867173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1.8089849618263545E-13</v>
      </c>
      <c r="AK101" s="14">
        <f t="shared" si="89"/>
        <v>2.536422473342444E-12</v>
      </c>
      <c r="AL101" s="22">
        <f t="shared" si="58"/>
        <v>4.7326673552561798E-12</v>
      </c>
      <c r="AM101" s="60">
        <f t="shared" si="59"/>
        <v>276.83665893463609</v>
      </c>
      <c r="AN101" s="60">
        <f ca="1">AVERAGE(OFFSET($AM$3,0,0,'Données projet'!$E$10+1,1))-AVERAGE(OFFSET($H$3,0,0,'Données projet'!$E$10+1,1))</f>
        <v>323.1883858932618</v>
      </c>
      <c r="AO101" s="60">
        <f t="shared" si="90"/>
        <v>313.39536932399085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2.2737367544323206E-13</v>
      </c>
      <c r="BE101" s="14">
        <f>BD101*VLOOKUP('Données projet'!$B$11,Paramètres!$A$1:$I$89,3,0)*VLOOKUP('Données projet'!$B$11,Paramètres!$A$1:$I$89,5,0)</f>
        <v>1.6671037883497774E-13</v>
      </c>
      <c r="BF101" s="14">
        <f t="shared" si="91"/>
        <v>2.3598166018346595E-12</v>
      </c>
      <c r="BG101" s="22">
        <f t="shared" si="61"/>
        <v>4.400367824666284E-12</v>
      </c>
      <c r="BH101" s="60">
        <f t="shared" si="62"/>
        <v>276.83665893463575</v>
      </c>
      <c r="BI101" s="60">
        <f ca="1">AVERAGE(OFFSET($BH$3,0,0,'Données projet'!$E$11+1,1))-AVERAGE(OFFSET($H$3,0,0,'Données projet'!$E$11+1,1))</f>
        <v>302.52480941204414</v>
      </c>
      <c r="BJ101" s="60">
        <f t="shared" si="92"/>
        <v>293.66452856196088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246.99167999999992</v>
      </c>
      <c r="CA101" s="14">
        <f t="shared" si="93"/>
        <v>59.941301220789747</v>
      </c>
      <c r="CB101" s="22">
        <f t="shared" si="64"/>
        <v>534.57494229287533</v>
      </c>
      <c r="CC101" s="60">
        <f t="shared" si="65"/>
        <v>811.41160122750671</v>
      </c>
      <c r="CD101" s="60">
        <f ca="1">AVERAGE(OFFSET($CC$3,0,0,'Données projet'!$E$12+1,1))-AVERAGE(OFFSET($H$3,0,0,'Données projet'!$E$12+1,1))</f>
        <v>442.98179778678298</v>
      </c>
      <c r="CE101" s="60">
        <f t="shared" si="94"/>
        <v>251.96153561746942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3.2051282051281986</v>
      </c>
      <c r="CT101" s="13">
        <f>IF('Données projet'!$A$140&gt;35,CT100+CS101-DB100,IF(A101&lt;'Données projet'!$A$140,$CQ$205^A101,IF(A101='Données projet'!$A$140,'Données projet'!$B$140,CT100+CS101-DB100)))</f>
        <v>219.87179487179486</v>
      </c>
      <c r="CU101" s="18">
        <f>CT101*VLOOKUP('Données projet'!$B$13,Paramètres!$A$1:$I$89,3,0)*VLOOKUP('Données projet'!$B$13,Paramètres!$A$1:$I$89,5,0)</f>
        <v>209.23</v>
      </c>
      <c r="CV101" s="14">
        <f t="shared" si="95"/>
        <v>51.767285368675203</v>
      </c>
      <c r="CW101" s="22">
        <f t="shared" si="67"/>
        <v>454.57027201710929</v>
      </c>
      <c r="CX101" s="60">
        <f t="shared" si="68"/>
        <v>731.40693095174061</v>
      </c>
      <c r="CY101" s="60">
        <f ca="1">AVERAGE(OFFSET($CX$3,0,0,'Données projet'!$E$13+1,1))-AVERAGE(OFFSET($H$3,0,0,'Données projet'!$E$13+1,1))</f>
        <v>388.53310909800695</v>
      </c>
      <c r="CZ101" s="60">
        <f t="shared" si="96"/>
        <v>263.82153161042811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0">
        <f t="shared" si="55"/>
        <v>859.72933991703417</v>
      </c>
      <c r="S102" s="60">
        <f ca="1">AVERAGE(OFFSET($R$3,0,0,'Données projet'!$E$9+1,1))-AVERAGE(OFFSET($H$3,0,0,'Données projet'!$E$9+1,1))</f>
        <v>469.67944008675863</v>
      </c>
      <c r="T102" s="60">
        <f t="shared" si="88"/>
        <v>266.11908070867173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1.8089849618263545E-13</v>
      </c>
      <c r="AK102" s="14">
        <f t="shared" si="89"/>
        <v>2.536422473342444E-12</v>
      </c>
      <c r="AL102" s="22">
        <f t="shared" si="58"/>
        <v>4.7326673552561798E-12</v>
      </c>
      <c r="AM102" s="60">
        <f t="shared" si="59"/>
        <v>277.12283935441485</v>
      </c>
      <c r="AN102" s="60">
        <f ca="1">AVERAGE(OFFSET($AM$3,0,0,'Données projet'!$E$10+1,1))-AVERAGE(OFFSET($H$3,0,0,'Données projet'!$E$10+1,1))</f>
        <v>323.1883858932618</v>
      </c>
      <c r="AO102" s="60">
        <f t="shared" si="90"/>
        <v>313.39536932399085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2.2737367544323206E-13</v>
      </c>
      <c r="BE102" s="14">
        <f>BD102*VLOOKUP('Données projet'!$B$11,Paramètres!$A$1:$I$89,3,0)*VLOOKUP('Données projet'!$B$11,Paramètres!$A$1:$I$89,5,0)</f>
        <v>1.6671037883497774E-13</v>
      </c>
      <c r="BF102" s="14">
        <f t="shared" si="91"/>
        <v>2.3598166018346595E-12</v>
      </c>
      <c r="BG102" s="22">
        <f t="shared" si="61"/>
        <v>4.400367824666284E-12</v>
      </c>
      <c r="BH102" s="60">
        <f t="shared" si="62"/>
        <v>277.12283935441451</v>
      </c>
      <c r="BI102" s="60">
        <f ca="1">AVERAGE(OFFSET($BH$3,0,0,'Données projet'!$E$11+1,1))-AVERAGE(OFFSET($H$3,0,0,'Données projet'!$E$11+1,1))</f>
        <v>302.52480941204414</v>
      </c>
      <c r="BJ102" s="60">
        <f t="shared" si="92"/>
        <v>293.66452856196088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251.11943999999991</v>
      </c>
      <c r="CA102" s="14">
        <f t="shared" si="93"/>
        <v>60.825589713796923</v>
      </c>
      <c r="CB102" s="22">
        <f t="shared" si="64"/>
        <v>543.30426008486279</v>
      </c>
      <c r="CC102" s="60">
        <f t="shared" si="65"/>
        <v>820.42709943927298</v>
      </c>
      <c r="CD102" s="60">
        <f ca="1">AVERAGE(OFFSET($CC$3,0,0,'Données projet'!$E$12+1,1))-AVERAGE(OFFSET($H$3,0,0,'Données projet'!$E$12+1,1))</f>
        <v>442.98179778678298</v>
      </c>
      <c r="CE102" s="60">
        <f t="shared" si="94"/>
        <v>251.96153561746942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3.2051282051281986</v>
      </c>
      <c r="CT102" s="13">
        <f>IF('Données projet'!$A$140&gt;35,CT101+CS102-DB101,IF(A102&lt;'Données projet'!$A$140,$CQ$205^A102,IF(A102='Données projet'!$A$140,'Données projet'!$B$140,CT101+CS102-DB101)))</f>
        <v>223.07692307692307</v>
      </c>
      <c r="CU102" s="18">
        <f>CT102*VLOOKUP('Données projet'!$B$13,Paramètres!$A$1:$I$89,3,0)*VLOOKUP('Données projet'!$B$13,Paramètres!$A$1:$I$89,5,0)</f>
        <v>212.28</v>
      </c>
      <c r="CV102" s="14">
        <f t="shared" si="95"/>
        <v>52.433509497939937</v>
      </c>
      <c r="CW102" s="22">
        <f t="shared" si="67"/>
        <v>461.04269570891194</v>
      </c>
      <c r="CX102" s="60">
        <f t="shared" si="68"/>
        <v>738.16553506332207</v>
      </c>
      <c r="CY102" s="60">
        <f ca="1">AVERAGE(OFFSET($CX$3,0,0,'Données projet'!$E$13+1,1))-AVERAGE(OFFSET($H$3,0,0,'Données projet'!$E$13+1,1))</f>
        <v>388.53310909800695</v>
      </c>
      <c r="CZ102" s="60">
        <f t="shared" si="96"/>
        <v>263.82153161042811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0">
        <f t="shared" si="55"/>
        <v>869.36965124857375</v>
      </c>
      <c r="S103" s="60">
        <f ca="1">AVERAGE(OFFSET($R$3,0,0,'Données projet'!$E$9+1,1))-AVERAGE(OFFSET($H$3,0,0,'Données projet'!$E$9+1,1))</f>
        <v>469.67944008675863</v>
      </c>
      <c r="T103" s="60">
        <f t="shared" si="88"/>
        <v>266.11908070867173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1.8089849618263545E-13</v>
      </c>
      <c r="AK103" s="14">
        <f t="shared" si="89"/>
        <v>2.536422473342444E-12</v>
      </c>
      <c r="AL103" s="22">
        <f t="shared" si="58"/>
        <v>4.7326673552561798E-12</v>
      </c>
      <c r="AM103" s="60">
        <f t="shared" si="59"/>
        <v>277.40405518371392</v>
      </c>
      <c r="AN103" s="60">
        <f ca="1">AVERAGE(OFFSET($AM$3,0,0,'Données projet'!$E$10+1,1))-AVERAGE(OFFSET($H$3,0,0,'Données projet'!$E$10+1,1))</f>
        <v>323.1883858932618</v>
      </c>
      <c r="AO103" s="60">
        <f t="shared" si="90"/>
        <v>313.39536932399085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2.2737367544323206E-13</v>
      </c>
      <c r="BE103" s="14">
        <f>BD103*VLOOKUP('Données projet'!$B$11,Paramètres!$A$1:$I$89,3,0)*VLOOKUP('Données projet'!$B$11,Paramètres!$A$1:$I$89,5,0)</f>
        <v>1.6671037883497774E-13</v>
      </c>
      <c r="BF103" s="14">
        <f t="shared" si="91"/>
        <v>2.3598166018346595E-12</v>
      </c>
      <c r="BG103" s="22">
        <f t="shared" si="61"/>
        <v>4.400367824666284E-12</v>
      </c>
      <c r="BH103" s="60">
        <f t="shared" si="62"/>
        <v>277.40405518371358</v>
      </c>
      <c r="BI103" s="60">
        <f ca="1">AVERAGE(OFFSET($BH$3,0,0,'Données projet'!$E$11+1,1))-AVERAGE(OFFSET($H$3,0,0,'Données projet'!$E$11+1,1))</f>
        <v>302.52480941204414</v>
      </c>
      <c r="BJ103" s="60">
        <f t="shared" si="92"/>
        <v>293.66452856196088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255.24719999999988</v>
      </c>
      <c r="CA103" s="14">
        <f t="shared" si="93"/>
        <v>61.708187819081218</v>
      </c>
      <c r="CB103" s="22">
        <f t="shared" si="64"/>
        <v>552.03063378489958</v>
      </c>
      <c r="CC103" s="60">
        <f t="shared" si="65"/>
        <v>829.43468896860873</v>
      </c>
      <c r="CD103" s="60">
        <f ca="1">AVERAGE(OFFSET($CC$3,0,0,'Données projet'!$E$12+1,1))-AVERAGE(OFFSET($H$3,0,0,'Données projet'!$E$12+1,1))</f>
        <v>442.98179778678298</v>
      </c>
      <c r="CE103" s="60">
        <f t="shared" si="94"/>
        <v>251.96153561746942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226.28205128205127</v>
      </c>
      <c r="CR103" s="13">
        <f>VLOOKUP(A103,'Données projet'!$A$139:$I$159,9,0)</f>
        <v>3.2051282051281986</v>
      </c>
      <c r="CS103" s="13">
        <f t="array" ref="CS103">INDEX(CR:CR,MIN(IF(ISNUMBER(CR103:CR299),ROW(CR103:CR299),"")))</f>
        <v>3.2051282051281986</v>
      </c>
      <c r="CT103" s="13">
        <f>IF('Données projet'!$A$140&gt;35,CT102+CS103-DB102,IF(A103&lt;'Données projet'!$A$140,$CQ$205^A103,IF(A103='Données projet'!$A$140,'Données projet'!$B$140,CT102+CS103-DB102)))</f>
        <v>226.28205128205127</v>
      </c>
      <c r="CU103" s="18">
        <f>CT103*VLOOKUP('Données projet'!$B$13,Paramètres!$A$1:$I$89,3,0)*VLOOKUP('Données projet'!$B$13,Paramètres!$A$1:$I$89,5,0)</f>
        <v>215.32999999999998</v>
      </c>
      <c r="CV103" s="14">
        <f t="shared" si="95"/>
        <v>53.098620315464494</v>
      </c>
      <c r="CW103" s="22">
        <f t="shared" si="67"/>
        <v>467.51318038276719</v>
      </c>
      <c r="CX103" s="60">
        <f t="shared" si="68"/>
        <v>744.91723556647639</v>
      </c>
      <c r="CY103" s="60">
        <f ca="1">AVERAGE(OFFSET($CX$3,0,0,'Données projet'!$E$13+1,1))-AVERAGE(OFFSET($H$3,0,0,'Données projet'!$E$13+1,1))</f>
        <v>388.53310909800695</v>
      </c>
      <c r="CZ103" s="60">
        <f t="shared" si="96"/>
        <v>263.82153161042811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0">
        <f t="shared" si="55"/>
        <v>797.74600075701687</v>
      </c>
      <c r="S104" s="60">
        <f ca="1">AVERAGE(OFFSET($R$3,0,0,'Données projet'!$E$9+1,1))-AVERAGE(OFFSET($H$3,0,0,'Données projet'!$E$9+1,1))</f>
        <v>469.67944008675863</v>
      </c>
      <c r="T104" s="60">
        <f t="shared" si="88"/>
        <v>266.11908070867173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1.8089849618263545E-13</v>
      </c>
      <c r="AK104" s="14">
        <f t="shared" si="89"/>
        <v>2.536422473342444E-12</v>
      </c>
      <c r="AL104" s="22">
        <f t="shared" si="58"/>
        <v>4.7326673552561798E-12</v>
      </c>
      <c r="AM104" s="60">
        <f t="shared" si="59"/>
        <v>277.68039254707912</v>
      </c>
      <c r="AN104" s="60">
        <f ca="1">AVERAGE(OFFSET($AM$3,0,0,'Données projet'!$E$10+1,1))-AVERAGE(OFFSET($H$3,0,0,'Données projet'!$E$10+1,1))</f>
        <v>323.1883858932618</v>
      </c>
      <c r="AO104" s="60">
        <f t="shared" si="90"/>
        <v>313.39536932399085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2.2737367544323206E-13</v>
      </c>
      <c r="BE104" s="14">
        <f>BD104*VLOOKUP('Données projet'!$B$11,Paramètres!$A$1:$I$89,3,0)*VLOOKUP('Données projet'!$B$11,Paramètres!$A$1:$I$89,5,0)</f>
        <v>1.6671037883497774E-13</v>
      </c>
      <c r="BF104" s="14">
        <f t="shared" si="91"/>
        <v>2.3598166018346595E-12</v>
      </c>
      <c r="BG104" s="22">
        <f t="shared" si="61"/>
        <v>4.400367824666284E-12</v>
      </c>
      <c r="BH104" s="60">
        <f t="shared" si="62"/>
        <v>277.68039254707878</v>
      </c>
      <c r="BI104" s="60">
        <f ca="1">AVERAGE(OFFSET($BH$3,0,0,'Données projet'!$E$11+1,1))-AVERAGE(OFFSET($H$3,0,0,'Données projet'!$E$11+1,1))</f>
        <v>302.52480941204414</v>
      </c>
      <c r="BJ104" s="60">
        <f t="shared" si="92"/>
        <v>293.66452856196088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223.57295999999988</v>
      </c>
      <c r="CA104" s="14">
        <f t="shared" si="93"/>
        <v>54.890721304299568</v>
      </c>
      <c r="CB104" s="22">
        <f t="shared" si="64"/>
        <v>484.99091160498818</v>
      </c>
      <c r="CC104" s="60">
        <f t="shared" si="65"/>
        <v>762.67130415206259</v>
      </c>
      <c r="CD104" s="60">
        <f ca="1">AVERAGE(OFFSET($CC$3,0,0,'Données projet'!$E$12+1,1))-AVERAGE(OFFSET($H$3,0,0,'Données projet'!$E$12+1,1))</f>
        <v>442.98179778678298</v>
      </c>
      <c r="CE104" s="60">
        <f t="shared" si="94"/>
        <v>251.96153561746942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3.0769230769230775</v>
      </c>
      <c r="CT104" s="13">
        <f>IF('Données projet'!$A$140&gt;35,CT103+CS104-DB103,IF(A104&lt;'Données projet'!$A$140,$CQ$205^A104,IF(A104='Données projet'!$A$140,'Données projet'!$B$140,CT103+CS104-DB103)))</f>
        <v>229.35897435897434</v>
      </c>
      <c r="CU104" s="18">
        <f>CT104*VLOOKUP('Données projet'!$B$13,Paramètres!$A$1:$I$89,3,0)*VLOOKUP('Données projet'!$B$13,Paramètres!$A$1:$I$89,5,0)</f>
        <v>218.25799999999998</v>
      </c>
      <c r="CV104" s="14">
        <f t="shared" si="95"/>
        <v>53.736095630897005</v>
      </c>
      <c r="CW104" s="22">
        <f t="shared" si="67"/>
        <v>473.72304989047893</v>
      </c>
      <c r="CX104" s="60">
        <f t="shared" si="68"/>
        <v>751.40344243755339</v>
      </c>
      <c r="CY104" s="60">
        <f ca="1">AVERAGE(OFFSET($CX$3,0,0,'Données projet'!$E$13+1,1))-AVERAGE(OFFSET($H$3,0,0,'Données projet'!$E$13+1,1))</f>
        <v>388.53310909800695</v>
      </c>
      <c r="CZ104" s="60">
        <f t="shared" si="96"/>
        <v>263.82153161042811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0">
        <f t="shared" si="55"/>
        <v>806.44163827087937</v>
      </c>
      <c r="S105" s="60">
        <f ca="1">AVERAGE(OFFSET($R$3,0,0,'Données projet'!$E$9+1,1))-AVERAGE(OFFSET($H$3,0,0,'Données projet'!$E$9+1,1))</f>
        <v>469.67944008675863</v>
      </c>
      <c r="T105" s="60">
        <f t="shared" si="88"/>
        <v>266.11908070867173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1.8089849618263545E-13</v>
      </c>
      <c r="AK105" s="14">
        <f t="shared" si="89"/>
        <v>2.536422473342444E-12</v>
      </c>
      <c r="AL105" s="22">
        <f t="shared" si="58"/>
        <v>4.7326673552561798E-12</v>
      </c>
      <c r="AM105" s="60">
        <f t="shared" si="59"/>
        <v>277.95193607498766</v>
      </c>
      <c r="AN105" s="60">
        <f ca="1">AVERAGE(OFFSET($AM$3,0,0,'Données projet'!$E$10+1,1))-AVERAGE(OFFSET($H$3,0,0,'Données projet'!$E$10+1,1))</f>
        <v>323.1883858932618</v>
      </c>
      <c r="AO105" s="60">
        <f t="shared" si="90"/>
        <v>313.39536932399085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2.2737367544323206E-13</v>
      </c>
      <c r="BE105" s="14">
        <f>BD105*VLOOKUP('Données projet'!$B$11,Paramètres!$A$1:$I$89,3,0)*VLOOKUP('Données projet'!$B$11,Paramètres!$A$1:$I$89,5,0)</f>
        <v>1.6671037883497774E-13</v>
      </c>
      <c r="BF105" s="14">
        <f t="shared" si="91"/>
        <v>2.3598166018346595E-12</v>
      </c>
      <c r="BG105" s="22">
        <f t="shared" si="61"/>
        <v>4.400367824666284E-12</v>
      </c>
      <c r="BH105" s="60">
        <f t="shared" si="62"/>
        <v>277.95193607498732</v>
      </c>
      <c r="BI105" s="60">
        <f ca="1">AVERAGE(OFFSET($BH$3,0,0,'Données projet'!$E$11+1,1))-AVERAGE(OFFSET($H$3,0,0,'Données projet'!$E$11+1,1))</f>
        <v>302.52480941204414</v>
      </c>
      <c r="BJ105" s="60">
        <f t="shared" si="92"/>
        <v>293.66452856196088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227.27951999999985</v>
      </c>
      <c r="CA105" s="14">
        <f t="shared" si="93"/>
        <v>55.694043418351256</v>
      </c>
      <c r="CB105" s="22">
        <f t="shared" si="64"/>
        <v>492.84562295362815</v>
      </c>
      <c r="CC105" s="60">
        <f t="shared" si="65"/>
        <v>770.79755902861109</v>
      </c>
      <c r="CD105" s="60">
        <f ca="1">AVERAGE(OFFSET($CC$3,0,0,'Données projet'!$E$12+1,1))-AVERAGE(OFFSET($H$3,0,0,'Données projet'!$E$12+1,1))</f>
        <v>442.98179778678298</v>
      </c>
      <c r="CE105" s="60">
        <f t="shared" si="94"/>
        <v>251.96153561746942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3.0769230769230775</v>
      </c>
      <c r="CT105" s="13">
        <f>IF('Données projet'!$A$140&gt;35,CT104+CS105-DB104,IF(A105&lt;'Données projet'!$A$140,$CQ$205^A105,IF(A105='Données projet'!$A$140,'Données projet'!$B$140,CT104+CS105-DB104)))</f>
        <v>232.4358974358974</v>
      </c>
      <c r="CU105" s="18">
        <f>CT105*VLOOKUP('Données projet'!$B$13,Paramètres!$A$1:$I$89,3,0)*VLOOKUP('Données projet'!$B$13,Paramètres!$A$1:$I$89,5,0)</f>
        <v>221.18599999999998</v>
      </c>
      <c r="CV105" s="14">
        <f t="shared" si="95"/>
        <v>54.372576246626387</v>
      </c>
      <c r="CW105" s="22">
        <f t="shared" si="67"/>
        <v>479.93118696287434</v>
      </c>
      <c r="CX105" s="60">
        <f t="shared" si="68"/>
        <v>757.88312303785733</v>
      </c>
      <c r="CY105" s="60">
        <f ca="1">AVERAGE(OFFSET($CX$3,0,0,'Données projet'!$E$13+1,1))-AVERAGE(OFFSET($H$3,0,0,'Données projet'!$E$13+1,1))</f>
        <v>388.53310909800695</v>
      </c>
      <c r="CZ105" s="60">
        <f t="shared" si="96"/>
        <v>263.82153161042811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0">
        <f t="shared" si="55"/>
        <v>815.12973861458931</v>
      </c>
      <c r="S106" s="60">
        <f ca="1">AVERAGE(OFFSET($R$3,0,0,'Données projet'!$E$9+1,1))-AVERAGE(OFFSET($H$3,0,0,'Données projet'!$E$9+1,1))</f>
        <v>469.67944008675863</v>
      </c>
      <c r="T106" s="60">
        <f t="shared" si="88"/>
        <v>266.11908070867173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1.8089849618263545E-13</v>
      </c>
      <c r="AK106" s="14">
        <f t="shared" si="89"/>
        <v>2.536422473342444E-12</v>
      </c>
      <c r="AL106" s="22">
        <f t="shared" si="58"/>
        <v>4.7326673552561798E-12</v>
      </c>
      <c r="AM106" s="60">
        <f t="shared" si="59"/>
        <v>278.21876892976741</v>
      </c>
      <c r="AN106" s="60">
        <f ca="1">AVERAGE(OFFSET($AM$3,0,0,'Données projet'!$E$10+1,1))-AVERAGE(OFFSET($H$3,0,0,'Données projet'!$E$10+1,1))</f>
        <v>323.1883858932618</v>
      </c>
      <c r="AO106" s="60">
        <f t="shared" si="90"/>
        <v>313.39536932399085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2.2737367544323206E-13</v>
      </c>
      <c r="BE106" s="14">
        <f>BD106*VLOOKUP('Données projet'!$B$11,Paramètres!$A$1:$I$89,3,0)*VLOOKUP('Données projet'!$B$11,Paramètres!$A$1:$I$89,5,0)</f>
        <v>1.6671037883497774E-13</v>
      </c>
      <c r="BF106" s="14">
        <f t="shared" si="91"/>
        <v>2.3598166018346595E-12</v>
      </c>
      <c r="BG106" s="22">
        <f t="shared" si="61"/>
        <v>4.400367824666284E-12</v>
      </c>
      <c r="BH106" s="60">
        <f t="shared" si="62"/>
        <v>278.21876892976707</v>
      </c>
      <c r="BI106" s="60">
        <f ca="1">AVERAGE(OFFSET($BH$3,0,0,'Données projet'!$E$11+1,1))-AVERAGE(OFFSET($H$3,0,0,'Données projet'!$E$11+1,1))</f>
        <v>302.52480941204414</v>
      </c>
      <c r="BJ106" s="60">
        <f t="shared" si="92"/>
        <v>293.66452856196088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230.98607999999982</v>
      </c>
      <c r="CA106" s="14">
        <f t="shared" si="93"/>
        <v>56.495841965100745</v>
      </c>
      <c r="CB106" s="22">
        <f t="shared" si="64"/>
        <v>500.69768075588348</v>
      </c>
      <c r="CC106" s="60">
        <f t="shared" si="65"/>
        <v>778.91644968564617</v>
      </c>
      <c r="CD106" s="60">
        <f ca="1">AVERAGE(OFFSET($CC$3,0,0,'Données projet'!$E$12+1,1))-AVERAGE(OFFSET($H$3,0,0,'Données projet'!$E$12+1,1))</f>
        <v>442.98179778678298</v>
      </c>
      <c r="CE106" s="60">
        <f t="shared" si="94"/>
        <v>251.96153561746942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3.0769230769230775</v>
      </c>
      <c r="CT106" s="13">
        <f>IF('Données projet'!$A$140&gt;35,CT105+CS106-DB105,IF(A106&lt;'Données projet'!$A$140,$CQ$205^A106,IF(A106='Données projet'!$A$140,'Données projet'!$B$140,CT105+CS106-DB105)))</f>
        <v>235.51282051282047</v>
      </c>
      <c r="CU106" s="18">
        <f>CT106*VLOOKUP('Données projet'!$B$13,Paramètres!$A$1:$I$89,3,0)*VLOOKUP('Données projet'!$B$13,Paramètres!$A$1:$I$89,5,0)</f>
        <v>224.11399999999995</v>
      </c>
      <c r="CV106" s="14">
        <f t="shared" si="95"/>
        <v>55.008076852464058</v>
      </c>
      <c r="CW106" s="22">
        <f t="shared" si="67"/>
        <v>486.13761718470818</v>
      </c>
      <c r="CX106" s="60">
        <f t="shared" si="68"/>
        <v>764.35638611447087</v>
      </c>
      <c r="CY106" s="60">
        <f ca="1">AVERAGE(OFFSET($CX$3,0,0,'Données projet'!$E$13+1,1))-AVERAGE(OFFSET($H$3,0,0,'Données projet'!$E$13+1,1))</f>
        <v>388.53310909800695</v>
      </c>
      <c r="CZ106" s="60">
        <f t="shared" si="96"/>
        <v>263.82153161042811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0">
        <f t="shared" si="55"/>
        <v>823.8104341002304</v>
      </c>
      <c r="S107" s="60">
        <f ca="1">AVERAGE(OFFSET($R$3,0,0,'Données projet'!$E$9+1,1))-AVERAGE(OFFSET($H$3,0,0,'Données projet'!$E$9+1,1))</f>
        <v>469.67944008675863</v>
      </c>
      <c r="T107" s="60">
        <f t="shared" si="88"/>
        <v>266.11908070867173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1.8089849618263545E-13</v>
      </c>
      <c r="AK107" s="14">
        <f t="shared" si="89"/>
        <v>2.536422473342444E-12</v>
      </c>
      <c r="AL107" s="22">
        <f t="shared" si="58"/>
        <v>4.7326673552561798E-12</v>
      </c>
      <c r="AM107" s="60">
        <f t="shared" si="59"/>
        <v>278.48097283106563</v>
      </c>
      <c r="AN107" s="60">
        <f ca="1">AVERAGE(OFFSET($AM$3,0,0,'Données projet'!$E$10+1,1))-AVERAGE(OFFSET($H$3,0,0,'Données projet'!$E$10+1,1))</f>
        <v>323.1883858932618</v>
      </c>
      <c r="AO107" s="60">
        <f t="shared" si="90"/>
        <v>313.39536932399085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2.2737367544323206E-13</v>
      </c>
      <c r="BE107" s="14">
        <f>BD107*VLOOKUP('Données projet'!$B$11,Paramètres!$A$1:$I$89,3,0)*VLOOKUP('Données projet'!$B$11,Paramètres!$A$1:$I$89,5,0)</f>
        <v>1.6671037883497774E-13</v>
      </c>
      <c r="BF107" s="14">
        <f t="shared" si="91"/>
        <v>2.3598166018346595E-12</v>
      </c>
      <c r="BG107" s="22">
        <f t="shared" si="61"/>
        <v>4.400367824666284E-12</v>
      </c>
      <c r="BH107" s="60">
        <f t="shared" si="62"/>
        <v>278.48097283106529</v>
      </c>
      <c r="BI107" s="60">
        <f ca="1">AVERAGE(OFFSET($BH$3,0,0,'Données projet'!$E$11+1,1))-AVERAGE(OFFSET($H$3,0,0,'Données projet'!$E$11+1,1))</f>
        <v>302.52480941204414</v>
      </c>
      <c r="BJ107" s="60">
        <f t="shared" si="92"/>
        <v>293.66452856196088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234.69263999999981</v>
      </c>
      <c r="CA107" s="14">
        <f t="shared" si="93"/>
        <v>57.29614421540046</v>
      </c>
      <c r="CB107" s="22">
        <f t="shared" si="64"/>
        <v>508.54713250848886</v>
      </c>
      <c r="CC107" s="60">
        <f t="shared" si="65"/>
        <v>787.02810533954971</v>
      </c>
      <c r="CD107" s="60">
        <f ca="1">AVERAGE(OFFSET($CC$3,0,0,'Données projet'!$E$12+1,1))-AVERAGE(OFFSET($H$3,0,0,'Données projet'!$E$12+1,1))</f>
        <v>442.98179778678298</v>
      </c>
      <c r="CE107" s="60">
        <f t="shared" si="94"/>
        <v>251.96153561746942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3.0769230769230775</v>
      </c>
      <c r="CT107" s="13">
        <f>IF('Données projet'!$A$140&gt;35,CT106+CS107-DB106,IF(A107&lt;'Données projet'!$A$140,$CQ$205^A107,IF(A107='Données projet'!$A$140,'Données projet'!$B$140,CT106+CS107-DB106)))</f>
        <v>238.58974358974353</v>
      </c>
      <c r="CU107" s="18">
        <f>CT107*VLOOKUP('Données projet'!$B$13,Paramètres!$A$1:$I$89,3,0)*VLOOKUP('Données projet'!$B$13,Paramètres!$A$1:$I$89,5,0)</f>
        <v>227.04199999999994</v>
      </c>
      <c r="CV107" s="14">
        <f t="shared" si="95"/>
        <v>55.642611732318088</v>
      </c>
      <c r="CW107" s="22">
        <f t="shared" si="67"/>
        <v>492.34236543378728</v>
      </c>
      <c r="CX107" s="60">
        <f t="shared" si="68"/>
        <v>770.82333826484819</v>
      </c>
      <c r="CY107" s="60">
        <f ca="1">AVERAGE(OFFSET($CX$3,0,0,'Données projet'!$E$13+1,1))-AVERAGE(OFFSET($H$3,0,0,'Données projet'!$E$13+1,1))</f>
        <v>388.53310909800695</v>
      </c>
      <c r="CZ107" s="60">
        <f t="shared" si="96"/>
        <v>263.82153161042811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0">
        <f t="shared" si="55"/>
        <v>832.48385393253454</v>
      </c>
      <c r="S108" s="60">
        <f ca="1">AVERAGE(OFFSET($R$3,0,0,'Données projet'!$E$9+1,1))-AVERAGE(OFFSET($H$3,0,0,'Données projet'!$E$9+1,1))</f>
        <v>469.67944008675863</v>
      </c>
      <c r="T108" s="60">
        <f t="shared" si="88"/>
        <v>266.11908070867173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1.8089849618263545E-13</v>
      </c>
      <c r="AK108" s="14">
        <f t="shared" si="89"/>
        <v>2.536422473342444E-12</v>
      </c>
      <c r="AL108" s="22">
        <f t="shared" si="58"/>
        <v>4.7326673552561798E-12</v>
      </c>
      <c r="AM108" s="60">
        <f t="shared" si="59"/>
        <v>278.73862808087648</v>
      </c>
      <c r="AN108" s="60">
        <f ca="1">AVERAGE(OFFSET($AM$3,0,0,'Données projet'!$E$10+1,1))-AVERAGE(OFFSET($H$3,0,0,'Données projet'!$E$10+1,1))</f>
        <v>323.1883858932618</v>
      </c>
      <c r="AO108" s="60">
        <f t="shared" si="90"/>
        <v>313.39536932399085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2.2737367544323206E-13</v>
      </c>
      <c r="BE108" s="14">
        <f>BD108*VLOOKUP('Données projet'!$B$11,Paramètres!$A$1:$I$89,3,0)*VLOOKUP('Données projet'!$B$11,Paramètres!$A$1:$I$89,5,0)</f>
        <v>1.6671037883497774E-13</v>
      </c>
      <c r="BF108" s="14">
        <f t="shared" si="91"/>
        <v>2.3598166018346595E-12</v>
      </c>
      <c r="BG108" s="22">
        <f t="shared" si="61"/>
        <v>4.400367824666284E-12</v>
      </c>
      <c r="BH108" s="60">
        <f t="shared" si="62"/>
        <v>278.73862808087614</v>
      </c>
      <c r="BI108" s="60">
        <f ca="1">AVERAGE(OFFSET($BH$3,0,0,'Données projet'!$E$11+1,1))-AVERAGE(OFFSET($H$3,0,0,'Données projet'!$E$11+1,1))</f>
        <v>302.52480941204414</v>
      </c>
      <c r="BJ108" s="60">
        <f t="shared" si="92"/>
        <v>293.66452856196088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238.39919999999978</v>
      </c>
      <c r="CA108" s="14">
        <f t="shared" si="93"/>
        <v>58.094976529303359</v>
      </c>
      <c r="CB108" s="22">
        <f t="shared" si="64"/>
        <v>516.39402412186962</v>
      </c>
      <c r="CC108" s="60">
        <f t="shared" si="65"/>
        <v>795.13265220274138</v>
      </c>
      <c r="CD108" s="60">
        <f ca="1">AVERAGE(OFFSET($CC$3,0,0,'Données projet'!$E$12+1,1))-AVERAGE(OFFSET($H$3,0,0,'Données projet'!$E$12+1,1))</f>
        <v>442.98179778678298</v>
      </c>
      <c r="CE108" s="60">
        <f t="shared" si="94"/>
        <v>251.96153561746942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3.0769230769230775</v>
      </c>
      <c r="CT108" s="13">
        <f>IF('Données projet'!$A$140&gt;35,CT107+CS108-DB107,IF(A108&lt;'Données projet'!$A$140,$CQ$205^A108,IF(A108='Données projet'!$A$140,'Données projet'!$B$140,CT107+CS108-DB107)))</f>
        <v>241.6666666666666</v>
      </c>
      <c r="CU108" s="18">
        <f>CT108*VLOOKUP('Données projet'!$B$13,Paramètres!$A$1:$I$89,3,0)*VLOOKUP('Données projet'!$B$13,Paramètres!$A$1:$I$89,5,0)</f>
        <v>229.96999999999994</v>
      </c>
      <c r="CV108" s="14">
        <f t="shared" si="95"/>
        <v>56.276194780495985</v>
      </c>
      <c r="CW108" s="22">
        <f t="shared" si="67"/>
        <v>498.54545590936368</v>
      </c>
      <c r="CX108" s="60">
        <f t="shared" si="68"/>
        <v>777.28408399023544</v>
      </c>
      <c r="CY108" s="60">
        <f ca="1">AVERAGE(OFFSET($CX$3,0,0,'Données projet'!$E$13+1,1))-AVERAGE(OFFSET($H$3,0,0,'Données projet'!$E$13+1,1))</f>
        <v>388.53310909800695</v>
      </c>
      <c r="CZ108" s="60">
        <f t="shared" si="96"/>
        <v>263.82153161042811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0">
        <f t="shared" si="55"/>
        <v>841.15012431528203</v>
      </c>
      <c r="S109" s="60">
        <f ca="1">AVERAGE(OFFSET($R$3,0,0,'Données projet'!$E$9+1,1))-AVERAGE(OFFSET($H$3,0,0,'Données projet'!$E$9+1,1))</f>
        <v>469.67944008675863</v>
      </c>
      <c r="T109" s="60">
        <f t="shared" si="88"/>
        <v>266.11908070867173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1.8089849618263545E-13</v>
      </c>
      <c r="AK109" s="14">
        <f t="shared" si="89"/>
        <v>2.536422473342444E-12</v>
      </c>
      <c r="AL109" s="22">
        <f t="shared" si="58"/>
        <v>4.7326673552561798E-12</v>
      </c>
      <c r="AM109" s="60">
        <f t="shared" si="59"/>
        <v>278.99181358813382</v>
      </c>
      <c r="AN109" s="60">
        <f ca="1">AVERAGE(OFFSET($AM$3,0,0,'Données projet'!$E$10+1,1))-AVERAGE(OFFSET($H$3,0,0,'Données projet'!$E$10+1,1))</f>
        <v>323.1883858932618</v>
      </c>
      <c r="AO109" s="60">
        <f t="shared" si="90"/>
        <v>313.39536932399085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2.2737367544323206E-13</v>
      </c>
      <c r="BE109" s="14">
        <f>BD109*VLOOKUP('Données projet'!$B$11,Paramètres!$A$1:$I$89,3,0)*VLOOKUP('Données projet'!$B$11,Paramètres!$A$1:$I$89,5,0)</f>
        <v>1.6671037883497774E-13</v>
      </c>
      <c r="BF109" s="14">
        <f t="shared" si="91"/>
        <v>2.3598166018346595E-12</v>
      </c>
      <c r="BG109" s="22">
        <f t="shared" si="61"/>
        <v>4.400367824666284E-12</v>
      </c>
      <c r="BH109" s="60">
        <f t="shared" si="62"/>
        <v>278.99181358813348</v>
      </c>
      <c r="BI109" s="60">
        <f ca="1">AVERAGE(OFFSET($BH$3,0,0,'Données projet'!$E$11+1,1))-AVERAGE(OFFSET($H$3,0,0,'Données projet'!$E$11+1,1))</f>
        <v>302.52480941204414</v>
      </c>
      <c r="BJ109" s="60">
        <f t="shared" si="92"/>
        <v>293.66452856196088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242.10575999999978</v>
      </c>
      <c r="CA109" s="14">
        <f t="shared" si="93"/>
        <v>58.89236440016068</v>
      </c>
      <c r="CB109" s="22">
        <f t="shared" si="64"/>
        <v>524.2383999969461</v>
      </c>
      <c r="CC109" s="60">
        <f t="shared" si="65"/>
        <v>803.23021358507526</v>
      </c>
      <c r="CD109" s="60">
        <f ca="1">AVERAGE(OFFSET($CC$3,0,0,'Données projet'!$E$12+1,1))-AVERAGE(OFFSET($H$3,0,0,'Données projet'!$E$12+1,1))</f>
        <v>442.98179778678298</v>
      </c>
      <c r="CE109" s="60">
        <f t="shared" si="94"/>
        <v>251.96153561746942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3.0769230769230775</v>
      </c>
      <c r="CT109" s="13">
        <f>IF('Données projet'!$A$140&gt;35,CT108+CS109-DB108,IF(A109&lt;'Données projet'!$A$140,$CQ$205^A109,IF(A109='Données projet'!$A$140,'Données projet'!$B$140,CT108+CS109-DB108)))</f>
        <v>244.74358974358967</v>
      </c>
      <c r="CU109" s="18">
        <f>CT109*VLOOKUP('Données projet'!$B$13,Paramètres!$A$1:$I$89,3,0)*VLOOKUP('Données projet'!$B$13,Paramètres!$A$1:$I$89,5,0)</f>
        <v>232.89799999999994</v>
      </c>
      <c r="CV109" s="14">
        <f t="shared" si="95"/>
        <v>56.908839517153446</v>
      </c>
      <c r="CW109" s="22">
        <f t="shared" si="67"/>
        <v>504.7469121590421</v>
      </c>
      <c r="CX109" s="60">
        <f t="shared" si="68"/>
        <v>783.7387257471712</v>
      </c>
      <c r="CY109" s="60">
        <f ca="1">AVERAGE(OFFSET($CX$3,0,0,'Données projet'!$E$13+1,1))-AVERAGE(OFFSET($H$3,0,0,'Données projet'!$E$13+1,1))</f>
        <v>388.53310909800695</v>
      </c>
      <c r="CZ109" s="60">
        <f t="shared" si="96"/>
        <v>263.82153161042811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0">
        <f t="shared" si="55"/>
        <v>849.80936855212667</v>
      </c>
      <c r="S110" s="60">
        <f ca="1">AVERAGE(OFFSET($R$3,0,0,'Données projet'!$E$9+1,1))-AVERAGE(OFFSET($H$3,0,0,'Données projet'!$E$9+1,1))</f>
        <v>469.67944008675863</v>
      </c>
      <c r="T110" s="60">
        <f t="shared" si="88"/>
        <v>266.11908070867173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1.8089849618263545E-13</v>
      </c>
      <c r="AK110" s="14">
        <f t="shared" si="89"/>
        <v>2.536422473342444E-12</v>
      </c>
      <c r="AL110" s="22">
        <f t="shared" si="58"/>
        <v>4.7326673552561798E-12</v>
      </c>
      <c r="AM110" s="60">
        <f t="shared" si="59"/>
        <v>279.24060689287836</v>
      </c>
      <c r="AN110" s="60">
        <f ca="1">AVERAGE(OFFSET($AM$3,0,0,'Données projet'!$E$10+1,1))-AVERAGE(OFFSET($H$3,0,0,'Données projet'!$E$10+1,1))</f>
        <v>323.1883858932618</v>
      </c>
      <c r="AO110" s="60">
        <f t="shared" si="90"/>
        <v>313.39536932399085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2.2737367544323206E-13</v>
      </c>
      <c r="BE110" s="14">
        <f>BD110*VLOOKUP('Données projet'!$B$11,Paramètres!$A$1:$I$89,3,0)*VLOOKUP('Données projet'!$B$11,Paramètres!$A$1:$I$89,5,0)</f>
        <v>1.6671037883497774E-13</v>
      </c>
      <c r="BF110" s="14">
        <f t="shared" si="91"/>
        <v>2.3598166018346595E-12</v>
      </c>
      <c r="BG110" s="22">
        <f t="shared" si="61"/>
        <v>4.400367824666284E-12</v>
      </c>
      <c r="BH110" s="60">
        <f t="shared" si="62"/>
        <v>279.24060689287802</v>
      </c>
      <c r="BI110" s="60">
        <f ca="1">AVERAGE(OFFSET($BH$3,0,0,'Données projet'!$E$11+1,1))-AVERAGE(OFFSET($H$3,0,0,'Données projet'!$E$11+1,1))</f>
        <v>302.52480941204414</v>
      </c>
      <c r="BJ110" s="60">
        <f t="shared" si="92"/>
        <v>293.66452856196088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245.81231999999974</v>
      </c>
      <c r="CA110" s="14">
        <f t="shared" si="93"/>
        <v>59.68833249594293</v>
      </c>
      <c r="CB110" s="22">
        <f t="shared" si="64"/>
        <v>532.08030309710023</v>
      </c>
      <c r="CC110" s="60">
        <f t="shared" si="65"/>
        <v>811.32090998997387</v>
      </c>
      <c r="CD110" s="60">
        <f ca="1">AVERAGE(OFFSET($CC$3,0,0,'Données projet'!$E$12+1,1))-AVERAGE(OFFSET($H$3,0,0,'Données projet'!$E$12+1,1))</f>
        <v>442.98179778678298</v>
      </c>
      <c r="CE110" s="60">
        <f t="shared" si="94"/>
        <v>251.96153561746942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3.0769230769230775</v>
      </c>
      <c r="CT110" s="13">
        <f>IF('Données projet'!$A$140&gt;35,CT109+CS110-DB109,IF(A110&lt;'Données projet'!$A$140,$CQ$205^A110,IF(A110='Données projet'!$A$140,'Données projet'!$B$140,CT109+CS110-DB109)))</f>
        <v>247.82051282051273</v>
      </c>
      <c r="CU110" s="18">
        <f>CT110*VLOOKUP('Données projet'!$B$13,Paramètres!$A$1:$I$89,3,0)*VLOOKUP('Données projet'!$B$13,Paramètres!$A$1:$I$89,5,0)</f>
        <v>235.82599999999991</v>
      </c>
      <c r="CV110" s="14">
        <f t="shared" si="95"/>
        <v>57.540559102944393</v>
      </c>
      <c r="CW110" s="22">
        <f t="shared" si="67"/>
        <v>510.94675710429465</v>
      </c>
      <c r="CX110" s="60">
        <f t="shared" si="68"/>
        <v>790.18736399716829</v>
      </c>
      <c r="CY110" s="60">
        <f ca="1">AVERAGE(OFFSET($CX$3,0,0,'Données projet'!$E$13+1,1))-AVERAGE(OFFSET($H$3,0,0,'Données projet'!$E$13+1,1))</f>
        <v>388.53310909800695</v>
      </c>
      <c r="CZ110" s="60">
        <f t="shared" si="96"/>
        <v>263.82153161042811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0">
        <f t="shared" si="55"/>
        <v>858.46170714224695</v>
      </c>
      <c r="S111" s="60">
        <f ca="1">AVERAGE(OFFSET($R$3,0,0,'Données projet'!$E$9+1,1))-AVERAGE(OFFSET($H$3,0,0,'Données projet'!$E$9+1,1))</f>
        <v>469.67944008675863</v>
      </c>
      <c r="T111" s="60">
        <f t="shared" si="88"/>
        <v>266.11908070867173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1.8089849618263545E-13</v>
      </c>
      <c r="AK111" s="14">
        <f t="shared" si="89"/>
        <v>2.536422473342444E-12</v>
      </c>
      <c r="AL111" s="22">
        <f t="shared" si="58"/>
        <v>4.7326673552561798E-12</v>
      </c>
      <c r="AM111" s="60">
        <f t="shared" si="59"/>
        <v>279.48508419000405</v>
      </c>
      <c r="AN111" s="60">
        <f ca="1">AVERAGE(OFFSET($AM$3,0,0,'Données projet'!$E$10+1,1))-AVERAGE(OFFSET($H$3,0,0,'Données projet'!$E$10+1,1))</f>
        <v>323.1883858932618</v>
      </c>
      <c r="AO111" s="60">
        <f t="shared" si="90"/>
        <v>313.39536932399085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2.2737367544323206E-13</v>
      </c>
      <c r="BE111" s="14">
        <f>BD111*VLOOKUP('Données projet'!$B$11,Paramètres!$A$1:$I$89,3,0)*VLOOKUP('Données projet'!$B$11,Paramètres!$A$1:$I$89,5,0)</f>
        <v>1.6671037883497774E-13</v>
      </c>
      <c r="BF111" s="14">
        <f t="shared" si="91"/>
        <v>2.3598166018346595E-12</v>
      </c>
      <c r="BG111" s="22">
        <f t="shared" si="61"/>
        <v>4.400367824666284E-12</v>
      </c>
      <c r="BH111" s="60">
        <f t="shared" si="62"/>
        <v>279.4850841900037</v>
      </c>
      <c r="BI111" s="60">
        <f ca="1">AVERAGE(OFFSET($BH$3,0,0,'Données projet'!$E$11+1,1))-AVERAGE(OFFSET($H$3,0,0,'Données projet'!$E$11+1,1))</f>
        <v>302.52480941204414</v>
      </c>
      <c r="BJ111" s="60">
        <f t="shared" si="92"/>
        <v>293.66452856196088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249.51887999999971</v>
      </c>
      <c r="CA111" s="14">
        <f t="shared" si="93"/>
        <v>60.482904697997853</v>
      </c>
      <c r="CB111" s="22">
        <f t="shared" si="64"/>
        <v>539.91977501567897</v>
      </c>
      <c r="CC111" s="60">
        <f t="shared" si="65"/>
        <v>819.40485920567835</v>
      </c>
      <c r="CD111" s="60">
        <f ca="1">AVERAGE(OFFSET($CC$3,0,0,'Données projet'!$E$12+1,1))-AVERAGE(OFFSET($H$3,0,0,'Données projet'!$E$12+1,1))</f>
        <v>442.98179778678298</v>
      </c>
      <c r="CE111" s="60">
        <f t="shared" si="94"/>
        <v>251.96153561746942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3.0769230769230775</v>
      </c>
      <c r="CT111" s="13">
        <f>IF('Données projet'!$A$140&gt;35,CT110+CS111-DB110,IF(A111&lt;'Données projet'!$A$140,$CQ$205^A111,IF(A111='Données projet'!$A$140,'Données projet'!$B$140,CT110+CS111-DB110)))</f>
        <v>250.8974358974358</v>
      </c>
      <c r="CU111" s="18">
        <f>CT111*VLOOKUP('Données projet'!$B$13,Paramètres!$A$1:$I$89,3,0)*VLOOKUP('Données projet'!$B$13,Paramètres!$A$1:$I$89,5,0)</f>
        <v>238.75399999999991</v>
      </c>
      <c r="CV111" s="14">
        <f t="shared" si="95"/>
        <v>58.171366352922625</v>
      </c>
      <c r="CW111" s="22">
        <f t="shared" si="67"/>
        <v>517.14501306467344</v>
      </c>
      <c r="CX111" s="60">
        <f t="shared" si="68"/>
        <v>796.63009725467282</v>
      </c>
      <c r="CY111" s="60">
        <f ca="1">AVERAGE(OFFSET($CX$3,0,0,'Données projet'!$E$13+1,1))-AVERAGE(OFFSET($H$3,0,0,'Données projet'!$E$13+1,1))</f>
        <v>388.53310909800695</v>
      </c>
      <c r="CZ111" s="60">
        <f t="shared" si="96"/>
        <v>263.82153161042811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0">
        <f t="shared" si="55"/>
        <v>867.1072578711877</v>
      </c>
      <c r="S112" s="60">
        <f ca="1">AVERAGE(OFFSET($R$3,0,0,'Données projet'!$E$9+1,1))-AVERAGE(OFFSET($H$3,0,0,'Données projet'!$E$9+1,1))</f>
        <v>469.67944008675863</v>
      </c>
      <c r="T112" s="60">
        <f t="shared" si="88"/>
        <v>266.11908070867173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1.8089849618263545E-13</v>
      </c>
      <c r="AK112" s="14">
        <f t="shared" si="89"/>
        <v>2.536422473342444E-12</v>
      </c>
      <c r="AL112" s="22">
        <f t="shared" si="58"/>
        <v>4.7326673552561798E-12</v>
      </c>
      <c r="AM112" s="60">
        <f t="shared" si="59"/>
        <v>279.725320352594</v>
      </c>
      <c r="AN112" s="60">
        <f ca="1">AVERAGE(OFFSET($AM$3,0,0,'Données projet'!$E$10+1,1))-AVERAGE(OFFSET($H$3,0,0,'Données projet'!$E$10+1,1))</f>
        <v>323.1883858932618</v>
      </c>
      <c r="AO112" s="60">
        <f t="shared" si="90"/>
        <v>313.39536932399085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2.2737367544323206E-13</v>
      </c>
      <c r="BE112" s="14">
        <f>BD112*VLOOKUP('Données projet'!$B$11,Paramètres!$A$1:$I$89,3,0)*VLOOKUP('Données projet'!$B$11,Paramètres!$A$1:$I$89,5,0)</f>
        <v>1.6671037883497774E-13</v>
      </c>
      <c r="BF112" s="14">
        <f t="shared" si="91"/>
        <v>2.3598166018346595E-12</v>
      </c>
      <c r="BG112" s="22">
        <f t="shared" si="61"/>
        <v>4.400367824666284E-12</v>
      </c>
      <c r="BH112" s="60">
        <f t="shared" si="62"/>
        <v>279.72532035259366</v>
      </c>
      <c r="BI112" s="60">
        <f ca="1">AVERAGE(OFFSET($BH$3,0,0,'Données projet'!$E$11+1,1))-AVERAGE(OFFSET($H$3,0,0,'Données projet'!$E$11+1,1))</f>
        <v>302.52480941204414</v>
      </c>
      <c r="BJ112" s="60">
        <f t="shared" si="92"/>
        <v>293.66452856196088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253.22543999999971</v>
      </c>
      <c r="CA112" s="14">
        <f t="shared" si="93"/>
        <v>61.276104137439418</v>
      </c>
      <c r="CB112" s="22">
        <f t="shared" si="64"/>
        <v>547.75685603937313</v>
      </c>
      <c r="CC112" s="60">
        <f t="shared" si="65"/>
        <v>827.48217639196241</v>
      </c>
      <c r="CD112" s="60">
        <f ca="1">AVERAGE(OFFSET($CC$3,0,0,'Données projet'!$E$12+1,1))-AVERAGE(OFFSET($H$3,0,0,'Données projet'!$E$12+1,1))</f>
        <v>442.98179778678298</v>
      </c>
      <c r="CE112" s="60">
        <f t="shared" si="94"/>
        <v>251.96153561746942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3.0769230769230775</v>
      </c>
      <c r="CT112" s="13">
        <f>IF('Données projet'!$A$140&gt;35,CT111+CS112-DB111,IF(A112&lt;'Données projet'!$A$140,$CQ$205^A112,IF(A112='Données projet'!$A$140,'Données projet'!$B$140,CT111+CS112-DB111)))</f>
        <v>253.97435897435886</v>
      </c>
      <c r="CU112" s="18">
        <f>CT112*VLOOKUP('Données projet'!$B$13,Paramètres!$A$1:$I$89,3,0)*VLOOKUP('Données projet'!$B$13,Paramètres!$A$1:$I$89,5,0)</f>
        <v>241.6819999999999</v>
      </c>
      <c r="CV112" s="14">
        <f t="shared" si="95"/>
        <v>58.801273749741775</v>
      </c>
      <c r="CW112" s="22">
        <f t="shared" si="67"/>
        <v>523.34170178080001</v>
      </c>
      <c r="CX112" s="60">
        <f t="shared" si="68"/>
        <v>803.06702213338929</v>
      </c>
      <c r="CY112" s="60">
        <f ca="1">AVERAGE(OFFSET($CX$3,0,0,'Données projet'!$E$13+1,1))-AVERAGE(OFFSET($H$3,0,0,'Données projet'!$E$13+1,1))</f>
        <v>388.53310909800695</v>
      </c>
      <c r="CZ112" s="60">
        <f t="shared" si="96"/>
        <v>263.82153161042811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0">
        <f t="shared" si="55"/>
        <v>875.74613589723822</v>
      </c>
      <c r="S113" s="60">
        <f ca="1">AVERAGE(OFFSET($R$3,0,0,'Données projet'!$E$9+1,1))-AVERAGE(OFFSET($H$3,0,0,'Données projet'!$E$9+1,1))</f>
        <v>469.67944008675863</v>
      </c>
      <c r="T113" s="60">
        <f t="shared" si="88"/>
        <v>266.11908070867173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1.8089849618263545E-13</v>
      </c>
      <c r="AK113" s="14">
        <f t="shared" si="89"/>
        <v>2.536422473342444E-12</v>
      </c>
      <c r="AL113" s="22">
        <f t="shared" si="58"/>
        <v>4.7326673552561798E-12</v>
      </c>
      <c r="AM113" s="60">
        <f t="shared" si="59"/>
        <v>279.96138895485058</v>
      </c>
      <c r="AN113" s="60">
        <f ca="1">AVERAGE(OFFSET($AM$3,0,0,'Données projet'!$E$10+1,1))-AVERAGE(OFFSET($H$3,0,0,'Données projet'!$E$10+1,1))</f>
        <v>323.1883858932618</v>
      </c>
      <c r="AO113" s="60">
        <f t="shared" si="90"/>
        <v>313.39536932399085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2.2737367544323206E-13</v>
      </c>
      <c r="BE113" s="14">
        <f>BD113*VLOOKUP('Données projet'!$B$11,Paramètres!$A$1:$I$89,3,0)*VLOOKUP('Données projet'!$B$11,Paramètres!$A$1:$I$89,5,0)</f>
        <v>1.6671037883497774E-13</v>
      </c>
      <c r="BF113" s="14">
        <f t="shared" si="91"/>
        <v>2.3598166018346595E-12</v>
      </c>
      <c r="BG113" s="22">
        <f t="shared" si="61"/>
        <v>4.400367824666284E-12</v>
      </c>
      <c r="BH113" s="60">
        <f t="shared" si="62"/>
        <v>279.96138895485024</v>
      </c>
      <c r="BI113" s="60">
        <f ca="1">AVERAGE(OFFSET($BH$3,0,0,'Données projet'!$E$11+1,1))-AVERAGE(OFFSET($H$3,0,0,'Données projet'!$E$11+1,1))</f>
        <v>302.52480941204414</v>
      </c>
      <c r="BJ113" s="60">
        <f t="shared" si="92"/>
        <v>293.66452856196088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256.93199999999968</v>
      </c>
      <c r="CA113" s="14">
        <f t="shared" si="93"/>
        <v>62.0679532293465</v>
      </c>
      <c r="CB113" s="22">
        <f t="shared" si="64"/>
        <v>555.59158520777794</v>
      </c>
      <c r="CC113" s="60">
        <f t="shared" si="65"/>
        <v>835.55297416262374</v>
      </c>
      <c r="CD113" s="60">
        <f ca="1">AVERAGE(OFFSET($CC$3,0,0,'Données projet'!$E$12+1,1))-AVERAGE(OFFSET($H$3,0,0,'Données projet'!$E$12+1,1))</f>
        <v>442.98179778678298</v>
      </c>
      <c r="CE113" s="60">
        <f t="shared" si="94"/>
        <v>251.96153561746942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257.05128205128204</v>
      </c>
      <c r="CR113" s="13">
        <f>VLOOKUP(A113,'Données projet'!$A$139:$I$159,9,0)</f>
        <v>3.0769230769230775</v>
      </c>
      <c r="CS113" s="13">
        <f t="array" ref="CS113">INDEX(CR:CR,MIN(IF(ISNUMBER(CR113:CR309),ROW(CR113:CR309),"")))</f>
        <v>3.0769230769230775</v>
      </c>
      <c r="CT113" s="13">
        <f>IF('Données projet'!$A$140&gt;35,CT112+CS113-DB112,IF(A113&lt;'Données projet'!$A$140,$CQ$205^A113,IF(A113='Données projet'!$A$140,'Données projet'!$B$140,CT112+CS113-DB112)))</f>
        <v>257.05128205128193</v>
      </c>
      <c r="CU113" s="18">
        <f>CT113*VLOOKUP('Données projet'!$B$13,Paramètres!$A$1:$I$89,3,0)*VLOOKUP('Données projet'!$B$13,Paramètres!$A$1:$I$89,5,0)</f>
        <v>244.6099999999999</v>
      </c>
      <c r="CV113" s="14">
        <f t="shared" si="95"/>
        <v>59.430293456197688</v>
      </c>
      <c r="CW113" s="22">
        <f t="shared" si="67"/>
        <v>529.5368444362108</v>
      </c>
      <c r="CX113" s="60">
        <f t="shared" si="68"/>
        <v>809.4982333910566</v>
      </c>
      <c r="CY113" s="60">
        <f ca="1">AVERAGE(OFFSET($CX$3,0,0,'Données projet'!$E$13+1,1))-AVERAGE(OFFSET($H$3,0,0,'Données projet'!$E$13+1,1))</f>
        <v>388.53310909800695</v>
      </c>
      <c r="CZ113" s="60">
        <f t="shared" si="96"/>
        <v>263.82153161042811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33.333333333333336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0">
        <f t="shared" si="55"/>
        <v>808.49163939319442</v>
      </c>
      <c r="S114" s="60">
        <f ca="1">AVERAGE(OFFSET($R$3,0,0,'Données projet'!$E$9+1,1))-AVERAGE(OFFSET($H$3,0,0,'Données projet'!$E$9+1,1))</f>
        <v>469.67944008675863</v>
      </c>
      <c r="T114" s="60">
        <f t="shared" si="88"/>
        <v>266.11908070867173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1.8089849618263545E-13</v>
      </c>
      <c r="AK114" s="14">
        <f t="shared" si="89"/>
        <v>2.536422473342444E-12</v>
      </c>
      <c r="AL114" s="22">
        <f t="shared" si="58"/>
        <v>4.7326673552561798E-12</v>
      </c>
      <c r="AM114" s="60">
        <f t="shared" si="59"/>
        <v>280.19336229462829</v>
      </c>
      <c r="AN114" s="60">
        <f ca="1">AVERAGE(OFFSET($AM$3,0,0,'Données projet'!$E$10+1,1))-AVERAGE(OFFSET($H$3,0,0,'Données projet'!$E$10+1,1))</f>
        <v>323.1883858932618</v>
      </c>
      <c r="AO114" s="60">
        <f t="shared" si="90"/>
        <v>313.39536932399085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2.2737367544323206E-13</v>
      </c>
      <c r="BE114" s="14">
        <f>BD114*VLOOKUP('Données projet'!$B$11,Paramètres!$A$1:$I$89,3,0)*VLOOKUP('Données projet'!$B$11,Paramètres!$A$1:$I$89,5,0)</f>
        <v>1.6671037883497774E-13</v>
      </c>
      <c r="BF114" s="14">
        <f t="shared" si="91"/>
        <v>2.3598166018346595E-12</v>
      </c>
      <c r="BG114" s="22">
        <f t="shared" si="61"/>
        <v>4.400367824666284E-12</v>
      </c>
      <c r="BH114" s="60">
        <f t="shared" si="62"/>
        <v>280.19336229462795</v>
      </c>
      <c r="BI114" s="60">
        <f ca="1">AVERAGE(OFFSET($BH$3,0,0,'Données projet'!$E$11+1,1))-AVERAGE(OFFSET($H$3,0,0,'Données projet'!$E$11+1,1))</f>
        <v>302.52480941204414</v>
      </c>
      <c r="BJ114" s="60">
        <f t="shared" si="92"/>
        <v>293.66452856196088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227.19527999999966</v>
      </c>
      <c r="CA114" s="14">
        <f t="shared" si="93"/>
        <v>55.675803122401177</v>
      </c>
      <c r="CB114" s="22">
        <f t="shared" si="64"/>
        <v>492.66713643818139</v>
      </c>
      <c r="CC114" s="60">
        <f t="shared" si="65"/>
        <v>772.8604987328049</v>
      </c>
      <c r="CD114" s="60">
        <f ca="1">AVERAGE(OFFSET($CC$3,0,0,'Données projet'!$E$12+1,1))-AVERAGE(OFFSET($H$3,0,0,'Données projet'!$E$12+1,1))</f>
        <v>442.98179778678298</v>
      </c>
      <c r="CE114" s="60">
        <f t="shared" si="94"/>
        <v>251.96153561746942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2.7564102564102568</v>
      </c>
      <c r="CT114" s="13">
        <f>IF('Données projet'!$A$140&gt;35,CT113+CS114-DB113,IF(A114&lt;'Données projet'!$A$140,$CQ$205^A114,IF(A114='Données projet'!$A$140,'Données projet'!$B$140,CT113+CS114-DB113)))</f>
        <v>226.47435897435886</v>
      </c>
      <c r="CU114" s="18">
        <f>CT114*VLOOKUP('Données projet'!$B$13,Paramètres!$A$1:$I$89,3,0)*VLOOKUP('Données projet'!$B$13,Paramètres!$A$1:$I$89,5,0)</f>
        <v>215.51299999999989</v>
      </c>
      <c r="CV114" s="14">
        <f t="shared" si="95"/>
        <v>53.138491948042898</v>
      </c>
      <c r="CW114" s="22">
        <f t="shared" si="67"/>
        <v>467.90134847617452</v>
      </c>
      <c r="CX114" s="60">
        <f t="shared" si="68"/>
        <v>748.09471077079809</v>
      </c>
      <c r="CY114" s="60">
        <f ca="1">AVERAGE(OFFSET($CX$3,0,0,'Données projet'!$E$13+1,1))-AVERAGE(OFFSET($H$3,0,0,'Données projet'!$E$13+1,1))</f>
        <v>388.53310909800695</v>
      </c>
      <c r="CZ114" s="60">
        <f t="shared" si="96"/>
        <v>263.82153161042811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0">
        <f t="shared" si="55"/>
        <v>815.80134948862315</v>
      </c>
      <c r="S115" s="60">
        <f ca="1">AVERAGE(OFFSET($R$3,0,0,'Données projet'!$E$9+1,1))-AVERAGE(OFFSET($H$3,0,0,'Données projet'!$E$9+1,1))</f>
        <v>469.67944008675863</v>
      </c>
      <c r="T115" s="60">
        <f t="shared" si="88"/>
        <v>266.11908070867173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1.8089849618263545E-13</v>
      </c>
      <c r="AK115" s="14">
        <f t="shared" si="89"/>
        <v>2.536422473342444E-12</v>
      </c>
      <c r="AL115" s="22">
        <f t="shared" si="58"/>
        <v>4.7326673552561798E-12</v>
      </c>
      <c r="AM115" s="60">
        <f t="shared" si="59"/>
        <v>280.42131141557559</v>
      </c>
      <c r="AN115" s="60">
        <f ca="1">AVERAGE(OFFSET($AM$3,0,0,'Données projet'!$E$10+1,1))-AVERAGE(OFFSET($H$3,0,0,'Données projet'!$E$10+1,1))</f>
        <v>323.1883858932618</v>
      </c>
      <c r="AO115" s="60">
        <f t="shared" si="90"/>
        <v>313.39536932399085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2.2737367544323206E-13</v>
      </c>
      <c r="BE115" s="14">
        <f>BD115*VLOOKUP('Données projet'!$B$11,Paramètres!$A$1:$I$89,3,0)*VLOOKUP('Données projet'!$B$11,Paramètres!$A$1:$I$89,5,0)</f>
        <v>1.6671037883497774E-13</v>
      </c>
      <c r="BF115" s="14">
        <f t="shared" si="91"/>
        <v>2.3598166018346595E-12</v>
      </c>
      <c r="BG115" s="22">
        <f t="shared" si="61"/>
        <v>4.400367824666284E-12</v>
      </c>
      <c r="BH115" s="60">
        <f t="shared" si="62"/>
        <v>280.42131141557525</v>
      </c>
      <c r="BI115" s="60">
        <f ca="1">AVERAGE(OFFSET($BH$3,0,0,'Données projet'!$E$11+1,1))-AVERAGE(OFFSET($H$3,0,0,'Données projet'!$E$11+1,1))</f>
        <v>302.52480941204414</v>
      </c>
      <c r="BJ115" s="60">
        <f t="shared" si="92"/>
        <v>293.66452856196088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230.31215999999969</v>
      </c>
      <c r="CA115" s="14">
        <f t="shared" si="93"/>
        <v>56.350172492598332</v>
      </c>
      <c r="CB115" s="22">
        <f t="shared" si="64"/>
        <v>499.27022909127487</v>
      </c>
      <c r="CC115" s="60">
        <f t="shared" si="65"/>
        <v>779.69154050684574</v>
      </c>
      <c r="CD115" s="60">
        <f ca="1">AVERAGE(OFFSET($CC$3,0,0,'Données projet'!$E$12+1,1))-AVERAGE(OFFSET($H$3,0,0,'Données projet'!$E$12+1,1))</f>
        <v>442.98179778678298</v>
      </c>
      <c r="CE115" s="60">
        <f t="shared" si="94"/>
        <v>251.96153561746942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2.7564102564102568</v>
      </c>
      <c r="CT115" s="13">
        <f>IF('Données projet'!$A$140&gt;35,CT114+CS115-DB114,IF(A115&lt;'Données projet'!$A$140,$CQ$205^A115,IF(A115='Données projet'!$A$140,'Données projet'!$B$140,CT114+CS115-DB114)))</f>
        <v>229.23076923076911</v>
      </c>
      <c r="CU115" s="18">
        <f>CT115*VLOOKUP('Données projet'!$B$13,Paramètres!$A$1:$I$89,3,0)*VLOOKUP('Données projet'!$B$13,Paramètres!$A$1:$I$89,5,0)</f>
        <v>218.13599999999991</v>
      </c>
      <c r="CV115" s="14">
        <f t="shared" si="95"/>
        <v>53.709554122184592</v>
      </c>
      <c r="CW115" s="22">
        <f t="shared" si="67"/>
        <v>473.46434009613796</v>
      </c>
      <c r="CX115" s="60">
        <f t="shared" si="68"/>
        <v>753.88565151170883</v>
      </c>
      <c r="CY115" s="60">
        <f ca="1">AVERAGE(OFFSET($CX$3,0,0,'Données projet'!$E$13+1,1))-AVERAGE(OFFSET($H$3,0,0,'Données projet'!$E$13+1,1))</f>
        <v>388.53310909800695</v>
      </c>
      <c r="CZ115" s="60">
        <f t="shared" si="96"/>
        <v>263.82153161042811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0">
        <f t="shared" si="55"/>
        <v>823.10513587172727</v>
      </c>
      <c r="S116" s="60">
        <f ca="1">AVERAGE(OFFSET($R$3,0,0,'Données projet'!$E$9+1,1))-AVERAGE(OFFSET($H$3,0,0,'Données projet'!$E$9+1,1))</f>
        <v>469.67944008675863</v>
      </c>
      <c r="T116" s="60">
        <f t="shared" si="88"/>
        <v>266.11908070867173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1.8089849618263545E-13</v>
      </c>
      <c r="AK116" s="14">
        <f t="shared" si="89"/>
        <v>2.536422473342444E-12</v>
      </c>
      <c r="AL116" s="22">
        <f t="shared" si="58"/>
        <v>4.7326673552561798E-12</v>
      </c>
      <c r="AM116" s="60">
        <f t="shared" si="59"/>
        <v>280.64530612889234</v>
      </c>
      <c r="AN116" s="60">
        <f ca="1">AVERAGE(OFFSET($AM$3,0,0,'Données projet'!$E$10+1,1))-AVERAGE(OFFSET($H$3,0,0,'Données projet'!$E$10+1,1))</f>
        <v>323.1883858932618</v>
      </c>
      <c r="AO116" s="60">
        <f t="shared" si="90"/>
        <v>313.39536932399085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2.2737367544323206E-13</v>
      </c>
      <c r="BE116" s="14">
        <f>BD116*VLOOKUP('Données projet'!$B$11,Paramètres!$A$1:$I$89,3,0)*VLOOKUP('Données projet'!$B$11,Paramètres!$A$1:$I$89,5,0)</f>
        <v>1.6671037883497774E-13</v>
      </c>
      <c r="BF116" s="14">
        <f t="shared" si="91"/>
        <v>2.3598166018346595E-12</v>
      </c>
      <c r="BG116" s="22">
        <f t="shared" si="61"/>
        <v>4.400367824666284E-12</v>
      </c>
      <c r="BH116" s="60">
        <f t="shared" si="62"/>
        <v>280.645306128892</v>
      </c>
      <c r="BI116" s="60">
        <f ca="1">AVERAGE(OFFSET($BH$3,0,0,'Données projet'!$E$11+1,1))-AVERAGE(OFFSET($H$3,0,0,'Données projet'!$E$11+1,1))</f>
        <v>302.52480941204414</v>
      </c>
      <c r="BJ116" s="60">
        <f t="shared" si="92"/>
        <v>293.66452856196088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233.42903999999967</v>
      </c>
      <c r="CA116" s="14">
        <f t="shared" si="93"/>
        <v>57.023480348060083</v>
      </c>
      <c r="CB116" s="22">
        <f t="shared" si="64"/>
        <v>505.87147293953734</v>
      </c>
      <c r="CC116" s="60">
        <f t="shared" si="65"/>
        <v>786.51677906842497</v>
      </c>
      <c r="CD116" s="60">
        <f ca="1">AVERAGE(OFFSET($CC$3,0,0,'Données projet'!$E$12+1,1))-AVERAGE(OFFSET($H$3,0,0,'Données projet'!$E$12+1,1))</f>
        <v>442.98179778678298</v>
      </c>
      <c r="CE116" s="60">
        <f t="shared" si="94"/>
        <v>251.96153561746942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2.7564102564102568</v>
      </c>
      <c r="CT116" s="13">
        <f>IF('Données projet'!$A$140&gt;35,CT115+CS116-DB115,IF(A116&lt;'Données projet'!$A$140,$CQ$205^A116,IF(A116='Données projet'!$A$140,'Données projet'!$B$140,CT115+CS116-DB115)))</f>
        <v>231.98717948717936</v>
      </c>
      <c r="CU116" s="18">
        <f>CT116*VLOOKUP('Données projet'!$B$13,Paramètres!$A$1:$I$89,3,0)*VLOOKUP('Données projet'!$B$13,Paramètres!$A$1:$I$89,5,0)</f>
        <v>220.75899999999987</v>
      </c>
      <c r="CV116" s="14">
        <f t="shared" si="95"/>
        <v>54.279817539670319</v>
      </c>
      <c r="CW116" s="22">
        <f t="shared" si="67"/>
        <v>479.02594054825886</v>
      </c>
      <c r="CX116" s="60">
        <f t="shared" si="68"/>
        <v>759.67124667714643</v>
      </c>
      <c r="CY116" s="60">
        <f ca="1">AVERAGE(OFFSET($CX$3,0,0,'Données projet'!$E$13+1,1))-AVERAGE(OFFSET($H$3,0,0,'Données projet'!$E$13+1,1))</f>
        <v>388.53310909800695</v>
      </c>
      <c r="CZ116" s="60">
        <f t="shared" si="96"/>
        <v>263.82153161042811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0">
        <f t="shared" si="55"/>
        <v>830.40309647766207</v>
      </c>
      <c r="S117" s="60">
        <f ca="1">AVERAGE(OFFSET($R$3,0,0,'Données projet'!$E$9+1,1))-AVERAGE(OFFSET($H$3,0,0,'Données projet'!$E$9+1,1))</f>
        <v>469.67944008675863</v>
      </c>
      <c r="T117" s="60">
        <f t="shared" si="88"/>
        <v>266.11908070867173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1.8089849618263545E-13</v>
      </c>
      <c r="AK117" s="14">
        <f t="shared" si="89"/>
        <v>2.536422473342444E-12</v>
      </c>
      <c r="AL117" s="22">
        <f t="shared" si="58"/>
        <v>4.7326673552561798E-12</v>
      </c>
      <c r="AM117" s="60">
        <f t="shared" si="59"/>
        <v>280.86541503471017</v>
      </c>
      <c r="AN117" s="60">
        <f ca="1">AVERAGE(OFFSET($AM$3,0,0,'Données projet'!$E$10+1,1))-AVERAGE(OFFSET($H$3,0,0,'Données projet'!$E$10+1,1))</f>
        <v>323.1883858932618</v>
      </c>
      <c r="AO117" s="60">
        <f t="shared" si="90"/>
        <v>313.39536932399085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2.2737367544323206E-13</v>
      </c>
      <c r="BE117" s="14">
        <f>BD117*VLOOKUP('Données projet'!$B$11,Paramètres!$A$1:$I$89,3,0)*VLOOKUP('Données projet'!$B$11,Paramètres!$A$1:$I$89,5,0)</f>
        <v>1.6671037883497774E-13</v>
      </c>
      <c r="BF117" s="14">
        <f t="shared" si="91"/>
        <v>2.3598166018346595E-12</v>
      </c>
      <c r="BG117" s="22">
        <f t="shared" si="61"/>
        <v>4.400367824666284E-12</v>
      </c>
      <c r="BH117" s="60">
        <f t="shared" si="62"/>
        <v>280.86541503470983</v>
      </c>
      <c r="BI117" s="60">
        <f ca="1">AVERAGE(OFFSET($BH$3,0,0,'Données projet'!$E$11+1,1))-AVERAGE(OFFSET($H$3,0,0,'Données projet'!$E$11+1,1))</f>
        <v>302.52480941204414</v>
      </c>
      <c r="BJ117" s="60">
        <f t="shared" si="92"/>
        <v>293.66452856196088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236.54591999999965</v>
      </c>
      <c r="CA117" s="14">
        <f t="shared" si="93"/>
        <v>57.695742501250976</v>
      </c>
      <c r="CB117" s="22">
        <f t="shared" si="64"/>
        <v>512.47089552301156</v>
      </c>
      <c r="CC117" s="60">
        <f t="shared" si="65"/>
        <v>793.33631055771707</v>
      </c>
      <c r="CD117" s="60">
        <f ca="1">AVERAGE(OFFSET($CC$3,0,0,'Données projet'!$E$12+1,1))-AVERAGE(OFFSET($H$3,0,0,'Données projet'!$E$12+1,1))</f>
        <v>442.98179778678298</v>
      </c>
      <c r="CE117" s="60">
        <f t="shared" si="94"/>
        <v>251.96153561746942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2.7564102564102568</v>
      </c>
      <c r="CT117" s="13">
        <f>IF('Données projet'!$A$140&gt;35,CT116+CS117-DB116,IF(A117&lt;'Données projet'!$A$140,$CQ$205^A117,IF(A117='Données projet'!$A$140,'Données projet'!$B$140,CT116+CS117-DB116)))</f>
        <v>234.74358974358961</v>
      </c>
      <c r="CU117" s="18">
        <f>CT117*VLOOKUP('Données projet'!$B$13,Paramètres!$A$1:$I$89,3,0)*VLOOKUP('Données projet'!$B$13,Paramètres!$A$1:$I$89,5,0)</f>
        <v>223.38199999999986</v>
      </c>
      <c r="CV117" s="14">
        <f t="shared" si="95"/>
        <v>54.849292789000252</v>
      </c>
      <c r="CW117" s="22">
        <f t="shared" si="67"/>
        <v>484.58616827417518</v>
      </c>
      <c r="CX117" s="60">
        <f t="shared" si="68"/>
        <v>765.45158330888057</v>
      </c>
      <c r="CY117" s="60">
        <f ca="1">AVERAGE(OFFSET($CX$3,0,0,'Données projet'!$E$13+1,1))-AVERAGE(OFFSET($H$3,0,0,'Données projet'!$E$13+1,1))</f>
        <v>388.53310909800695</v>
      </c>
      <c r="CZ117" s="60">
        <f t="shared" si="96"/>
        <v>263.82153161042811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0">
        <f t="shared" si="55"/>
        <v>837.69532723401494</v>
      </c>
      <c r="S118" s="60">
        <f ca="1">AVERAGE(OFFSET($R$3,0,0,'Données projet'!$E$9+1,1))-AVERAGE(OFFSET($H$3,0,0,'Données projet'!$E$9+1,1))</f>
        <v>469.67944008675863</v>
      </c>
      <c r="T118" s="60">
        <f t="shared" si="88"/>
        <v>266.11908070867173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1.8089849618263545E-13</v>
      </c>
      <c r="AK118" s="14">
        <f t="shared" si="89"/>
        <v>2.536422473342444E-12</v>
      </c>
      <c r="AL118" s="22">
        <f t="shared" si="58"/>
        <v>4.7326673552561798E-12</v>
      </c>
      <c r="AM118" s="60">
        <f t="shared" si="59"/>
        <v>281.08170554310198</v>
      </c>
      <c r="AN118" s="60">
        <f ca="1">AVERAGE(OFFSET($AM$3,0,0,'Données projet'!$E$10+1,1))-AVERAGE(OFFSET($H$3,0,0,'Données projet'!$E$10+1,1))</f>
        <v>323.1883858932618</v>
      </c>
      <c r="AO118" s="60">
        <f t="shared" si="90"/>
        <v>313.39536932399085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2.2737367544323206E-13</v>
      </c>
      <c r="BE118" s="14">
        <f>BD118*VLOOKUP('Données projet'!$B$11,Paramètres!$A$1:$I$89,3,0)*VLOOKUP('Données projet'!$B$11,Paramètres!$A$1:$I$89,5,0)</f>
        <v>1.6671037883497774E-13</v>
      </c>
      <c r="BF118" s="14">
        <f t="shared" si="91"/>
        <v>2.3598166018346595E-12</v>
      </c>
      <c r="BG118" s="22">
        <f t="shared" si="61"/>
        <v>4.400367824666284E-12</v>
      </c>
      <c r="BH118" s="60">
        <f t="shared" si="62"/>
        <v>281.08170554310163</v>
      </c>
      <c r="BI118" s="60">
        <f ca="1">AVERAGE(OFFSET($BH$3,0,0,'Données projet'!$E$11+1,1))-AVERAGE(OFFSET($H$3,0,0,'Données projet'!$E$11+1,1))</f>
        <v>302.52480941204414</v>
      </c>
      <c r="BJ118" s="60">
        <f t="shared" si="92"/>
        <v>293.66452856196088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239.66279999999963</v>
      </c>
      <c r="CA118" s="14">
        <f t="shared" si="93"/>
        <v>58.366974323972691</v>
      </c>
      <c r="CB118" s="22">
        <f t="shared" si="64"/>
        <v>519.06852361425183</v>
      </c>
      <c r="CC118" s="60">
        <f t="shared" si="65"/>
        <v>800.15022915734903</v>
      </c>
      <c r="CD118" s="60">
        <f ca="1">AVERAGE(OFFSET($CC$3,0,0,'Données projet'!$E$12+1,1))-AVERAGE(OFFSET($H$3,0,0,'Données projet'!$E$12+1,1))</f>
        <v>442.98179778678298</v>
      </c>
      <c r="CE118" s="60">
        <f t="shared" si="94"/>
        <v>251.96153561746942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2.7564102564102568</v>
      </c>
      <c r="CT118" s="13">
        <f>IF('Données projet'!$A$140&gt;35,CT117+CS118-DB117,IF(A118&lt;'Données projet'!$A$140,$CQ$205^A118,IF(A118='Données projet'!$A$140,'Données projet'!$B$140,CT117+CS118-DB117)))</f>
        <v>237.49999999999986</v>
      </c>
      <c r="CU118" s="18">
        <f>CT118*VLOOKUP('Données projet'!$B$13,Paramètres!$A$1:$I$89,3,0)*VLOOKUP('Données projet'!$B$13,Paramètres!$A$1:$I$89,5,0)</f>
        <v>226.00499999999988</v>
      </c>
      <c r="CV118" s="14">
        <f t="shared" si="95"/>
        <v>55.417990195699112</v>
      </c>
      <c r="CW118" s="22">
        <f t="shared" si="67"/>
        <v>490.14504125750909</v>
      </c>
      <c r="CX118" s="60">
        <f t="shared" si="68"/>
        <v>771.22674680060641</v>
      </c>
      <c r="CY118" s="60">
        <f ca="1">AVERAGE(OFFSET($CX$3,0,0,'Données projet'!$E$13+1,1))-AVERAGE(OFFSET($H$3,0,0,'Données projet'!$E$13+1,1))</f>
        <v>388.53310909800695</v>
      </c>
      <c r="CZ118" s="60">
        <f t="shared" si="96"/>
        <v>263.82153161042811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0">
        <f t="shared" si="55"/>
        <v>844.98192211455967</v>
      </c>
      <c r="S119" s="60">
        <f ca="1">AVERAGE(OFFSET($R$3,0,0,'Données projet'!$E$9+1,1))-AVERAGE(OFFSET($H$3,0,0,'Données projet'!$E$9+1,1))</f>
        <v>469.67944008675863</v>
      </c>
      <c r="T119" s="60">
        <f t="shared" si="88"/>
        <v>266.11908070867173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1.8089849618263545E-13</v>
      </c>
      <c r="AK119" s="14">
        <f t="shared" si="89"/>
        <v>2.536422473342444E-12</v>
      </c>
      <c r="AL119" s="22">
        <f t="shared" si="58"/>
        <v>4.7326673552561798E-12</v>
      </c>
      <c r="AM119" s="60">
        <f t="shared" si="59"/>
        <v>281.29424389472621</v>
      </c>
      <c r="AN119" s="60">
        <f ca="1">AVERAGE(OFFSET($AM$3,0,0,'Données projet'!$E$10+1,1))-AVERAGE(OFFSET($H$3,0,0,'Données projet'!$E$10+1,1))</f>
        <v>323.1883858932618</v>
      </c>
      <c r="AO119" s="60">
        <f t="shared" si="90"/>
        <v>313.39536932399085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2.2737367544323206E-13</v>
      </c>
      <c r="BE119" s="14">
        <f>BD119*VLOOKUP('Données projet'!$B$11,Paramètres!$A$1:$I$89,3,0)*VLOOKUP('Données projet'!$B$11,Paramètres!$A$1:$I$89,5,0)</f>
        <v>1.6671037883497774E-13</v>
      </c>
      <c r="BF119" s="14">
        <f t="shared" si="91"/>
        <v>2.3598166018346595E-12</v>
      </c>
      <c r="BG119" s="22">
        <f t="shared" si="61"/>
        <v>4.400367824666284E-12</v>
      </c>
      <c r="BH119" s="60">
        <f t="shared" si="62"/>
        <v>281.29424389472587</v>
      </c>
      <c r="BI119" s="60">
        <f ca="1">AVERAGE(OFFSET($BH$3,0,0,'Données projet'!$E$11+1,1))-AVERAGE(OFFSET($H$3,0,0,'Données projet'!$E$11+1,1))</f>
        <v>302.52480941204414</v>
      </c>
      <c r="BJ119" s="60">
        <f t="shared" si="92"/>
        <v>293.66452856196088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242.77967999999964</v>
      </c>
      <c r="CA119" s="14">
        <f t="shared" si="93"/>
        <v>59.037190765212706</v>
      </c>
      <c r="CB119" s="22">
        <f t="shared" si="64"/>
        <v>525.66438324941146</v>
      </c>
      <c r="CC119" s="60">
        <f t="shared" si="65"/>
        <v>806.95862714413295</v>
      </c>
      <c r="CD119" s="60">
        <f ca="1">AVERAGE(OFFSET($CC$3,0,0,'Données projet'!$E$12+1,1))-AVERAGE(OFFSET($H$3,0,0,'Données projet'!$E$12+1,1))</f>
        <v>442.98179778678298</v>
      </c>
      <c r="CE119" s="60">
        <f t="shared" si="94"/>
        <v>251.96153561746942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2.7564102564102568</v>
      </c>
      <c r="CT119" s="13">
        <f>IF('Données projet'!$A$140&gt;35,CT118+CS119-DB118,IF(A119&lt;'Données projet'!$A$140,$CQ$205^A119,IF(A119='Données projet'!$A$140,'Données projet'!$B$140,CT118+CS119-DB118)))</f>
        <v>240.25641025641011</v>
      </c>
      <c r="CU119" s="18">
        <f>CT119*VLOOKUP('Données projet'!$B$13,Paramètres!$A$1:$I$89,3,0)*VLOOKUP('Données projet'!$B$13,Paramètres!$A$1:$I$89,5,0)</f>
        <v>228.62799999999987</v>
      </c>
      <c r="CV119" s="14">
        <f t="shared" si="95"/>
        <v>55.98591983182213</v>
      </c>
      <c r="CW119" s="22">
        <f t="shared" si="67"/>
        <v>495.70257704042325</v>
      </c>
      <c r="CX119" s="60">
        <f t="shared" si="68"/>
        <v>776.9968209351448</v>
      </c>
      <c r="CY119" s="60">
        <f ca="1">AVERAGE(OFFSET($CX$3,0,0,'Données projet'!$E$13+1,1))-AVERAGE(OFFSET($H$3,0,0,'Données projet'!$E$13+1,1))</f>
        <v>388.53310909800695</v>
      </c>
      <c r="CZ119" s="60">
        <f t="shared" si="96"/>
        <v>263.82153161042811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0">
        <f t="shared" si="55"/>
        <v>852.2629731909085</v>
      </c>
      <c r="S120" s="60">
        <f ca="1">AVERAGE(OFFSET($R$3,0,0,'Données projet'!$E$9+1,1))-AVERAGE(OFFSET($H$3,0,0,'Données projet'!$E$9+1,1))</f>
        <v>469.67944008675863</v>
      </c>
      <c r="T120" s="60">
        <f t="shared" si="88"/>
        <v>266.11908070867173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1.8089849618263545E-13</v>
      </c>
      <c r="AK120" s="14">
        <f t="shared" si="89"/>
        <v>2.536422473342444E-12</v>
      </c>
      <c r="AL120" s="22">
        <f t="shared" si="58"/>
        <v>4.7326673552561798E-12</v>
      </c>
      <c r="AM120" s="60">
        <f t="shared" si="59"/>
        <v>281.50309518111436</v>
      </c>
      <c r="AN120" s="60">
        <f ca="1">AVERAGE(OFFSET($AM$3,0,0,'Données projet'!$E$10+1,1))-AVERAGE(OFFSET($H$3,0,0,'Données projet'!$E$10+1,1))</f>
        <v>323.1883858932618</v>
      </c>
      <c r="AO120" s="60">
        <f t="shared" si="90"/>
        <v>313.39536932399085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2.2737367544323206E-13</v>
      </c>
      <c r="BE120" s="14">
        <f>BD120*VLOOKUP('Données projet'!$B$11,Paramètres!$A$1:$I$89,3,0)*VLOOKUP('Données projet'!$B$11,Paramètres!$A$1:$I$89,5,0)</f>
        <v>1.6671037883497774E-13</v>
      </c>
      <c r="BF120" s="14">
        <f t="shared" si="91"/>
        <v>2.3598166018346595E-12</v>
      </c>
      <c r="BG120" s="22">
        <f t="shared" si="61"/>
        <v>4.400367824666284E-12</v>
      </c>
      <c r="BH120" s="60">
        <f t="shared" si="62"/>
        <v>281.50309518111402</v>
      </c>
      <c r="BI120" s="60">
        <f ca="1">AVERAGE(OFFSET($BH$3,0,0,'Données projet'!$E$11+1,1))-AVERAGE(OFFSET($H$3,0,0,'Données projet'!$E$11+1,1))</f>
        <v>302.52480941204414</v>
      </c>
      <c r="BJ120" s="60">
        <f t="shared" si="92"/>
        <v>293.66452856196088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245.89655999999962</v>
      </c>
      <c r="CA120" s="14">
        <f t="shared" si="93"/>
        <v>59.706406368049571</v>
      </c>
      <c r="CB120" s="22">
        <f t="shared" si="64"/>
        <v>532.25849975768563</v>
      </c>
      <c r="CC120" s="60">
        <f t="shared" si="65"/>
        <v>813.76159493879527</v>
      </c>
      <c r="CD120" s="60">
        <f ca="1">AVERAGE(OFFSET($CC$3,0,0,'Données projet'!$E$12+1,1))-AVERAGE(OFFSET($H$3,0,0,'Données projet'!$E$12+1,1))</f>
        <v>442.98179778678298</v>
      </c>
      <c r="CE120" s="60">
        <f t="shared" si="94"/>
        <v>251.96153561746942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2.7564102564102568</v>
      </c>
      <c r="CT120" s="13">
        <f>IF('Données projet'!$A$140&gt;35,CT119+CS120-DB119,IF(A120&lt;'Données projet'!$A$140,$CQ$205^A120,IF(A120='Données projet'!$A$140,'Données projet'!$B$140,CT119+CS120-DB119)))</f>
        <v>243.01282051282035</v>
      </c>
      <c r="CU120" s="18">
        <f>CT120*VLOOKUP('Données projet'!$B$13,Paramètres!$A$1:$I$89,3,0)*VLOOKUP('Données projet'!$B$13,Paramètres!$A$1:$I$89,5,0)</f>
        <v>231.25099999999983</v>
      </c>
      <c r="CV120" s="14">
        <f t="shared" si="95"/>
        <v>56.553091525012086</v>
      </c>
      <c r="CW120" s="22">
        <f t="shared" si="67"/>
        <v>501.2587927393958</v>
      </c>
      <c r="CX120" s="60">
        <f t="shared" si="68"/>
        <v>782.76188792050539</v>
      </c>
      <c r="CY120" s="60">
        <f ca="1">AVERAGE(OFFSET($CX$3,0,0,'Données projet'!$E$13+1,1))-AVERAGE(OFFSET($H$3,0,0,'Données projet'!$E$13+1,1))</f>
        <v>388.53310909800695</v>
      </c>
      <c r="CZ120" s="60">
        <f t="shared" si="96"/>
        <v>263.82153161042811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0">
        <f t="shared" si="55"/>
        <v>859.53857068217326</v>
      </c>
      <c r="S121" s="60">
        <f ca="1">AVERAGE(OFFSET($R$3,0,0,'Données projet'!$E$9+1,1))-AVERAGE(OFFSET($H$3,0,0,'Données projet'!$E$9+1,1))</f>
        <v>469.67944008675863</v>
      </c>
      <c r="T121" s="60">
        <f t="shared" si="88"/>
        <v>266.11908070867173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1.8089849618263545E-13</v>
      </c>
      <c r="AK121" s="14">
        <f t="shared" si="89"/>
        <v>2.536422473342444E-12</v>
      </c>
      <c r="AL121" s="22">
        <f t="shared" si="58"/>
        <v>4.7326673552561798E-12</v>
      </c>
      <c r="AM121" s="60">
        <f t="shared" si="59"/>
        <v>281.70832336460512</v>
      </c>
      <c r="AN121" s="60">
        <f ca="1">AVERAGE(OFFSET($AM$3,0,0,'Données projet'!$E$10+1,1))-AVERAGE(OFFSET($H$3,0,0,'Données projet'!$E$10+1,1))</f>
        <v>323.1883858932618</v>
      </c>
      <c r="AO121" s="60">
        <f t="shared" si="90"/>
        <v>313.39536932399085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2.2737367544323206E-13</v>
      </c>
      <c r="BE121" s="14">
        <f>BD121*VLOOKUP('Données projet'!$B$11,Paramètres!$A$1:$I$89,3,0)*VLOOKUP('Données projet'!$B$11,Paramètres!$A$1:$I$89,5,0)</f>
        <v>1.6671037883497774E-13</v>
      </c>
      <c r="BF121" s="14">
        <f t="shared" si="91"/>
        <v>2.3598166018346595E-12</v>
      </c>
      <c r="BG121" s="22">
        <f t="shared" si="61"/>
        <v>4.400367824666284E-12</v>
      </c>
      <c r="BH121" s="60">
        <f t="shared" si="62"/>
        <v>281.70832336460478</v>
      </c>
      <c r="BI121" s="60">
        <f ca="1">AVERAGE(OFFSET($BH$3,0,0,'Données projet'!$E$11+1,1))-AVERAGE(OFFSET($H$3,0,0,'Données projet'!$E$11+1,1))</f>
        <v>302.52480941204414</v>
      </c>
      <c r="BJ121" s="60">
        <f t="shared" si="92"/>
        <v>293.66452856196088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249.0134399999996</v>
      </c>
      <c r="CA121" s="14">
        <f t="shared" si="93"/>
        <v>60.374635285677471</v>
      </c>
      <c r="CB121" s="22">
        <f t="shared" si="64"/>
        <v>538.85089778922088</v>
      </c>
      <c r="CC121" s="60">
        <f t="shared" si="65"/>
        <v>820.55922115382123</v>
      </c>
      <c r="CD121" s="60">
        <f ca="1">AVERAGE(OFFSET($CC$3,0,0,'Données projet'!$E$12+1,1))-AVERAGE(OFFSET($H$3,0,0,'Données projet'!$E$12+1,1))</f>
        <v>442.98179778678298</v>
      </c>
      <c r="CE121" s="60">
        <f t="shared" si="94"/>
        <v>251.96153561746942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2.7564102564102568</v>
      </c>
      <c r="CT121" s="13">
        <f>IF('Données projet'!$A$140&gt;35,CT120+CS121-DB120,IF(A121&lt;'Données projet'!$A$140,$CQ$205^A121,IF(A121='Données projet'!$A$140,'Données projet'!$B$140,CT120+CS121-DB120)))</f>
        <v>245.7692307692306</v>
      </c>
      <c r="CU121" s="18">
        <f>CT121*VLOOKUP('Données projet'!$B$13,Paramètres!$A$1:$I$89,3,0)*VLOOKUP('Données projet'!$B$13,Paramètres!$A$1:$I$89,5,0)</f>
        <v>233.87399999999985</v>
      </c>
      <c r="CV121" s="14">
        <f t="shared" si="95"/>
        <v>57.119514867134178</v>
      </c>
      <c r="CW121" s="22">
        <f t="shared" si="67"/>
        <v>506.81370506025837</v>
      </c>
      <c r="CX121" s="60">
        <f t="shared" si="68"/>
        <v>788.52202842485872</v>
      </c>
      <c r="CY121" s="60">
        <f ca="1">AVERAGE(OFFSET($CX$3,0,0,'Données projet'!$E$13+1,1))-AVERAGE(OFFSET($H$3,0,0,'Données projet'!$E$13+1,1))</f>
        <v>388.53310909800695</v>
      </c>
      <c r="CZ121" s="60">
        <f t="shared" si="96"/>
        <v>263.82153161042811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0">
        <f t="shared" si="55"/>
        <v>866.80880300275226</v>
      </c>
      <c r="S122" s="60">
        <f ca="1">AVERAGE(OFFSET($R$3,0,0,'Données projet'!$E$9+1,1))-AVERAGE(OFFSET($H$3,0,0,'Données projet'!$E$9+1,1))</f>
        <v>469.67944008675863</v>
      </c>
      <c r="T122" s="60">
        <f t="shared" si="88"/>
        <v>266.11908070867173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1.8089849618263545E-13</v>
      </c>
      <c r="AK122" s="14">
        <f t="shared" si="89"/>
        <v>2.536422473342444E-12</v>
      </c>
      <c r="AL122" s="22">
        <f t="shared" si="58"/>
        <v>4.7326673552561798E-12</v>
      </c>
      <c r="AM122" s="60">
        <f t="shared" si="59"/>
        <v>281.90999129793386</v>
      </c>
      <c r="AN122" s="60">
        <f ca="1">AVERAGE(OFFSET($AM$3,0,0,'Données projet'!$E$10+1,1))-AVERAGE(OFFSET($H$3,0,0,'Données projet'!$E$10+1,1))</f>
        <v>323.1883858932618</v>
      </c>
      <c r="AO122" s="60">
        <f t="shared" si="90"/>
        <v>313.39536932399085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2.2737367544323206E-13</v>
      </c>
      <c r="BE122" s="14">
        <f>BD122*VLOOKUP('Données projet'!$B$11,Paramètres!$A$1:$I$89,3,0)*VLOOKUP('Données projet'!$B$11,Paramètres!$A$1:$I$89,5,0)</f>
        <v>1.6671037883497774E-13</v>
      </c>
      <c r="BF122" s="14">
        <f t="shared" si="91"/>
        <v>2.3598166018346595E-12</v>
      </c>
      <c r="BG122" s="22">
        <f t="shared" si="61"/>
        <v>4.400367824666284E-12</v>
      </c>
      <c r="BH122" s="60">
        <f t="shared" si="62"/>
        <v>281.90999129793352</v>
      </c>
      <c r="BI122" s="60">
        <f ca="1">AVERAGE(OFFSET($BH$3,0,0,'Données projet'!$E$11+1,1))-AVERAGE(OFFSET($H$3,0,0,'Données projet'!$E$11+1,1))</f>
        <v>302.52480941204414</v>
      </c>
      <c r="BJ122" s="60">
        <f t="shared" si="92"/>
        <v>293.66452856196088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252.13031999999959</v>
      </c>
      <c r="CA122" s="14">
        <f t="shared" si="93"/>
        <v>61.041891296605009</v>
      </c>
      <c r="CB122" s="22">
        <f t="shared" si="64"/>
        <v>545.44160134158631</v>
      </c>
      <c r="CC122" s="60">
        <f t="shared" si="65"/>
        <v>827.3515926395155</v>
      </c>
      <c r="CD122" s="60">
        <f ca="1">AVERAGE(OFFSET($CC$3,0,0,'Données projet'!$E$12+1,1))-AVERAGE(OFFSET($H$3,0,0,'Données projet'!$E$12+1,1))</f>
        <v>442.98179778678298</v>
      </c>
      <c r="CE122" s="60">
        <f t="shared" si="94"/>
        <v>251.96153561746942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2.7564102564102568</v>
      </c>
      <c r="CT122" s="13">
        <f>IF('Données projet'!$A$140&gt;35,CT121+CS122-DB121,IF(A122&lt;'Données projet'!$A$140,$CQ$205^A122,IF(A122='Données projet'!$A$140,'Données projet'!$B$140,CT121+CS122-DB121)))</f>
        <v>248.52564102564085</v>
      </c>
      <c r="CU122" s="18">
        <f>CT122*VLOOKUP('Données projet'!$B$13,Paramètres!$A$1:$I$89,3,0)*VLOOKUP('Données projet'!$B$13,Paramètres!$A$1:$I$89,5,0)</f>
        <v>236.49699999999984</v>
      </c>
      <c r="CV122" s="14">
        <f t="shared" si="95"/>
        <v>57.685199222511848</v>
      </c>
      <c r="CW122" s="22">
        <f t="shared" si="67"/>
        <v>512.36733031254118</v>
      </c>
      <c r="CX122" s="60">
        <f t="shared" si="68"/>
        <v>794.27732161047038</v>
      </c>
      <c r="CY122" s="60">
        <f ca="1">AVERAGE(OFFSET($CX$3,0,0,'Données projet'!$E$13+1,1))-AVERAGE(OFFSET($H$3,0,0,'Données projet'!$E$13+1,1))</f>
        <v>388.53310909800695</v>
      </c>
      <c r="CZ122" s="60">
        <f t="shared" si="96"/>
        <v>263.82153161042811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0">
        <f t="shared" si="55"/>
        <v>874.0737568083407</v>
      </c>
      <c r="S123" s="60">
        <f ca="1">AVERAGE(OFFSET($R$3,0,0,'Données projet'!$E$9+1,1))-AVERAGE(OFFSET($H$3,0,0,'Données projet'!$E$9+1,1))</f>
        <v>469.67944008675863</v>
      </c>
      <c r="T123" s="60">
        <f t="shared" si="88"/>
        <v>266.11908070867173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1.8089849618263545E-13</v>
      </c>
      <c r="AK123" s="14">
        <f t="shared" si="89"/>
        <v>2.536422473342444E-12</v>
      </c>
      <c r="AL123" s="22">
        <f t="shared" si="58"/>
        <v>4.7326673552561798E-12</v>
      </c>
      <c r="AM123" s="60">
        <f t="shared" si="59"/>
        <v>282.10816074348133</v>
      </c>
      <c r="AN123" s="60">
        <f ca="1">AVERAGE(OFFSET($AM$3,0,0,'Données projet'!$E$10+1,1))-AVERAGE(OFFSET($H$3,0,0,'Données projet'!$E$10+1,1))</f>
        <v>323.1883858932618</v>
      </c>
      <c r="AO123" s="60">
        <f t="shared" si="90"/>
        <v>313.39536932399085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2.2737367544323206E-13</v>
      </c>
      <c r="BE123" s="14">
        <f>BD123*VLOOKUP('Données projet'!$B$11,Paramètres!$A$1:$I$89,3,0)*VLOOKUP('Données projet'!$B$11,Paramètres!$A$1:$I$89,5,0)</f>
        <v>1.6671037883497774E-13</v>
      </c>
      <c r="BF123" s="14">
        <f t="shared" si="91"/>
        <v>2.3598166018346595E-12</v>
      </c>
      <c r="BG123" s="22">
        <f t="shared" si="61"/>
        <v>4.400367824666284E-12</v>
      </c>
      <c r="BH123" s="60">
        <f t="shared" si="62"/>
        <v>282.10816074348099</v>
      </c>
      <c r="BI123" s="60">
        <f ca="1">AVERAGE(OFFSET($BH$3,0,0,'Données projet'!$E$11+1,1))-AVERAGE(OFFSET($H$3,0,0,'Données projet'!$E$11+1,1))</f>
        <v>302.52480941204414</v>
      </c>
      <c r="BJ123" s="60">
        <f t="shared" si="92"/>
        <v>293.66452856196088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255.24719999999957</v>
      </c>
      <c r="CA123" s="14">
        <f t="shared" si="93"/>
        <v>61.708187819081161</v>
      </c>
      <c r="CB123" s="22">
        <f t="shared" si="64"/>
        <v>552.0306337848989</v>
      </c>
      <c r="CC123" s="60">
        <f t="shared" si="65"/>
        <v>834.13879452837546</v>
      </c>
      <c r="CD123" s="60">
        <f ca="1">AVERAGE(OFFSET($CC$3,0,0,'Données projet'!$E$12+1,1))-AVERAGE(OFFSET($H$3,0,0,'Données projet'!$E$12+1,1))</f>
        <v>442.98179778678298</v>
      </c>
      <c r="CE123" s="60">
        <f t="shared" si="94"/>
        <v>251.96153561746942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251.28205128205127</v>
      </c>
      <c r="CR123" s="13">
        <f>VLOOKUP(A123,'Données projet'!$A$139:$I$159,9,0)</f>
        <v>2.7564102564102568</v>
      </c>
      <c r="CS123" s="13">
        <f t="array" ref="CS123">INDEX(CR:CR,MIN(IF(ISNUMBER(CR123:CR319),ROW(CR123:CR319),"")))</f>
        <v>2.7564102564102568</v>
      </c>
      <c r="CT123" s="13">
        <f>IF('Données projet'!$A$140&gt;35,CT122+CS123-DB122,IF(A123&lt;'Données projet'!$A$140,$CQ$205^A123,IF(A123='Données projet'!$A$140,'Données projet'!$B$140,CT122+CS123-DB122)))</f>
        <v>251.2820512820511</v>
      </c>
      <c r="CU123" s="18">
        <f>CT123*VLOOKUP('Données projet'!$B$13,Paramètres!$A$1:$I$89,3,0)*VLOOKUP('Données projet'!$B$13,Paramètres!$A$1:$I$89,5,0)</f>
        <v>239.11999999999981</v>
      </c>
      <c r="CV123" s="14">
        <f t="shared" si="95"/>
        <v>58.2501537357874</v>
      </c>
      <c r="CW123" s="22">
        <f t="shared" si="67"/>
        <v>517.91968442316272</v>
      </c>
      <c r="CX123" s="60">
        <f t="shared" si="68"/>
        <v>800.02784516663928</v>
      </c>
      <c r="CY123" s="60">
        <f ca="1">AVERAGE(OFFSET($CX$3,0,0,'Données projet'!$E$13+1,1))-AVERAGE(OFFSET($H$3,0,0,'Données projet'!$E$13+1,1))</f>
        <v>388.53310909800695</v>
      </c>
      <c r="CZ123" s="60">
        <f t="shared" si="96"/>
        <v>263.82153161042811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241.02564102564102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0">
        <f t="shared" si="55"/>
        <v>813.47239293618327</v>
      </c>
      <c r="S124" s="60">
        <f ca="1">AVERAGE(OFFSET($R$3,0,0,'Données projet'!$E$9+1,1))-AVERAGE(OFFSET($H$3,0,0,'Données projet'!$E$9+1,1))</f>
        <v>469.67944008675863</v>
      </c>
      <c r="T124" s="60">
        <f t="shared" si="88"/>
        <v>266.11908070867173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1.8089849618263545E-13</v>
      </c>
      <c r="AK124" s="14">
        <f t="shared" si="89"/>
        <v>2.536422473342444E-12</v>
      </c>
      <c r="AL124" s="22">
        <f t="shared" si="58"/>
        <v>4.7326673552561798E-12</v>
      </c>
      <c r="AM124" s="60">
        <f t="shared" si="59"/>
        <v>282.30289239218911</v>
      </c>
      <c r="AN124" s="60">
        <f ca="1">AVERAGE(OFFSET($AM$3,0,0,'Données projet'!$E$10+1,1))-AVERAGE(OFFSET($H$3,0,0,'Données projet'!$E$10+1,1))</f>
        <v>323.1883858932618</v>
      </c>
      <c r="AO124" s="60">
        <f t="shared" si="90"/>
        <v>313.39536932399085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2.2737367544323206E-13</v>
      </c>
      <c r="BE124" s="14">
        <f>BD124*VLOOKUP('Données projet'!$B$11,Paramètres!$A$1:$I$89,3,0)*VLOOKUP('Données projet'!$B$11,Paramètres!$A$1:$I$89,5,0)</f>
        <v>1.6671037883497774E-13</v>
      </c>
      <c r="BF124" s="14">
        <f t="shared" si="91"/>
        <v>2.3598166018346595E-12</v>
      </c>
      <c r="BG124" s="22">
        <f t="shared" si="61"/>
        <v>4.400367824666284E-12</v>
      </c>
      <c r="BH124" s="60">
        <f t="shared" si="62"/>
        <v>282.30289239218877</v>
      </c>
      <c r="BI124" s="60">
        <f ca="1">AVERAGE(OFFSET($BH$3,0,0,'Données projet'!$E$11+1,1))-AVERAGE(OFFSET($H$3,0,0,'Données projet'!$E$11+1,1))</f>
        <v>302.52480941204414</v>
      </c>
      <c r="BJ124" s="60">
        <f t="shared" si="92"/>
        <v>293.66452856196088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228.45887999999957</v>
      </c>
      <c r="CA124" s="14">
        <f t="shared" si="93"/>
        <v>55.949325082237735</v>
      </c>
      <c r="CB124" s="22">
        <f t="shared" si="64"/>
        <v>495.34429051823003</v>
      </c>
      <c r="CC124" s="60">
        <f t="shared" si="65"/>
        <v>777.64718291041436</v>
      </c>
      <c r="CD124" s="60">
        <f ca="1">AVERAGE(OFFSET($CC$3,0,0,'Données projet'!$E$12+1,1))-AVERAGE(OFFSET($H$3,0,0,'Données projet'!$E$12+1,1))</f>
        <v>442.98179778678298</v>
      </c>
      <c r="CE124" s="60">
        <f t="shared" si="94"/>
        <v>251.96153561746942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10.256410256410078</v>
      </c>
      <c r="CU124" s="18">
        <f>CT124*VLOOKUP('Données projet'!$B$13,Paramètres!$A$1:$I$89,3,0)*VLOOKUP('Données projet'!$B$13,Paramètres!$A$1:$I$89,5,0)</f>
        <v>9.7599999999998293</v>
      </c>
      <c r="CV124" s="14">
        <f t="shared" si="95"/>
        <v>3.4500860232767008</v>
      </c>
      <c r="CW124" s="22">
        <f t="shared" si="67"/>
        <v>23.007566490539954</v>
      </c>
      <c r="CX124" s="60">
        <f t="shared" si="68"/>
        <v>305.31045888272433</v>
      </c>
      <c r="CY124" s="60">
        <f ca="1">AVERAGE(OFFSET($CX$3,0,0,'Données projet'!$E$13+1,1))-AVERAGE(OFFSET($H$3,0,0,'Données projet'!$E$13+1,1))</f>
        <v>388.53310909800695</v>
      </c>
      <c r="CZ124" s="60">
        <f t="shared" si="96"/>
        <v>263.82153161042811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0">
        <f t="shared" si="55"/>
        <v>819.78793412059326</v>
      </c>
      <c r="S125" s="60">
        <f ca="1">AVERAGE(OFFSET($R$3,0,0,'Données projet'!$E$9+1,1))-AVERAGE(OFFSET($H$3,0,0,'Données projet'!$E$9+1,1))</f>
        <v>469.67944008675863</v>
      </c>
      <c r="T125" s="60">
        <f t="shared" si="88"/>
        <v>266.11908070867173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1.8089849618263545E-13</v>
      </c>
      <c r="AK125" s="14">
        <f t="shared" si="89"/>
        <v>2.536422473342444E-12</v>
      </c>
      <c r="AL125" s="22">
        <f t="shared" si="58"/>
        <v>4.7326673552561798E-12</v>
      </c>
      <c r="AM125" s="60">
        <f t="shared" si="59"/>
        <v>282.49424588214652</v>
      </c>
      <c r="AN125" s="60">
        <f ca="1">AVERAGE(OFFSET($AM$3,0,0,'Données projet'!$E$10+1,1))-AVERAGE(OFFSET($H$3,0,0,'Données projet'!$E$10+1,1))</f>
        <v>323.1883858932618</v>
      </c>
      <c r="AO125" s="60">
        <f t="shared" si="90"/>
        <v>313.39536932399085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2.2737367544323206E-13</v>
      </c>
      <c r="BE125" s="14">
        <f>BD125*VLOOKUP('Données projet'!$B$11,Paramètres!$A$1:$I$89,3,0)*VLOOKUP('Données projet'!$B$11,Paramètres!$A$1:$I$89,5,0)</f>
        <v>1.6671037883497774E-13</v>
      </c>
      <c r="BF125" s="14">
        <f t="shared" si="91"/>
        <v>2.3598166018346595E-12</v>
      </c>
      <c r="BG125" s="22">
        <f t="shared" si="61"/>
        <v>4.400367824666284E-12</v>
      </c>
      <c r="BH125" s="60">
        <f t="shared" si="62"/>
        <v>282.49424588214617</v>
      </c>
      <c r="BI125" s="60">
        <f ca="1">AVERAGE(OFFSET($BH$3,0,0,'Données projet'!$E$11+1,1))-AVERAGE(OFFSET($H$3,0,0,'Données projet'!$E$11+1,1))</f>
        <v>302.52480941204414</v>
      </c>
      <c r="BJ125" s="60">
        <f t="shared" si="92"/>
        <v>293.66452856196088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231.15455999999958</v>
      </c>
      <c r="CA125" s="14">
        <f t="shared" si="93"/>
        <v>56.532251598510435</v>
      </c>
      <c r="CB125" s="22">
        <f t="shared" si="64"/>
        <v>501.05453020073833</v>
      </c>
      <c r="CC125" s="60">
        <f t="shared" si="65"/>
        <v>783.54877608288007</v>
      </c>
      <c r="CD125" s="60">
        <f ca="1">AVERAGE(OFFSET($CC$3,0,0,'Données projet'!$E$12+1,1))-AVERAGE(OFFSET($H$3,0,0,'Données projet'!$E$12+1,1))</f>
        <v>442.98179778678298</v>
      </c>
      <c r="CE125" s="60">
        <f t="shared" si="94"/>
        <v>251.96153561746942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10.256410256410078</v>
      </c>
      <c r="CU125" s="18">
        <f>CT125*VLOOKUP('Données projet'!$B$13,Paramètres!$A$1:$I$89,3,0)*VLOOKUP('Données projet'!$B$13,Paramètres!$A$1:$I$89,5,0)</f>
        <v>9.7599999999998293</v>
      </c>
      <c r="CV125" s="14">
        <f t="shared" si="95"/>
        <v>3.4500860232767008</v>
      </c>
      <c r="CW125" s="22">
        <f t="shared" si="67"/>
        <v>23.007566490539954</v>
      </c>
      <c r="CX125" s="60">
        <f t="shared" si="68"/>
        <v>305.50181237268174</v>
      </c>
      <c r="CY125" s="60">
        <f ca="1">AVERAGE(OFFSET($CX$3,0,0,'Données projet'!$E$13+1,1))-AVERAGE(OFFSET($H$3,0,0,'Données projet'!$E$13+1,1))</f>
        <v>388.53310909800695</v>
      </c>
      <c r="CZ125" s="60">
        <f t="shared" si="96"/>
        <v>263.82153161042811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0">
        <f t="shared" si="55"/>
        <v>826.09868873246592</v>
      </c>
      <c r="S126" s="60">
        <f ca="1">AVERAGE(OFFSET($R$3,0,0,'Données projet'!$E$9+1,1))-AVERAGE(OFFSET($H$3,0,0,'Données projet'!$E$9+1,1))</f>
        <v>469.67944008675863</v>
      </c>
      <c r="T126" s="60">
        <f t="shared" si="88"/>
        <v>266.11908070867173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1.8089849618263545E-13</v>
      </c>
      <c r="AK126" s="14">
        <f t="shared" si="89"/>
        <v>2.536422473342444E-12</v>
      </c>
      <c r="AL126" s="22">
        <f t="shared" si="58"/>
        <v>4.7326673552561798E-12</v>
      </c>
      <c r="AM126" s="60">
        <f t="shared" si="59"/>
        <v>282.68227981685538</v>
      </c>
      <c r="AN126" s="60">
        <f ca="1">AVERAGE(OFFSET($AM$3,0,0,'Données projet'!$E$10+1,1))-AVERAGE(OFFSET($H$3,0,0,'Données projet'!$E$10+1,1))</f>
        <v>323.1883858932618</v>
      </c>
      <c r="AO126" s="60">
        <f t="shared" si="90"/>
        <v>313.39536932399085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2.2737367544323206E-13</v>
      </c>
      <c r="BE126" s="14">
        <f>BD126*VLOOKUP('Données projet'!$B$11,Paramètres!$A$1:$I$89,3,0)*VLOOKUP('Données projet'!$B$11,Paramètres!$A$1:$I$89,5,0)</f>
        <v>1.6671037883497774E-13</v>
      </c>
      <c r="BF126" s="14">
        <f t="shared" si="91"/>
        <v>2.3598166018346595E-12</v>
      </c>
      <c r="BG126" s="22">
        <f t="shared" si="61"/>
        <v>4.400367824666284E-12</v>
      </c>
      <c r="BH126" s="60">
        <f t="shared" si="62"/>
        <v>282.68227981685504</v>
      </c>
      <c r="BI126" s="60">
        <f ca="1">AVERAGE(OFFSET($BH$3,0,0,'Données projet'!$E$11+1,1))-AVERAGE(OFFSET($H$3,0,0,'Données projet'!$E$11+1,1))</f>
        <v>302.52480941204414</v>
      </c>
      <c r="BJ126" s="60">
        <f t="shared" si="92"/>
        <v>293.66452856196088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233.85023999999956</v>
      </c>
      <c r="CA126" s="14">
        <f t="shared" si="93"/>
        <v>57.114387348136688</v>
      </c>
      <c r="CB126" s="22">
        <f t="shared" si="64"/>
        <v>506.76339263133724</v>
      </c>
      <c r="CC126" s="60">
        <f t="shared" si="65"/>
        <v>789.44567244818791</v>
      </c>
      <c r="CD126" s="60">
        <f ca="1">AVERAGE(OFFSET($CC$3,0,0,'Données projet'!$E$12+1,1))-AVERAGE(OFFSET($H$3,0,0,'Données projet'!$E$12+1,1))</f>
        <v>442.98179778678298</v>
      </c>
      <c r="CE126" s="60">
        <f t="shared" si="94"/>
        <v>251.96153561746942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10.256410256410078</v>
      </c>
      <c r="CU126" s="18">
        <f>CT126*VLOOKUP('Données projet'!$B$13,Paramètres!$A$1:$I$89,3,0)*VLOOKUP('Données projet'!$B$13,Paramètres!$A$1:$I$89,5,0)</f>
        <v>9.7599999999998293</v>
      </c>
      <c r="CV126" s="14">
        <f t="shared" si="95"/>
        <v>3.4500860232767008</v>
      </c>
      <c r="CW126" s="22">
        <f t="shared" si="67"/>
        <v>23.007566490539954</v>
      </c>
      <c r="CX126" s="60">
        <f t="shared" si="68"/>
        <v>305.68984630739061</v>
      </c>
      <c r="CY126" s="60">
        <f ca="1">AVERAGE(OFFSET($CX$3,0,0,'Données projet'!$E$13+1,1))-AVERAGE(OFFSET($H$3,0,0,'Données projet'!$E$13+1,1))</f>
        <v>388.53310909800695</v>
      </c>
      <c r="CZ126" s="60">
        <f t="shared" si="96"/>
        <v>263.82153161042811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0">
        <f t="shared" si="55"/>
        <v>832.40473322612968</v>
      </c>
      <c r="S127" s="60">
        <f ca="1">AVERAGE(OFFSET($R$3,0,0,'Données projet'!$E$9+1,1))-AVERAGE(OFFSET($H$3,0,0,'Données projet'!$E$9+1,1))</f>
        <v>469.67944008675863</v>
      </c>
      <c r="T127" s="60">
        <f t="shared" si="88"/>
        <v>266.11908070867173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1.8089849618263545E-13</v>
      </c>
      <c r="AK127" s="14">
        <f t="shared" si="89"/>
        <v>2.536422473342444E-12</v>
      </c>
      <c r="AL127" s="22">
        <f t="shared" si="58"/>
        <v>4.7326673552561798E-12</v>
      </c>
      <c r="AM127" s="60">
        <f t="shared" si="59"/>
        <v>282.86705178317806</v>
      </c>
      <c r="AN127" s="60">
        <f ca="1">AVERAGE(OFFSET($AM$3,0,0,'Données projet'!$E$10+1,1))-AVERAGE(OFFSET($H$3,0,0,'Données projet'!$E$10+1,1))</f>
        <v>323.1883858932618</v>
      </c>
      <c r="AO127" s="60">
        <f t="shared" si="90"/>
        <v>313.39536932399085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2.2737367544323206E-13</v>
      </c>
      <c r="BE127" s="14">
        <f>BD127*VLOOKUP('Données projet'!$B$11,Paramètres!$A$1:$I$89,3,0)*VLOOKUP('Données projet'!$B$11,Paramètres!$A$1:$I$89,5,0)</f>
        <v>1.6671037883497774E-13</v>
      </c>
      <c r="BF127" s="14">
        <f t="shared" si="91"/>
        <v>2.3598166018346595E-12</v>
      </c>
      <c r="BG127" s="22">
        <f t="shared" si="61"/>
        <v>4.400367824666284E-12</v>
      </c>
      <c r="BH127" s="60">
        <f t="shared" si="62"/>
        <v>282.86705178317771</v>
      </c>
      <c r="BI127" s="60">
        <f ca="1">AVERAGE(OFFSET($BH$3,0,0,'Données projet'!$E$11+1,1))-AVERAGE(OFFSET($H$3,0,0,'Données projet'!$E$11+1,1))</f>
        <v>302.52480941204414</v>
      </c>
      <c r="BJ127" s="60">
        <f t="shared" si="92"/>
        <v>293.66452856196088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236.54591999999957</v>
      </c>
      <c r="CA127" s="14">
        <f t="shared" si="93"/>
        <v>57.695742501250926</v>
      </c>
      <c r="CB127" s="22">
        <f t="shared" si="64"/>
        <v>512.47089552301134</v>
      </c>
      <c r="CC127" s="60">
        <f t="shared" si="65"/>
        <v>795.33794730618467</v>
      </c>
      <c r="CD127" s="60">
        <f ca="1">AVERAGE(OFFSET($CC$3,0,0,'Données projet'!$E$12+1,1))-AVERAGE(OFFSET($H$3,0,0,'Données projet'!$E$12+1,1))</f>
        <v>442.98179778678298</v>
      </c>
      <c r="CE127" s="60">
        <f t="shared" si="94"/>
        <v>251.96153561746942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10.256410256410078</v>
      </c>
      <c r="CU127" s="18">
        <f>CT127*VLOOKUP('Données projet'!$B$13,Paramètres!$A$1:$I$89,3,0)*VLOOKUP('Données projet'!$B$13,Paramètres!$A$1:$I$89,5,0)</f>
        <v>9.7599999999998293</v>
      </c>
      <c r="CV127" s="14">
        <f t="shared" si="95"/>
        <v>3.4500860232767008</v>
      </c>
      <c r="CW127" s="22">
        <f t="shared" si="67"/>
        <v>23.007566490539954</v>
      </c>
      <c r="CX127" s="60">
        <f t="shared" si="68"/>
        <v>305.87461827371328</v>
      </c>
      <c r="CY127" s="60">
        <f ca="1">AVERAGE(OFFSET($CX$3,0,0,'Données projet'!$E$13+1,1))-AVERAGE(OFFSET($H$3,0,0,'Données projet'!$E$13+1,1))</f>
        <v>388.53310909800695</v>
      </c>
      <c r="CZ127" s="60">
        <f t="shared" si="96"/>
        <v>263.82153161042811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0">
        <f t="shared" si="55"/>
        <v>838.70614260212687</v>
      </c>
      <c r="S128" s="60">
        <f ca="1">AVERAGE(OFFSET($R$3,0,0,'Données projet'!$E$9+1,1))-AVERAGE(OFFSET($H$3,0,0,'Données projet'!$E$9+1,1))</f>
        <v>469.67944008675863</v>
      </c>
      <c r="T128" s="60">
        <f t="shared" si="88"/>
        <v>266.11908070867173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1.8089849618263545E-13</v>
      </c>
      <c r="AK128" s="14">
        <f t="shared" si="89"/>
        <v>2.536422473342444E-12</v>
      </c>
      <c r="AL128" s="22">
        <f t="shared" si="58"/>
        <v>4.7326673552561798E-12</v>
      </c>
      <c r="AM128" s="60">
        <f t="shared" si="59"/>
        <v>283.04861836897322</v>
      </c>
      <c r="AN128" s="60">
        <f ca="1">AVERAGE(OFFSET($AM$3,0,0,'Données projet'!$E$10+1,1))-AVERAGE(OFFSET($H$3,0,0,'Données projet'!$E$10+1,1))</f>
        <v>323.1883858932618</v>
      </c>
      <c r="AO128" s="60">
        <f t="shared" si="90"/>
        <v>313.39536932399085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2.2737367544323206E-13</v>
      </c>
      <c r="BE128" s="14">
        <f>BD128*VLOOKUP('Données projet'!$B$11,Paramètres!$A$1:$I$89,3,0)*VLOOKUP('Données projet'!$B$11,Paramètres!$A$1:$I$89,5,0)</f>
        <v>1.6671037883497774E-13</v>
      </c>
      <c r="BF128" s="14">
        <f t="shared" si="91"/>
        <v>2.3598166018346595E-12</v>
      </c>
      <c r="BG128" s="22">
        <f t="shared" si="61"/>
        <v>4.400367824666284E-12</v>
      </c>
      <c r="BH128" s="60">
        <f t="shared" si="62"/>
        <v>283.04861836897288</v>
      </c>
      <c r="BI128" s="60">
        <f ca="1">AVERAGE(OFFSET($BH$3,0,0,'Données projet'!$E$11+1,1))-AVERAGE(OFFSET($H$3,0,0,'Données projet'!$E$11+1,1))</f>
        <v>302.52480941204414</v>
      </c>
      <c r="BJ128" s="60">
        <f t="shared" si="92"/>
        <v>293.66452856196088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239.24159999999955</v>
      </c>
      <c r="CA128" s="14">
        <f t="shared" si="93"/>
        <v>58.276326982845731</v>
      </c>
      <c r="CB128" s="22">
        <f t="shared" si="64"/>
        <v>518.17705616178876</v>
      </c>
      <c r="CC128" s="60">
        <f t="shared" si="65"/>
        <v>801.22567453075726</v>
      </c>
      <c r="CD128" s="60">
        <f ca="1">AVERAGE(OFFSET($CC$3,0,0,'Données projet'!$E$12+1,1))-AVERAGE(OFFSET($H$3,0,0,'Données projet'!$E$12+1,1))</f>
        <v>442.98179778678298</v>
      </c>
      <c r="CE128" s="60">
        <f t="shared" si="94"/>
        <v>251.96153561746942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10.256410256410078</v>
      </c>
      <c r="CU128" s="18">
        <f>CT128*VLOOKUP('Données projet'!$B$13,Paramètres!$A$1:$I$89,3,0)*VLOOKUP('Données projet'!$B$13,Paramètres!$A$1:$I$89,5,0)</f>
        <v>9.7599999999998293</v>
      </c>
      <c r="CV128" s="14">
        <f t="shared" si="95"/>
        <v>3.4500860232767008</v>
      </c>
      <c r="CW128" s="22">
        <f t="shared" si="67"/>
        <v>23.007566490539954</v>
      </c>
      <c r="CX128" s="60">
        <f t="shared" si="68"/>
        <v>306.05618485950845</v>
      </c>
      <c r="CY128" s="60">
        <f ca="1">AVERAGE(OFFSET($CX$3,0,0,'Données projet'!$E$13+1,1))-AVERAGE(OFFSET($H$3,0,0,'Données projet'!$E$13+1,1))</f>
        <v>388.53310909800695</v>
      </c>
      <c r="CZ128" s="60">
        <f t="shared" si="96"/>
        <v>263.82153161042811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0">
        <f t="shared" si="55"/>
        <v>845.00299044050394</v>
      </c>
      <c r="S129" s="60">
        <f ca="1">AVERAGE(OFFSET($R$3,0,0,'Données projet'!$E$9+1,1))-AVERAGE(OFFSET($H$3,0,0,'Données projet'!$E$9+1,1))</f>
        <v>469.67944008675863</v>
      </c>
      <c r="T129" s="60">
        <f t="shared" si="88"/>
        <v>266.11908070867173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1.8089849618263545E-13</v>
      </c>
      <c r="AK129" s="14">
        <f t="shared" si="89"/>
        <v>2.536422473342444E-12</v>
      </c>
      <c r="AL129" s="22">
        <f t="shared" si="58"/>
        <v>4.7326673552561798E-12</v>
      </c>
      <c r="AM129" s="60">
        <f t="shared" si="59"/>
        <v>283.22703518042692</v>
      </c>
      <c r="AN129" s="60">
        <f ca="1">AVERAGE(OFFSET($AM$3,0,0,'Données projet'!$E$10+1,1))-AVERAGE(OFFSET($H$3,0,0,'Données projet'!$E$10+1,1))</f>
        <v>323.1883858932618</v>
      </c>
      <c r="AO129" s="60">
        <f t="shared" si="90"/>
        <v>313.39536932399085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2.2737367544323206E-13</v>
      </c>
      <c r="BE129" s="14">
        <f>BD129*VLOOKUP('Données projet'!$B$11,Paramètres!$A$1:$I$89,3,0)*VLOOKUP('Données projet'!$B$11,Paramètres!$A$1:$I$89,5,0)</f>
        <v>1.6671037883497774E-13</v>
      </c>
      <c r="BF129" s="14">
        <f t="shared" si="91"/>
        <v>2.3598166018346595E-12</v>
      </c>
      <c r="BG129" s="22">
        <f t="shared" si="61"/>
        <v>4.400367824666284E-12</v>
      </c>
      <c r="BH129" s="60">
        <f t="shared" si="62"/>
        <v>283.22703518042658</v>
      </c>
      <c r="BI129" s="60">
        <f ca="1">AVERAGE(OFFSET($BH$3,0,0,'Données projet'!$E$11+1,1))-AVERAGE(OFFSET($H$3,0,0,'Données projet'!$E$11+1,1))</f>
        <v>302.52480941204414</v>
      </c>
      <c r="BJ129" s="60">
        <f t="shared" si="92"/>
        <v>293.66452856196088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241.93727999999956</v>
      </c>
      <c r="CA129" s="14">
        <f t="shared" si="93"/>
        <v>58.85615048137516</v>
      </c>
      <c r="CB129" s="22">
        <f t="shared" si="64"/>
        <v>523.88189142172769</v>
      </c>
      <c r="CC129" s="60">
        <f t="shared" si="65"/>
        <v>807.10892660214995</v>
      </c>
      <c r="CD129" s="60">
        <f ca="1">AVERAGE(OFFSET($CC$3,0,0,'Données projet'!$E$12+1,1))-AVERAGE(OFFSET($H$3,0,0,'Données projet'!$E$12+1,1))</f>
        <v>442.98179778678298</v>
      </c>
      <c r="CE129" s="60">
        <f t="shared" si="94"/>
        <v>251.96153561746942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10.256410256410078</v>
      </c>
      <c r="CU129" s="18">
        <f>CT129*VLOOKUP('Données projet'!$B$13,Paramètres!$A$1:$I$89,3,0)*VLOOKUP('Données projet'!$B$13,Paramètres!$A$1:$I$89,5,0)</f>
        <v>9.7599999999998293</v>
      </c>
      <c r="CV129" s="14">
        <f t="shared" si="95"/>
        <v>3.4500860232767008</v>
      </c>
      <c r="CW129" s="22">
        <f t="shared" si="67"/>
        <v>23.007566490539954</v>
      </c>
      <c r="CX129" s="60">
        <f t="shared" si="68"/>
        <v>306.23460167096215</v>
      </c>
      <c r="CY129" s="60">
        <f ca="1">AVERAGE(OFFSET($CX$3,0,0,'Données projet'!$E$13+1,1))-AVERAGE(OFFSET($H$3,0,0,'Données projet'!$E$13+1,1))</f>
        <v>388.53310909800695</v>
      </c>
      <c r="CZ129" s="60">
        <f t="shared" si="96"/>
        <v>263.82153161042811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0">
        <f t="shared" si="55"/>
        <v>851.2953489330705</v>
      </c>
      <c r="S130" s="60">
        <f ca="1">AVERAGE(OFFSET($R$3,0,0,'Données projet'!$E$9+1,1))-AVERAGE(OFFSET($H$3,0,0,'Données projet'!$E$9+1,1))</f>
        <v>469.67944008675863</v>
      </c>
      <c r="T130" s="60">
        <f t="shared" si="88"/>
        <v>266.11908070867173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1.8089849618263545E-13</v>
      </c>
      <c r="AK130" s="14">
        <f t="shared" si="89"/>
        <v>2.536422473342444E-12</v>
      </c>
      <c r="AL130" s="22">
        <f t="shared" si="58"/>
        <v>4.7326673552561798E-12</v>
      </c>
      <c r="AM130" s="60">
        <f t="shared" si="59"/>
        <v>283.40235685908215</v>
      </c>
      <c r="AN130" s="60">
        <f ca="1">AVERAGE(OFFSET($AM$3,0,0,'Données projet'!$E$10+1,1))-AVERAGE(OFFSET($H$3,0,0,'Données projet'!$E$10+1,1))</f>
        <v>323.1883858932618</v>
      </c>
      <c r="AO130" s="60">
        <f t="shared" si="90"/>
        <v>313.39536932399085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2.2737367544323206E-13</v>
      </c>
      <c r="BE130" s="14">
        <f>BD130*VLOOKUP('Données projet'!$B$11,Paramètres!$A$1:$I$89,3,0)*VLOOKUP('Données projet'!$B$11,Paramètres!$A$1:$I$89,5,0)</f>
        <v>1.6671037883497774E-13</v>
      </c>
      <c r="BF130" s="14">
        <f t="shared" si="91"/>
        <v>2.3598166018346595E-12</v>
      </c>
      <c r="BG130" s="22">
        <f t="shared" si="61"/>
        <v>4.400367824666284E-12</v>
      </c>
      <c r="BH130" s="60">
        <f t="shared" si="62"/>
        <v>283.40235685908181</v>
      </c>
      <c r="BI130" s="60">
        <f ca="1">AVERAGE(OFFSET($BH$3,0,0,'Données projet'!$E$11+1,1))-AVERAGE(OFFSET($H$3,0,0,'Données projet'!$E$11+1,1))</f>
        <v>302.52480941204414</v>
      </c>
      <c r="BJ130" s="60">
        <f t="shared" si="92"/>
        <v>293.66452856196088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244.63295999999951</v>
      </c>
      <c r="CA130" s="14">
        <f t="shared" si="93"/>
        <v>59.435222456963182</v>
      </c>
      <c r="CB130" s="22">
        <f t="shared" si="64"/>
        <v>529.58541777920993</v>
      </c>
      <c r="CC130" s="60">
        <f t="shared" si="65"/>
        <v>812.98777463828742</v>
      </c>
      <c r="CD130" s="60">
        <f ca="1">AVERAGE(OFFSET($CC$3,0,0,'Données projet'!$E$12+1,1))-AVERAGE(OFFSET($H$3,0,0,'Données projet'!$E$12+1,1))</f>
        <v>442.98179778678298</v>
      </c>
      <c r="CE130" s="60">
        <f t="shared" si="94"/>
        <v>251.96153561746942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10.256410256410078</v>
      </c>
      <c r="CU130" s="18">
        <f>CT130*VLOOKUP('Données projet'!$B$13,Paramètres!$A$1:$I$89,3,0)*VLOOKUP('Données projet'!$B$13,Paramètres!$A$1:$I$89,5,0)</f>
        <v>9.7599999999998293</v>
      </c>
      <c r="CV130" s="14">
        <f t="shared" si="95"/>
        <v>3.4500860232767008</v>
      </c>
      <c r="CW130" s="22">
        <f t="shared" si="67"/>
        <v>23.007566490539954</v>
      </c>
      <c r="CX130" s="60">
        <f t="shared" si="68"/>
        <v>306.40992334961737</v>
      </c>
      <c r="CY130" s="60">
        <f ca="1">AVERAGE(OFFSET($CX$3,0,0,'Données projet'!$E$13+1,1))-AVERAGE(OFFSET($H$3,0,0,'Données projet'!$E$13+1,1))</f>
        <v>388.53310909800695</v>
      </c>
      <c r="CZ130" s="60">
        <f t="shared" si="96"/>
        <v>263.82153161042811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0">
        <f t="shared" ref="R131:R194" si="109">Q131+(I131+J131)*44/12</f>
        <v>857.58328891467181</v>
      </c>
      <c r="S131" s="60">
        <f ca="1">AVERAGE(OFFSET($R$3,0,0,'Données projet'!$E$9+1,1))-AVERAGE(OFFSET($H$3,0,0,'Données projet'!$E$9+1,1))</f>
        <v>469.67944008675863</v>
      </c>
      <c r="T131" s="60">
        <f t="shared" si="88"/>
        <v>266.11908070867173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1.8089849618263545E-13</v>
      </c>
      <c r="AK131" s="14">
        <f t="shared" si="89"/>
        <v>2.536422473342444E-12</v>
      </c>
      <c r="AL131" s="22">
        <f t="shared" si="58"/>
        <v>4.7326673552561798E-12</v>
      </c>
      <c r="AM131" s="60">
        <f t="shared" si="59"/>
        <v>283.57463709857325</v>
      </c>
      <c r="AN131" s="60">
        <f ca="1">AVERAGE(OFFSET($AM$3,0,0,'Données projet'!$E$10+1,1))-AVERAGE(OFFSET($H$3,0,0,'Données projet'!$E$10+1,1))</f>
        <v>323.1883858932618</v>
      </c>
      <c r="AO131" s="60">
        <f t="shared" si="90"/>
        <v>313.39536932399085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2.2737367544323206E-13</v>
      </c>
      <c r="BE131" s="14">
        <f>BD131*VLOOKUP('Données projet'!$B$11,Paramètres!$A$1:$I$89,3,0)*VLOOKUP('Données projet'!$B$11,Paramètres!$A$1:$I$89,5,0)</f>
        <v>1.6671037883497774E-13</v>
      </c>
      <c r="BF131" s="14">
        <f t="shared" si="91"/>
        <v>2.3598166018346595E-12</v>
      </c>
      <c r="BG131" s="22">
        <f t="shared" si="61"/>
        <v>4.400367824666284E-12</v>
      </c>
      <c r="BH131" s="60">
        <f t="shared" si="62"/>
        <v>283.57463709857291</v>
      </c>
      <c r="BI131" s="60">
        <f ca="1">AVERAGE(OFFSET($BH$3,0,0,'Données projet'!$E$11+1,1))-AVERAGE(OFFSET($H$3,0,0,'Données projet'!$E$11+1,1))</f>
        <v>302.52480941204414</v>
      </c>
      <c r="BJ131" s="60">
        <f t="shared" si="92"/>
        <v>293.66452856196088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247.32863999999952</v>
      </c>
      <c r="CA131" s="14">
        <f t="shared" si="93"/>
        <v>60.013552149240361</v>
      </c>
      <c r="CB131" s="22">
        <f t="shared" si="64"/>
        <v>535.28765132659282</v>
      </c>
      <c r="CC131" s="60">
        <f t="shared" si="65"/>
        <v>818.8622884251613</v>
      </c>
      <c r="CD131" s="60">
        <f ca="1">AVERAGE(OFFSET($CC$3,0,0,'Données projet'!$E$12+1,1))-AVERAGE(OFFSET($H$3,0,0,'Données projet'!$E$12+1,1))</f>
        <v>442.98179778678298</v>
      </c>
      <c r="CE131" s="60">
        <f t="shared" si="94"/>
        <v>251.96153561746942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10.256410256410078</v>
      </c>
      <c r="CU131" s="18">
        <f>CT131*VLOOKUP('Données projet'!$B$13,Paramètres!$A$1:$I$89,3,0)*VLOOKUP('Données projet'!$B$13,Paramètres!$A$1:$I$89,5,0)</f>
        <v>9.7599999999998293</v>
      </c>
      <c r="CV131" s="14">
        <f t="shared" si="95"/>
        <v>3.4500860232767008</v>
      </c>
      <c r="CW131" s="22">
        <f t="shared" si="67"/>
        <v>23.007566490539954</v>
      </c>
      <c r="CX131" s="60">
        <f t="shared" si="68"/>
        <v>306.58220358910847</v>
      </c>
      <c r="CY131" s="60">
        <f ca="1">AVERAGE(OFFSET($CX$3,0,0,'Données projet'!$E$13+1,1))-AVERAGE(OFFSET($H$3,0,0,'Données projet'!$E$13+1,1))</f>
        <v>388.53310909800695</v>
      </c>
      <c r="CZ131" s="60">
        <f t="shared" si="96"/>
        <v>263.82153161042811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0">
        <f t="shared" si="109"/>
        <v>863.86687989351913</v>
      </c>
      <c r="S132" s="60">
        <f ca="1">AVERAGE(OFFSET($R$3,0,0,'Données projet'!$E$9+1,1))-AVERAGE(OFFSET($H$3,0,0,'Données projet'!$E$9+1,1))</f>
        <v>469.67944008675863</v>
      </c>
      <c r="T132" s="60">
        <f t="shared" si="88"/>
        <v>266.11908070867173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1.8089849618263545E-13</v>
      </c>
      <c r="AK132" s="14">
        <f t="shared" si="89"/>
        <v>2.536422473342444E-12</v>
      </c>
      <c r="AL132" s="22">
        <f t="shared" ref="AL132:AL153" si="112">(AJ132+AK132)*0.475*44/12</f>
        <v>4.7326673552561798E-12</v>
      </c>
      <c r="AM132" s="60">
        <f t="shared" ref="AM132:AM195" si="113">AL132+(AD132+AE132)*44/12</f>
        <v>283.74392866107007</v>
      </c>
      <c r="AN132" s="60">
        <f ca="1">AVERAGE(OFFSET($AM$3,0,0,'Données projet'!$E$10+1,1))-AVERAGE(OFFSET($H$3,0,0,'Données projet'!$E$10+1,1))</f>
        <v>323.1883858932618</v>
      </c>
      <c r="AO132" s="60">
        <f t="shared" si="90"/>
        <v>313.39536932399085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2.2737367544323206E-13</v>
      </c>
      <c r="BE132" s="14">
        <f>BD132*VLOOKUP('Données projet'!$B$11,Paramètres!$A$1:$I$89,3,0)*VLOOKUP('Données projet'!$B$11,Paramètres!$A$1:$I$89,5,0)</f>
        <v>1.6671037883497774E-13</v>
      </c>
      <c r="BF132" s="14">
        <f t="shared" si="91"/>
        <v>2.3598166018346595E-12</v>
      </c>
      <c r="BG132" s="22">
        <f t="shared" ref="BG132:BG153" si="115">(BE132+BF132)*0.475*44/12</f>
        <v>4.400367824666284E-12</v>
      </c>
      <c r="BH132" s="60">
        <f t="shared" ref="BH132:BH195" si="116">BG132+(AY132+AZ132)*44/12</f>
        <v>283.74392866106973</v>
      </c>
      <c r="BI132" s="60">
        <f ca="1">AVERAGE(OFFSET($BH$3,0,0,'Données projet'!$E$11+1,1))-AVERAGE(OFFSET($H$3,0,0,'Données projet'!$E$11+1,1))</f>
        <v>302.52480941204414</v>
      </c>
      <c r="BJ132" s="60">
        <f t="shared" si="92"/>
        <v>293.66452856196088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250.02431999999951</v>
      </c>
      <c r="CA132" s="14">
        <f t="shared" si="93"/>
        <v>60.591148584829156</v>
      </c>
      <c r="CB132" s="22">
        <f t="shared" ref="CB132:CB153" si="118">(BZ132+CA132)*0.475*44/12</f>
        <v>540.98860778524329</v>
      </c>
      <c r="CC132" s="60">
        <f t="shared" ref="CC132:CC195" si="119">CB132+(BT132+BU132)*44/12</f>
        <v>824.73253644630859</v>
      </c>
      <c r="CD132" s="60">
        <f ca="1">AVERAGE(OFFSET($CC$3,0,0,'Données projet'!$E$12+1,1))-AVERAGE(OFFSET($H$3,0,0,'Données projet'!$E$12+1,1))</f>
        <v>442.98179778678298</v>
      </c>
      <c r="CE132" s="60">
        <f t="shared" si="94"/>
        <v>251.96153561746942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10.256410256410078</v>
      </c>
      <c r="CU132" s="18">
        <f>CT132*VLOOKUP('Données projet'!$B$13,Paramètres!$A$1:$I$89,3,0)*VLOOKUP('Données projet'!$B$13,Paramètres!$A$1:$I$89,5,0)</f>
        <v>9.7599999999998293</v>
      </c>
      <c r="CV132" s="14">
        <f t="shared" si="95"/>
        <v>3.4500860232767008</v>
      </c>
      <c r="CW132" s="22">
        <f t="shared" ref="CW132:CW153" si="121">(CU132+CV132)*0.475*44/12</f>
        <v>23.007566490539954</v>
      </c>
      <c r="CX132" s="60">
        <f t="shared" ref="CX132:CX195" si="122">CW132+(CO132+CP132)*44/12</f>
        <v>306.7514951516053</v>
      </c>
      <c r="CY132" s="60">
        <f ca="1">AVERAGE(OFFSET($CX$3,0,0,'Données projet'!$E$13+1,1))-AVERAGE(OFFSET($H$3,0,0,'Données projet'!$E$13+1,1))</f>
        <v>388.53310909800695</v>
      </c>
      <c r="CZ132" s="60">
        <f t="shared" si="96"/>
        <v>263.82153161042811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0">
        <f t="shared" si="109"/>
        <v>870.14619008061925</v>
      </c>
      <c r="S133" s="60">
        <f ca="1">AVERAGE(OFFSET($R$3,0,0,'Données projet'!$E$9+1,1))-AVERAGE(OFFSET($H$3,0,0,'Données projet'!$E$9+1,1))</f>
        <v>469.67944008675863</v>
      </c>
      <c r="T133" s="60">
        <f t="shared" ref="T133:T196" si="142">$T$3</f>
        <v>266.11908070867173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1.8089849618263545E-13</v>
      </c>
      <c r="AK133" s="14">
        <f t="shared" ref="AK133:AK153" si="143">EXP(-1.0587+0.8836*LN(AJ133)+0.284)</f>
        <v>2.536422473342444E-12</v>
      </c>
      <c r="AL133" s="22">
        <f t="shared" si="112"/>
        <v>4.7326673552561798E-12</v>
      </c>
      <c r="AM133" s="60">
        <f t="shared" si="113"/>
        <v>283.91028339343683</v>
      </c>
      <c r="AN133" s="60">
        <f ca="1">AVERAGE(OFFSET($AM$3,0,0,'Données projet'!$E$10+1,1))-AVERAGE(OFFSET($H$3,0,0,'Données projet'!$E$10+1,1))</f>
        <v>323.1883858932618</v>
      </c>
      <c r="AO133" s="60">
        <f t="shared" ref="AO133:AO196" si="144">$AO$3</f>
        <v>313.39536932399085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2.2737367544323206E-13</v>
      </c>
      <c r="BE133" s="14">
        <f>BD133*VLOOKUP('Données projet'!$B$11,Paramètres!$A$1:$I$89,3,0)*VLOOKUP('Données projet'!$B$11,Paramètres!$A$1:$I$89,5,0)</f>
        <v>1.6671037883497774E-13</v>
      </c>
      <c r="BF133" s="14">
        <f t="shared" ref="BF133:BF153" si="145">EXP(-1.0587+0.8836*LN(BE133)+0.284)</f>
        <v>2.3598166018346595E-12</v>
      </c>
      <c r="BG133" s="22">
        <f t="shared" si="115"/>
        <v>4.400367824666284E-12</v>
      </c>
      <c r="BH133" s="60">
        <f t="shared" si="116"/>
        <v>283.91028339343649</v>
      </c>
      <c r="BI133" s="60">
        <f ca="1">AVERAGE(OFFSET($BH$3,0,0,'Données projet'!$E$11+1,1))-AVERAGE(OFFSET($H$3,0,0,'Données projet'!$E$11+1,1))</f>
        <v>302.52480941204414</v>
      </c>
      <c r="BJ133" s="60">
        <f t="shared" ref="BJ133:BJ196" si="146">$BJ$3</f>
        <v>293.66452856196088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252.71999999999949</v>
      </c>
      <c r="CA133" s="14">
        <f t="shared" ref="CA133:CA153" si="147">EXP(-1.0587+0.8836*LN(BZ133)+0.284)</f>
        <v>61.168020584496766</v>
      </c>
      <c r="CB133" s="22">
        <f t="shared" si="118"/>
        <v>546.68830251799761</v>
      </c>
      <c r="CC133" s="60">
        <f t="shared" si="119"/>
        <v>830.59858591142972</v>
      </c>
      <c r="CD133" s="60">
        <f ca="1">AVERAGE(OFFSET($CC$3,0,0,'Données projet'!$E$12+1,1))-AVERAGE(OFFSET($H$3,0,0,'Données projet'!$E$12+1,1))</f>
        <v>442.98179778678298</v>
      </c>
      <c r="CE133" s="60">
        <f t="shared" ref="CE133:CE196" si="148">$CE$3</f>
        <v>251.96153561746942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10.256410256410078</v>
      </c>
      <c r="CU133" s="18">
        <f>CT133*VLOOKUP('Données projet'!$B$13,Paramètres!$A$1:$I$89,3,0)*VLOOKUP('Données projet'!$B$13,Paramètres!$A$1:$I$89,5,0)</f>
        <v>9.7599999999998293</v>
      </c>
      <c r="CV133" s="14">
        <f t="shared" ref="CV133:CV153" si="149">EXP(-1.0587+0.8836*LN(CU133)+0.284)</f>
        <v>3.4500860232767008</v>
      </c>
      <c r="CW133" s="22">
        <f t="shared" si="121"/>
        <v>23.007566490539954</v>
      </c>
      <c r="CX133" s="60">
        <f t="shared" si="122"/>
        <v>306.91784988397205</v>
      </c>
      <c r="CY133" s="60">
        <f ca="1">AVERAGE(OFFSET($CX$3,0,0,'Données projet'!$E$13+1,1))-AVERAGE(OFFSET($H$3,0,0,'Données projet'!$E$13+1,1))</f>
        <v>388.53310909800695</v>
      </c>
      <c r="CZ133" s="60">
        <f t="shared" ref="CZ133:CZ196" si="150">$CZ$3</f>
        <v>263.82153161042811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0">
        <f t="shared" si="109"/>
        <v>816.20025459498834</v>
      </c>
      <c r="S134" s="60">
        <f ca="1">AVERAGE(OFFSET($R$3,0,0,'Données projet'!$E$9+1,1))-AVERAGE(OFFSET($H$3,0,0,'Données projet'!$E$9+1,1))</f>
        <v>469.67944008675863</v>
      </c>
      <c r="T134" s="60">
        <f t="shared" si="142"/>
        <v>266.11908070867173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1.8089849618263545E-13</v>
      </c>
      <c r="AK134" s="14">
        <f t="shared" si="143"/>
        <v>2.536422473342444E-12</v>
      </c>
      <c r="AL134" s="22">
        <f t="shared" si="112"/>
        <v>4.7326673552561798E-12</v>
      </c>
      <c r="AM134" s="60">
        <f t="shared" si="113"/>
        <v>284.07375224311045</v>
      </c>
      <c r="AN134" s="60">
        <f ca="1">AVERAGE(OFFSET($AM$3,0,0,'Données projet'!$E$10+1,1))-AVERAGE(OFFSET($H$3,0,0,'Données projet'!$E$10+1,1))</f>
        <v>323.1883858932618</v>
      </c>
      <c r="AO134" s="60">
        <f t="shared" si="144"/>
        <v>313.39536932399085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2.2737367544323206E-13</v>
      </c>
      <c r="BE134" s="14">
        <f>BD134*VLOOKUP('Données projet'!$B$11,Paramètres!$A$1:$I$89,3,0)*VLOOKUP('Données projet'!$B$11,Paramètres!$A$1:$I$89,5,0)</f>
        <v>1.6671037883497774E-13</v>
      </c>
      <c r="BF134" s="14">
        <f t="shared" si="145"/>
        <v>2.3598166018346595E-12</v>
      </c>
      <c r="BG134" s="22">
        <f t="shared" si="115"/>
        <v>4.400367824666284E-12</v>
      </c>
      <c r="BH134" s="60">
        <f t="shared" si="116"/>
        <v>284.07375224311011</v>
      </c>
      <c r="BI134" s="60">
        <f ca="1">AVERAGE(OFFSET($BH$3,0,0,'Données projet'!$E$11+1,1))-AVERAGE(OFFSET($H$3,0,0,'Données projet'!$E$11+1,1))</f>
        <v>302.52480941204414</v>
      </c>
      <c r="BJ134" s="60">
        <f t="shared" si="146"/>
        <v>293.66452856196088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228.88007999999951</v>
      </c>
      <c r="CA134" s="14">
        <f t="shared" si="147"/>
        <v>56.040459895408119</v>
      </c>
      <c r="CB134" s="22">
        <f t="shared" si="118"/>
        <v>496.23660698450158</v>
      </c>
      <c r="CC134" s="60">
        <f t="shared" si="119"/>
        <v>780.31035922760725</v>
      </c>
      <c r="CD134" s="60">
        <f ca="1">AVERAGE(OFFSET($CC$3,0,0,'Données projet'!$E$12+1,1))-AVERAGE(OFFSET($H$3,0,0,'Données projet'!$E$12+1,1))</f>
        <v>442.98179778678298</v>
      </c>
      <c r="CE134" s="60">
        <f t="shared" si="148"/>
        <v>251.96153561746942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10.256410256410078</v>
      </c>
      <c r="CU134" s="18">
        <f>CT134*VLOOKUP('Données projet'!$B$13,Paramètres!$A$1:$I$89,3,0)*VLOOKUP('Données projet'!$B$13,Paramètres!$A$1:$I$89,5,0)</f>
        <v>9.7599999999998293</v>
      </c>
      <c r="CV134" s="14">
        <f t="shared" si="149"/>
        <v>3.4500860232767008</v>
      </c>
      <c r="CW134" s="22">
        <f t="shared" si="121"/>
        <v>23.007566490539954</v>
      </c>
      <c r="CX134" s="60">
        <f t="shared" si="122"/>
        <v>307.08131873364567</v>
      </c>
      <c r="CY134" s="60">
        <f ca="1">AVERAGE(OFFSET($CX$3,0,0,'Données projet'!$E$13+1,1))-AVERAGE(OFFSET($H$3,0,0,'Données projet'!$E$13+1,1))</f>
        <v>388.53310909800695</v>
      </c>
      <c r="CZ134" s="60">
        <f t="shared" si="150"/>
        <v>263.82153161042811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0">
        <f t="shared" si="109"/>
        <v>821.52807351215029</v>
      </c>
      <c r="S135" s="60">
        <f ca="1">AVERAGE(OFFSET($R$3,0,0,'Données projet'!$E$9+1,1))-AVERAGE(OFFSET($H$3,0,0,'Données projet'!$E$9+1,1))</f>
        <v>469.67944008675863</v>
      </c>
      <c r="T135" s="60">
        <f t="shared" si="142"/>
        <v>266.11908070867173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1.8089849618263545E-13</v>
      </c>
      <c r="AK135" s="14">
        <f t="shared" si="143"/>
        <v>2.536422473342444E-12</v>
      </c>
      <c r="AL135" s="22">
        <f t="shared" si="112"/>
        <v>4.7326673552561798E-12</v>
      </c>
      <c r="AM135" s="60">
        <f t="shared" si="113"/>
        <v>284.23438527370388</v>
      </c>
      <c r="AN135" s="60">
        <f ca="1">AVERAGE(OFFSET($AM$3,0,0,'Données projet'!$E$10+1,1))-AVERAGE(OFFSET($H$3,0,0,'Données projet'!$E$10+1,1))</f>
        <v>323.1883858932618</v>
      </c>
      <c r="AO135" s="60">
        <f t="shared" si="144"/>
        <v>313.39536932399085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2.2737367544323206E-13</v>
      </c>
      <c r="BE135" s="14">
        <f>BD135*VLOOKUP('Données projet'!$B$11,Paramètres!$A$1:$I$89,3,0)*VLOOKUP('Données projet'!$B$11,Paramètres!$A$1:$I$89,5,0)</f>
        <v>1.6671037883497774E-13</v>
      </c>
      <c r="BF135" s="14">
        <f t="shared" si="145"/>
        <v>2.3598166018346595E-12</v>
      </c>
      <c r="BG135" s="22">
        <f t="shared" si="115"/>
        <v>4.400367824666284E-12</v>
      </c>
      <c r="BH135" s="60">
        <f t="shared" si="116"/>
        <v>284.23438527370354</v>
      </c>
      <c r="BI135" s="60">
        <f ca="1">AVERAGE(OFFSET($BH$3,0,0,'Données projet'!$E$11+1,1))-AVERAGE(OFFSET($H$3,0,0,'Données projet'!$E$11+1,1))</f>
        <v>302.52480941204414</v>
      </c>
      <c r="BJ135" s="60">
        <f t="shared" si="146"/>
        <v>293.66452856196088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231.15455999999946</v>
      </c>
      <c r="CA135" s="14">
        <f t="shared" si="147"/>
        <v>56.532251598510435</v>
      </c>
      <c r="CB135" s="22">
        <f t="shared" si="118"/>
        <v>501.0545302007381</v>
      </c>
      <c r="CC135" s="60">
        <f t="shared" si="119"/>
        <v>785.28891547443732</v>
      </c>
      <c r="CD135" s="60">
        <f ca="1">AVERAGE(OFFSET($CC$3,0,0,'Données projet'!$E$12+1,1))-AVERAGE(OFFSET($H$3,0,0,'Données projet'!$E$12+1,1))</f>
        <v>442.98179778678298</v>
      </c>
      <c r="CE135" s="60">
        <f t="shared" si="148"/>
        <v>251.96153561746942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10.256410256410078</v>
      </c>
      <c r="CU135" s="18">
        <f>CT135*VLOOKUP('Données projet'!$B$13,Paramètres!$A$1:$I$89,3,0)*VLOOKUP('Données projet'!$B$13,Paramètres!$A$1:$I$89,5,0)</f>
        <v>9.7599999999998293</v>
      </c>
      <c r="CV135" s="14">
        <f t="shared" si="149"/>
        <v>3.4500860232767008</v>
      </c>
      <c r="CW135" s="22">
        <f t="shared" si="121"/>
        <v>23.007566490539954</v>
      </c>
      <c r="CX135" s="60">
        <f t="shared" si="122"/>
        <v>307.2419517642391</v>
      </c>
      <c r="CY135" s="60">
        <f ca="1">AVERAGE(OFFSET($CX$3,0,0,'Données projet'!$E$13+1,1))-AVERAGE(OFFSET($H$3,0,0,'Données projet'!$E$13+1,1))</f>
        <v>388.53310909800695</v>
      </c>
      <c r="CZ135" s="60">
        <f t="shared" si="150"/>
        <v>263.82153161042811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0">
        <f t="shared" si="109"/>
        <v>826.8520614231727</v>
      </c>
      <c r="S136" s="60">
        <f ca="1">AVERAGE(OFFSET($R$3,0,0,'Données projet'!$E$9+1,1))-AVERAGE(OFFSET($H$3,0,0,'Données projet'!$E$9+1,1))</f>
        <v>469.67944008675863</v>
      </c>
      <c r="T136" s="60">
        <f t="shared" si="142"/>
        <v>266.11908070867173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1.8089849618263545E-13</v>
      </c>
      <c r="AK136" s="14">
        <f t="shared" si="143"/>
        <v>2.536422473342444E-12</v>
      </c>
      <c r="AL136" s="22">
        <f t="shared" si="112"/>
        <v>4.7326673552561798E-12</v>
      </c>
      <c r="AM136" s="60">
        <f t="shared" si="113"/>
        <v>284.39223168033811</v>
      </c>
      <c r="AN136" s="60">
        <f ca="1">AVERAGE(OFFSET($AM$3,0,0,'Données projet'!$E$10+1,1))-AVERAGE(OFFSET($H$3,0,0,'Données projet'!$E$10+1,1))</f>
        <v>323.1883858932618</v>
      </c>
      <c r="AO136" s="60">
        <f t="shared" si="144"/>
        <v>313.39536932399085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2.2737367544323206E-13</v>
      </c>
      <c r="BE136" s="14">
        <f>BD136*VLOOKUP('Données projet'!$B$11,Paramètres!$A$1:$I$89,3,0)*VLOOKUP('Données projet'!$B$11,Paramètres!$A$1:$I$89,5,0)</f>
        <v>1.6671037883497774E-13</v>
      </c>
      <c r="BF136" s="14">
        <f t="shared" si="145"/>
        <v>2.3598166018346595E-12</v>
      </c>
      <c r="BG136" s="22">
        <f t="shared" si="115"/>
        <v>4.400367824666284E-12</v>
      </c>
      <c r="BH136" s="60">
        <f t="shared" si="116"/>
        <v>284.39223168033777</v>
      </c>
      <c r="BI136" s="60">
        <f ca="1">AVERAGE(OFFSET($BH$3,0,0,'Données projet'!$E$11+1,1))-AVERAGE(OFFSET($H$3,0,0,'Données projet'!$E$11+1,1))</f>
        <v>302.52480941204414</v>
      </c>
      <c r="BJ136" s="60">
        <f t="shared" si="146"/>
        <v>293.66452856196088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233.42903999999945</v>
      </c>
      <c r="CA136" s="14">
        <f t="shared" si="147"/>
        <v>57.023480348060033</v>
      </c>
      <c r="CB136" s="22">
        <f t="shared" si="118"/>
        <v>505.87147293953677</v>
      </c>
      <c r="CC136" s="60">
        <f t="shared" si="119"/>
        <v>790.26370461987017</v>
      </c>
      <c r="CD136" s="60">
        <f ca="1">AVERAGE(OFFSET($CC$3,0,0,'Données projet'!$E$12+1,1))-AVERAGE(OFFSET($H$3,0,0,'Données projet'!$E$12+1,1))</f>
        <v>442.98179778678298</v>
      </c>
      <c r="CE136" s="60">
        <f t="shared" si="148"/>
        <v>251.96153561746942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10.256410256410078</v>
      </c>
      <c r="CU136" s="18">
        <f>CT136*VLOOKUP('Données projet'!$B$13,Paramètres!$A$1:$I$89,3,0)*VLOOKUP('Données projet'!$B$13,Paramètres!$A$1:$I$89,5,0)</f>
        <v>9.7599999999998293</v>
      </c>
      <c r="CV136" s="14">
        <f t="shared" si="149"/>
        <v>3.4500860232767008</v>
      </c>
      <c r="CW136" s="22">
        <f t="shared" si="121"/>
        <v>23.007566490539954</v>
      </c>
      <c r="CX136" s="60">
        <f t="shared" si="122"/>
        <v>307.39979817087334</v>
      </c>
      <c r="CY136" s="60">
        <f ca="1">AVERAGE(OFFSET($CX$3,0,0,'Données projet'!$E$13+1,1))-AVERAGE(OFFSET($H$3,0,0,'Données projet'!$E$13+1,1))</f>
        <v>388.53310909800695</v>
      </c>
      <c r="CZ136" s="60">
        <f t="shared" si="150"/>
        <v>263.82153161042811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0">
        <f t="shared" si="109"/>
        <v>832.17227802440902</v>
      </c>
      <c r="S137" s="60">
        <f ca="1">AVERAGE(OFFSET($R$3,0,0,'Données projet'!$E$9+1,1))-AVERAGE(OFFSET($H$3,0,0,'Données projet'!$E$9+1,1))</f>
        <v>469.67944008675863</v>
      </c>
      <c r="T137" s="60">
        <f t="shared" si="142"/>
        <v>266.11908070867173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1.8089849618263545E-13</v>
      </c>
      <c r="AK137" s="14">
        <f t="shared" si="143"/>
        <v>2.536422473342444E-12</v>
      </c>
      <c r="AL137" s="22">
        <f t="shared" si="112"/>
        <v>4.7326673552561798E-12</v>
      </c>
      <c r="AM137" s="60">
        <f t="shared" si="113"/>
        <v>284.547339804709</v>
      </c>
      <c r="AN137" s="60">
        <f ca="1">AVERAGE(OFFSET($AM$3,0,0,'Données projet'!$E$10+1,1))-AVERAGE(OFFSET($H$3,0,0,'Données projet'!$E$10+1,1))</f>
        <v>323.1883858932618</v>
      </c>
      <c r="AO137" s="60">
        <f t="shared" si="144"/>
        <v>313.39536932399085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2.2737367544323206E-13</v>
      </c>
      <c r="BE137" s="14">
        <f>BD137*VLOOKUP('Données projet'!$B$11,Paramètres!$A$1:$I$89,3,0)*VLOOKUP('Données projet'!$B$11,Paramètres!$A$1:$I$89,5,0)</f>
        <v>1.6671037883497774E-13</v>
      </c>
      <c r="BF137" s="14">
        <f t="shared" si="145"/>
        <v>2.3598166018346595E-12</v>
      </c>
      <c r="BG137" s="22">
        <f t="shared" si="115"/>
        <v>4.400367824666284E-12</v>
      </c>
      <c r="BH137" s="60">
        <f t="shared" si="116"/>
        <v>284.54733980470866</v>
      </c>
      <c r="BI137" s="60">
        <f ca="1">AVERAGE(OFFSET($BH$3,0,0,'Données projet'!$E$11+1,1))-AVERAGE(OFFSET($H$3,0,0,'Données projet'!$E$11+1,1))</f>
        <v>302.52480941204414</v>
      </c>
      <c r="BJ137" s="60">
        <f t="shared" si="146"/>
        <v>293.66452856196088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235.70351999999946</v>
      </c>
      <c r="CA137" s="14">
        <f t="shared" si="147"/>
        <v>57.51415226456087</v>
      </c>
      <c r="CB137" s="22">
        <f t="shared" si="118"/>
        <v>510.68744586077599</v>
      </c>
      <c r="CC137" s="60">
        <f t="shared" si="119"/>
        <v>795.23478566548033</v>
      </c>
      <c r="CD137" s="60">
        <f ca="1">AVERAGE(OFFSET($CC$3,0,0,'Données projet'!$E$12+1,1))-AVERAGE(OFFSET($H$3,0,0,'Données projet'!$E$12+1,1))</f>
        <v>442.98179778678298</v>
      </c>
      <c r="CE137" s="60">
        <f t="shared" si="148"/>
        <v>251.96153561746942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10.256410256410078</v>
      </c>
      <c r="CU137" s="18">
        <f>CT137*VLOOKUP('Données projet'!$B$13,Paramètres!$A$1:$I$89,3,0)*VLOOKUP('Données projet'!$B$13,Paramètres!$A$1:$I$89,5,0)</f>
        <v>9.7599999999998293</v>
      </c>
      <c r="CV137" s="14">
        <f t="shared" si="149"/>
        <v>3.4500860232767008</v>
      </c>
      <c r="CW137" s="22">
        <f t="shared" si="121"/>
        <v>23.007566490539954</v>
      </c>
      <c r="CX137" s="60">
        <f t="shared" si="122"/>
        <v>307.55490629524422</v>
      </c>
      <c r="CY137" s="60">
        <f ca="1">AVERAGE(OFFSET($CX$3,0,0,'Données projet'!$E$13+1,1))-AVERAGE(OFFSET($H$3,0,0,'Données projet'!$E$13+1,1))</f>
        <v>388.53310909800695</v>
      </c>
      <c r="CZ137" s="60">
        <f t="shared" si="150"/>
        <v>263.82153161042811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0">
        <f t="shared" si="109"/>
        <v>837.48878194181952</v>
      </c>
      <c r="S138" s="60">
        <f ca="1">AVERAGE(OFFSET($R$3,0,0,'Données projet'!$E$9+1,1))-AVERAGE(OFFSET($H$3,0,0,'Données projet'!$E$9+1,1))</f>
        <v>469.67944008675863</v>
      </c>
      <c r="T138" s="60">
        <f t="shared" si="142"/>
        <v>266.11908070867173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1.8089849618263545E-13</v>
      </c>
      <c r="AK138" s="14">
        <f t="shared" si="143"/>
        <v>2.536422473342444E-12</v>
      </c>
      <c r="AL138" s="22">
        <f t="shared" si="112"/>
        <v>4.7326673552561798E-12</v>
      </c>
      <c r="AM138" s="60">
        <f t="shared" si="113"/>
        <v>284.69975714989187</v>
      </c>
      <c r="AN138" s="60">
        <f ca="1">AVERAGE(OFFSET($AM$3,0,0,'Données projet'!$E$10+1,1))-AVERAGE(OFFSET($H$3,0,0,'Données projet'!$E$10+1,1))</f>
        <v>323.1883858932618</v>
      </c>
      <c r="AO138" s="60">
        <f t="shared" si="144"/>
        <v>313.39536932399085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2.2737367544323206E-13</v>
      </c>
      <c r="BE138" s="14">
        <f>BD138*VLOOKUP('Données projet'!$B$11,Paramètres!$A$1:$I$89,3,0)*VLOOKUP('Données projet'!$B$11,Paramètres!$A$1:$I$89,5,0)</f>
        <v>1.6671037883497774E-13</v>
      </c>
      <c r="BF138" s="14">
        <f t="shared" si="145"/>
        <v>2.3598166018346595E-12</v>
      </c>
      <c r="BG138" s="22">
        <f t="shared" si="115"/>
        <v>4.400367824666284E-12</v>
      </c>
      <c r="BH138" s="60">
        <f t="shared" si="116"/>
        <v>284.69975714989152</v>
      </c>
      <c r="BI138" s="60">
        <f ca="1">AVERAGE(OFFSET($BH$3,0,0,'Données projet'!$E$11+1,1))-AVERAGE(OFFSET($H$3,0,0,'Données projet'!$E$11+1,1))</f>
        <v>302.52480941204414</v>
      </c>
      <c r="BJ138" s="60">
        <f t="shared" si="146"/>
        <v>293.66452856196088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237.97799999999944</v>
      </c>
      <c r="CA138" s="14">
        <f t="shared" si="147"/>
        <v>58.004273343583726</v>
      </c>
      <c r="CB138" s="22">
        <f t="shared" si="118"/>
        <v>515.50245940674063</v>
      </c>
      <c r="CC138" s="60">
        <f t="shared" si="119"/>
        <v>800.20221655662772</v>
      </c>
      <c r="CD138" s="60">
        <f ca="1">AVERAGE(OFFSET($CC$3,0,0,'Données projet'!$E$12+1,1))-AVERAGE(OFFSET($H$3,0,0,'Données projet'!$E$12+1,1))</f>
        <v>442.98179778678298</v>
      </c>
      <c r="CE138" s="60">
        <f t="shared" si="148"/>
        <v>251.96153561746942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10.256410256410078</v>
      </c>
      <c r="CU138" s="18">
        <f>CT138*VLOOKUP('Données projet'!$B$13,Paramètres!$A$1:$I$89,3,0)*VLOOKUP('Données projet'!$B$13,Paramètres!$A$1:$I$89,5,0)</f>
        <v>9.7599999999998293</v>
      </c>
      <c r="CV138" s="14">
        <f t="shared" si="149"/>
        <v>3.4500860232767008</v>
      </c>
      <c r="CW138" s="22">
        <f t="shared" si="121"/>
        <v>23.007566490539954</v>
      </c>
      <c r="CX138" s="60">
        <f t="shared" si="122"/>
        <v>307.70732364042709</v>
      </c>
      <c r="CY138" s="60">
        <f ca="1">AVERAGE(OFFSET($CX$3,0,0,'Données projet'!$E$13+1,1))-AVERAGE(OFFSET($H$3,0,0,'Données projet'!$E$13+1,1))</f>
        <v>388.53310909800695</v>
      </c>
      <c r="CZ138" s="60">
        <f t="shared" si="150"/>
        <v>263.82153161042811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0">
        <f t="shared" si="109"/>
        <v>842.80163075241853</v>
      </c>
      <c r="S139" s="60">
        <f ca="1">AVERAGE(OFFSET($R$3,0,0,'Données projet'!$E$9+1,1))-AVERAGE(OFFSET($H$3,0,0,'Données projet'!$E$9+1,1))</f>
        <v>469.67944008675863</v>
      </c>
      <c r="T139" s="60">
        <f t="shared" si="142"/>
        <v>266.11908070867173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1.8089849618263545E-13</v>
      </c>
      <c r="AK139" s="14">
        <f t="shared" si="143"/>
        <v>2.536422473342444E-12</v>
      </c>
      <c r="AL139" s="22">
        <f t="shared" si="112"/>
        <v>4.7326673552561798E-12</v>
      </c>
      <c r="AM139" s="60">
        <f t="shared" si="113"/>
        <v>284.84953039488994</v>
      </c>
      <c r="AN139" s="60">
        <f ca="1">AVERAGE(OFFSET($AM$3,0,0,'Données projet'!$E$10+1,1))-AVERAGE(OFFSET($H$3,0,0,'Données projet'!$E$10+1,1))</f>
        <v>323.1883858932618</v>
      </c>
      <c r="AO139" s="60">
        <f t="shared" si="144"/>
        <v>313.39536932399085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2.2737367544323206E-13</v>
      </c>
      <c r="BE139" s="14">
        <f>BD139*VLOOKUP('Données projet'!$B$11,Paramètres!$A$1:$I$89,3,0)*VLOOKUP('Données projet'!$B$11,Paramètres!$A$1:$I$89,5,0)</f>
        <v>1.6671037883497774E-13</v>
      </c>
      <c r="BF139" s="14">
        <f t="shared" si="145"/>
        <v>2.3598166018346595E-12</v>
      </c>
      <c r="BG139" s="22">
        <f t="shared" si="115"/>
        <v>4.400367824666284E-12</v>
      </c>
      <c r="BH139" s="60">
        <f t="shared" si="116"/>
        <v>284.8495303948896</v>
      </c>
      <c r="BI139" s="60">
        <f ca="1">AVERAGE(OFFSET($BH$3,0,0,'Données projet'!$E$11+1,1))-AVERAGE(OFFSET($H$3,0,0,'Données projet'!$E$11+1,1))</f>
        <v>302.52480941204414</v>
      </c>
      <c r="BJ139" s="60">
        <f t="shared" si="146"/>
        <v>293.66452856196088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240.25247999999945</v>
      </c>
      <c r="CA139" s="14">
        <f t="shared" si="147"/>
        <v>58.493849459485787</v>
      </c>
      <c r="CB139" s="22">
        <f t="shared" si="118"/>
        <v>520.31652380860351</v>
      </c>
      <c r="CC139" s="60">
        <f t="shared" si="119"/>
        <v>805.16605420348878</v>
      </c>
      <c r="CD139" s="60">
        <f ca="1">AVERAGE(OFFSET($CC$3,0,0,'Données projet'!$E$12+1,1))-AVERAGE(OFFSET($H$3,0,0,'Données projet'!$E$12+1,1))</f>
        <v>442.98179778678298</v>
      </c>
      <c r="CE139" s="60">
        <f t="shared" si="148"/>
        <v>251.96153561746942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10.256410256410078</v>
      </c>
      <c r="CU139" s="18">
        <f>CT139*VLOOKUP('Données projet'!$B$13,Paramètres!$A$1:$I$89,3,0)*VLOOKUP('Données projet'!$B$13,Paramètres!$A$1:$I$89,5,0)</f>
        <v>9.7599999999998293</v>
      </c>
      <c r="CV139" s="14">
        <f t="shared" si="149"/>
        <v>3.4500860232767008</v>
      </c>
      <c r="CW139" s="22">
        <f t="shared" si="121"/>
        <v>23.007566490539954</v>
      </c>
      <c r="CX139" s="60">
        <f t="shared" si="122"/>
        <v>307.85709688542516</v>
      </c>
      <c r="CY139" s="60">
        <f ca="1">AVERAGE(OFFSET($CX$3,0,0,'Données projet'!$E$13+1,1))-AVERAGE(OFFSET($H$3,0,0,'Données projet'!$E$13+1,1))</f>
        <v>388.53310909800695</v>
      </c>
      <c r="CZ139" s="60">
        <f t="shared" si="150"/>
        <v>263.82153161042811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0">
        <f t="shared" si="109"/>
        <v>848.11088100520078</v>
      </c>
      <c r="S140" s="60">
        <f ca="1">AVERAGE(OFFSET($R$3,0,0,'Données projet'!$E$9+1,1))-AVERAGE(OFFSET($H$3,0,0,'Données projet'!$E$9+1,1))</f>
        <v>469.67944008675863</v>
      </c>
      <c r="T140" s="60">
        <f t="shared" si="142"/>
        <v>266.11908070867173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1.8089849618263545E-13</v>
      </c>
      <c r="AK140" s="14">
        <f t="shared" si="143"/>
        <v>2.536422473342444E-12</v>
      </c>
      <c r="AL140" s="22">
        <f t="shared" si="112"/>
        <v>4.7326673552561798E-12</v>
      </c>
      <c r="AM140" s="60">
        <f t="shared" si="113"/>
        <v>284.9967054089301</v>
      </c>
      <c r="AN140" s="60">
        <f ca="1">AVERAGE(OFFSET($AM$3,0,0,'Données projet'!$E$10+1,1))-AVERAGE(OFFSET($H$3,0,0,'Données projet'!$E$10+1,1))</f>
        <v>323.1883858932618</v>
      </c>
      <c r="AO140" s="60">
        <f t="shared" si="144"/>
        <v>313.39536932399085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2.2737367544323206E-13</v>
      </c>
      <c r="BE140" s="14">
        <f>BD140*VLOOKUP('Données projet'!$B$11,Paramètres!$A$1:$I$89,3,0)*VLOOKUP('Données projet'!$B$11,Paramètres!$A$1:$I$89,5,0)</f>
        <v>1.6671037883497774E-13</v>
      </c>
      <c r="BF140" s="14">
        <f t="shared" si="145"/>
        <v>2.3598166018346595E-12</v>
      </c>
      <c r="BG140" s="22">
        <f t="shared" si="115"/>
        <v>4.400367824666284E-12</v>
      </c>
      <c r="BH140" s="60">
        <f t="shared" si="116"/>
        <v>284.99670540892976</v>
      </c>
      <c r="BI140" s="60">
        <f ca="1">AVERAGE(OFFSET($BH$3,0,0,'Données projet'!$E$11+1,1))-AVERAGE(OFFSET($H$3,0,0,'Données projet'!$E$11+1,1))</f>
        <v>302.52480941204414</v>
      </c>
      <c r="BJ140" s="60">
        <f t="shared" si="146"/>
        <v>293.66452856196088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242.52695999999943</v>
      </c>
      <c r="CA140" s="14">
        <f t="shared" si="147"/>
        <v>58.982886368985021</v>
      </c>
      <c r="CB140" s="22">
        <f t="shared" si="118"/>
        <v>525.12964909264781</v>
      </c>
      <c r="CC140" s="60">
        <f t="shared" si="119"/>
        <v>810.12635450157313</v>
      </c>
      <c r="CD140" s="60">
        <f ca="1">AVERAGE(OFFSET($CC$3,0,0,'Données projet'!$E$12+1,1))-AVERAGE(OFFSET($H$3,0,0,'Données projet'!$E$12+1,1))</f>
        <v>442.98179778678298</v>
      </c>
      <c r="CE140" s="60">
        <f t="shared" si="148"/>
        <v>251.96153561746942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10.256410256410078</v>
      </c>
      <c r="CU140" s="18">
        <f>CT140*VLOOKUP('Données projet'!$B$13,Paramètres!$A$1:$I$89,3,0)*VLOOKUP('Données projet'!$B$13,Paramètres!$A$1:$I$89,5,0)</f>
        <v>9.7599999999998293</v>
      </c>
      <c r="CV140" s="14">
        <f t="shared" si="149"/>
        <v>3.4500860232767008</v>
      </c>
      <c r="CW140" s="22">
        <f t="shared" si="121"/>
        <v>23.007566490539954</v>
      </c>
      <c r="CX140" s="60">
        <f t="shared" si="122"/>
        <v>308.00427189946532</v>
      </c>
      <c r="CY140" s="60">
        <f ca="1">AVERAGE(OFFSET($CX$3,0,0,'Données projet'!$E$13+1,1))-AVERAGE(OFFSET($H$3,0,0,'Données projet'!$E$13+1,1))</f>
        <v>388.53310909800695</v>
      </c>
      <c r="CZ140" s="60">
        <f t="shared" si="150"/>
        <v>263.82153161042811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0">
        <f t="shared" si="109"/>
        <v>853.41658824156661</v>
      </c>
      <c r="S141" s="60">
        <f ca="1">AVERAGE(OFFSET($R$3,0,0,'Données projet'!$E$9+1,1))-AVERAGE(OFFSET($H$3,0,0,'Données projet'!$E$9+1,1))</f>
        <v>469.67944008675863</v>
      </c>
      <c r="T141" s="60">
        <f t="shared" si="142"/>
        <v>266.11908070867173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1.8089849618263545E-13</v>
      </c>
      <c r="AK141" s="14">
        <f t="shared" si="143"/>
        <v>2.536422473342444E-12</v>
      </c>
      <c r="AL141" s="22">
        <f t="shared" si="112"/>
        <v>4.7326673552561798E-12</v>
      </c>
      <c r="AM141" s="60">
        <f t="shared" si="113"/>
        <v>285.14132726551065</v>
      </c>
      <c r="AN141" s="60">
        <f ca="1">AVERAGE(OFFSET($AM$3,0,0,'Données projet'!$E$10+1,1))-AVERAGE(OFFSET($H$3,0,0,'Données projet'!$E$10+1,1))</f>
        <v>323.1883858932618</v>
      </c>
      <c r="AO141" s="60">
        <f t="shared" si="144"/>
        <v>313.39536932399085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2.2737367544323206E-13</v>
      </c>
      <c r="BE141" s="14">
        <f>BD141*VLOOKUP('Données projet'!$B$11,Paramètres!$A$1:$I$89,3,0)*VLOOKUP('Données projet'!$B$11,Paramètres!$A$1:$I$89,5,0)</f>
        <v>1.6671037883497774E-13</v>
      </c>
      <c r="BF141" s="14">
        <f t="shared" si="145"/>
        <v>2.3598166018346595E-12</v>
      </c>
      <c r="BG141" s="22">
        <f t="shared" si="115"/>
        <v>4.400367824666284E-12</v>
      </c>
      <c r="BH141" s="60">
        <f t="shared" si="116"/>
        <v>285.14132726551031</v>
      </c>
      <c r="BI141" s="60">
        <f ca="1">AVERAGE(OFFSET($BH$3,0,0,'Données projet'!$E$11+1,1))-AVERAGE(OFFSET($H$3,0,0,'Données projet'!$E$11+1,1))</f>
        <v>302.52480941204414</v>
      </c>
      <c r="BJ141" s="60">
        <f t="shared" si="146"/>
        <v>293.66452856196088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244.80143999999945</v>
      </c>
      <c r="CA141" s="14">
        <f t="shared" si="147"/>
        <v>59.471389714596469</v>
      </c>
      <c r="CB141" s="22">
        <f t="shared" si="118"/>
        <v>529.94184508625449</v>
      </c>
      <c r="CC141" s="60">
        <f t="shared" si="119"/>
        <v>815.08317235176037</v>
      </c>
      <c r="CD141" s="60">
        <f ca="1">AVERAGE(OFFSET($CC$3,0,0,'Données projet'!$E$12+1,1))-AVERAGE(OFFSET($H$3,0,0,'Données projet'!$E$12+1,1))</f>
        <v>442.98179778678298</v>
      </c>
      <c r="CE141" s="60">
        <f t="shared" si="148"/>
        <v>251.96153561746942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10.256410256410078</v>
      </c>
      <c r="CU141" s="18">
        <f>CT141*VLOOKUP('Données projet'!$B$13,Paramètres!$A$1:$I$89,3,0)*VLOOKUP('Données projet'!$B$13,Paramètres!$A$1:$I$89,5,0)</f>
        <v>9.7599999999998293</v>
      </c>
      <c r="CV141" s="14">
        <f t="shared" si="149"/>
        <v>3.4500860232767008</v>
      </c>
      <c r="CW141" s="22">
        <f t="shared" si="121"/>
        <v>23.007566490539954</v>
      </c>
      <c r="CX141" s="60">
        <f t="shared" si="122"/>
        <v>308.14889375604588</v>
      </c>
      <c r="CY141" s="60">
        <f ca="1">AVERAGE(OFFSET($CX$3,0,0,'Données projet'!$E$13+1,1))-AVERAGE(OFFSET($H$3,0,0,'Données projet'!$E$13+1,1))</f>
        <v>388.53310909800695</v>
      </c>
      <c r="CZ141" s="60">
        <f t="shared" si="150"/>
        <v>263.82153161042811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0">
        <f t="shared" si="109"/>
        <v>858.71880701525538</v>
      </c>
      <c r="S142" s="60">
        <f ca="1">AVERAGE(OFFSET($R$3,0,0,'Données projet'!$E$9+1,1))-AVERAGE(OFFSET($H$3,0,0,'Données projet'!$E$9+1,1))</f>
        <v>469.67944008675863</v>
      </c>
      <c r="T142" s="60">
        <f t="shared" si="142"/>
        <v>266.11908070867173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1.8089849618263545E-13</v>
      </c>
      <c r="AK142" s="14">
        <f t="shared" si="143"/>
        <v>2.536422473342444E-12</v>
      </c>
      <c r="AL142" s="22">
        <f t="shared" si="112"/>
        <v>4.7326673552561798E-12</v>
      </c>
      <c r="AM142" s="60">
        <f t="shared" si="113"/>
        <v>285.28344025620561</v>
      </c>
      <c r="AN142" s="60">
        <f ca="1">AVERAGE(OFFSET($AM$3,0,0,'Données projet'!$E$10+1,1))-AVERAGE(OFFSET($H$3,0,0,'Données projet'!$E$10+1,1))</f>
        <v>323.1883858932618</v>
      </c>
      <c r="AO142" s="60">
        <f t="shared" si="144"/>
        <v>313.39536932399085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2.2737367544323206E-13</v>
      </c>
      <c r="BE142" s="14">
        <f>BD142*VLOOKUP('Données projet'!$B$11,Paramètres!$A$1:$I$89,3,0)*VLOOKUP('Données projet'!$B$11,Paramètres!$A$1:$I$89,5,0)</f>
        <v>1.6671037883497774E-13</v>
      </c>
      <c r="BF142" s="14">
        <f t="shared" si="145"/>
        <v>2.3598166018346595E-12</v>
      </c>
      <c r="BG142" s="22">
        <f t="shared" si="115"/>
        <v>4.400367824666284E-12</v>
      </c>
      <c r="BH142" s="60">
        <f t="shared" si="116"/>
        <v>285.28344025620527</v>
      </c>
      <c r="BI142" s="60">
        <f ca="1">AVERAGE(OFFSET($BH$3,0,0,'Données projet'!$E$11+1,1))-AVERAGE(OFFSET($H$3,0,0,'Données projet'!$E$11+1,1))</f>
        <v>302.52480941204414</v>
      </c>
      <c r="BJ142" s="60">
        <f t="shared" si="146"/>
        <v>293.66452856196088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247.0759199999994</v>
      </c>
      <c r="CA142" s="14">
        <f t="shared" si="147"/>
        <v>59.959365027937501</v>
      </c>
      <c r="CB142" s="22">
        <f t="shared" si="118"/>
        <v>534.75312142365681</v>
      </c>
      <c r="CC142" s="60">
        <f t="shared" si="119"/>
        <v>820.03656167985764</v>
      </c>
      <c r="CD142" s="60">
        <f ca="1">AVERAGE(OFFSET($CC$3,0,0,'Données projet'!$E$12+1,1))-AVERAGE(OFFSET($H$3,0,0,'Données projet'!$E$12+1,1))</f>
        <v>442.98179778678298</v>
      </c>
      <c r="CE142" s="60">
        <f t="shared" si="148"/>
        <v>251.96153561746942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10.256410256410078</v>
      </c>
      <c r="CU142" s="18">
        <f>CT142*VLOOKUP('Données projet'!$B$13,Paramètres!$A$1:$I$89,3,0)*VLOOKUP('Données projet'!$B$13,Paramètres!$A$1:$I$89,5,0)</f>
        <v>9.7599999999998293</v>
      </c>
      <c r="CV142" s="14">
        <f t="shared" si="149"/>
        <v>3.4500860232767008</v>
      </c>
      <c r="CW142" s="22">
        <f t="shared" si="121"/>
        <v>23.007566490539954</v>
      </c>
      <c r="CX142" s="60">
        <f t="shared" si="122"/>
        <v>308.29100674674083</v>
      </c>
      <c r="CY142" s="60">
        <f ca="1">AVERAGE(OFFSET($CX$3,0,0,'Données projet'!$E$13+1,1))-AVERAGE(OFFSET($H$3,0,0,'Données projet'!$E$13+1,1))</f>
        <v>388.53310909800695</v>
      </c>
      <c r="CZ142" s="60">
        <f t="shared" si="150"/>
        <v>263.82153161042811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0">
        <f t="shared" si="109"/>
        <v>864.01759091181088</v>
      </c>
      <c r="S143" s="60">
        <f ca="1">AVERAGE(OFFSET($R$3,0,0,'Données projet'!$E$9+1,1))-AVERAGE(OFFSET($H$3,0,0,'Données projet'!$E$9+1,1))</f>
        <v>469.67944008675863</v>
      </c>
      <c r="T143" s="60">
        <f t="shared" si="142"/>
        <v>266.11908070867173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1.8089849618263545E-13</v>
      </c>
      <c r="AK143" s="14">
        <f t="shared" si="143"/>
        <v>2.536422473342444E-12</v>
      </c>
      <c r="AL143" s="22">
        <f t="shared" si="112"/>
        <v>4.7326673552561798E-12</v>
      </c>
      <c r="AM143" s="60">
        <f t="shared" si="113"/>
        <v>285.42308790422908</v>
      </c>
      <c r="AN143" s="60">
        <f ca="1">AVERAGE(OFFSET($AM$3,0,0,'Données projet'!$E$10+1,1))-AVERAGE(OFFSET($H$3,0,0,'Données projet'!$E$10+1,1))</f>
        <v>323.1883858932618</v>
      </c>
      <c r="AO143" s="60">
        <f t="shared" si="144"/>
        <v>313.39536932399085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2.2737367544323206E-13</v>
      </c>
      <c r="BE143" s="14">
        <f>BD143*VLOOKUP('Données projet'!$B$11,Paramètres!$A$1:$I$89,3,0)*VLOOKUP('Données projet'!$B$11,Paramètres!$A$1:$I$89,5,0)</f>
        <v>1.6671037883497774E-13</v>
      </c>
      <c r="BF143" s="14">
        <f t="shared" si="145"/>
        <v>2.3598166018346595E-12</v>
      </c>
      <c r="BG143" s="22">
        <f t="shared" si="115"/>
        <v>4.400367824666284E-12</v>
      </c>
      <c r="BH143" s="60">
        <f t="shared" si="116"/>
        <v>285.42308790422874</v>
      </c>
      <c r="BI143" s="60">
        <f ca="1">AVERAGE(OFFSET($BH$3,0,0,'Données projet'!$E$11+1,1))-AVERAGE(OFFSET($H$3,0,0,'Données projet'!$E$11+1,1))</f>
        <v>302.52480941204414</v>
      </c>
      <c r="BJ143" s="60">
        <f t="shared" si="146"/>
        <v>293.66452856196088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249.35039999999938</v>
      </c>
      <c r="CA143" s="14">
        <f t="shared" si="147"/>
        <v>60.446817732908059</v>
      </c>
      <c r="CB143" s="22">
        <f t="shared" si="118"/>
        <v>539.56348755148042</v>
      </c>
      <c r="CC143" s="60">
        <f t="shared" si="119"/>
        <v>824.98657545570472</v>
      </c>
      <c r="CD143" s="60">
        <f ca="1">AVERAGE(OFFSET($CC$3,0,0,'Données projet'!$E$12+1,1))-AVERAGE(OFFSET($H$3,0,0,'Données projet'!$E$12+1,1))</f>
        <v>442.98179778678298</v>
      </c>
      <c r="CE143" s="60">
        <f t="shared" si="148"/>
        <v>251.96153561746942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10.256410256410078</v>
      </c>
      <c r="CU143" s="18">
        <f>CT143*VLOOKUP('Données projet'!$B$13,Paramètres!$A$1:$I$89,3,0)*VLOOKUP('Données projet'!$B$13,Paramètres!$A$1:$I$89,5,0)</f>
        <v>9.7599999999998293</v>
      </c>
      <c r="CV143" s="14">
        <f t="shared" si="149"/>
        <v>3.4500860232767008</v>
      </c>
      <c r="CW143" s="22">
        <f t="shared" si="121"/>
        <v>23.007566490539954</v>
      </c>
      <c r="CX143" s="60">
        <f t="shared" si="122"/>
        <v>308.4306543947643</v>
      </c>
      <c r="CY143" s="60">
        <f ca="1">AVERAGE(OFFSET($CX$3,0,0,'Données projet'!$E$13+1,1))-AVERAGE(OFFSET($H$3,0,0,'Données projet'!$E$13+1,1))</f>
        <v>388.53310909800695</v>
      </c>
      <c r="CZ143" s="60">
        <f t="shared" si="150"/>
        <v>263.82153161042811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0">
        <f t="shared" si="109"/>
        <v>817.11261859517413</v>
      </c>
      <c r="S144" s="60">
        <f ca="1">AVERAGE(OFFSET($R$3,0,0,'Données projet'!$E$9+1,1))-AVERAGE(OFFSET($H$3,0,0,'Données projet'!$E$9+1,1))</f>
        <v>469.67944008675863</v>
      </c>
      <c r="T144" s="60">
        <f t="shared" si="142"/>
        <v>266.11908070867173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1.8089849618263545E-13</v>
      </c>
      <c r="AK144" s="14">
        <f t="shared" si="143"/>
        <v>2.536422473342444E-12</v>
      </c>
      <c r="AL144" s="22">
        <f t="shared" si="112"/>
        <v>4.7326673552561798E-12</v>
      </c>
      <c r="AM144" s="60">
        <f t="shared" si="113"/>
        <v>285.56031297776474</v>
      </c>
      <c r="AN144" s="60">
        <f ca="1">AVERAGE(OFFSET($AM$3,0,0,'Données projet'!$E$10+1,1))-AVERAGE(OFFSET($H$3,0,0,'Données projet'!$E$10+1,1))</f>
        <v>323.1883858932618</v>
      </c>
      <c r="AO144" s="60">
        <f t="shared" si="144"/>
        <v>313.39536932399085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2.2737367544323206E-13</v>
      </c>
      <c r="BE144" s="14">
        <f>BD144*VLOOKUP('Données projet'!$B$11,Paramètres!$A$1:$I$89,3,0)*VLOOKUP('Données projet'!$B$11,Paramètres!$A$1:$I$89,5,0)</f>
        <v>1.6671037883497774E-13</v>
      </c>
      <c r="BF144" s="14">
        <f t="shared" si="145"/>
        <v>2.3598166018346595E-12</v>
      </c>
      <c r="BG144" s="22">
        <f t="shared" si="115"/>
        <v>4.400367824666284E-12</v>
      </c>
      <c r="BH144" s="60">
        <f t="shared" si="116"/>
        <v>285.5603129777644</v>
      </c>
      <c r="BI144" s="60">
        <f ca="1">AVERAGE(OFFSET($BH$3,0,0,'Données projet'!$E$11+1,1))-AVERAGE(OFFSET($H$3,0,0,'Données projet'!$E$11+1,1))</f>
        <v>302.52480941204414</v>
      </c>
      <c r="BJ144" s="60">
        <f t="shared" si="146"/>
        <v>293.66452856196088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228.62735999999936</v>
      </c>
      <c r="CA144" s="14">
        <f t="shared" si="147"/>
        <v>55.985781352428546</v>
      </c>
      <c r="CB144" s="22">
        <f t="shared" si="118"/>
        <v>495.70122118881187</v>
      </c>
      <c r="CC144" s="60">
        <f t="shared" si="119"/>
        <v>781.26153416657189</v>
      </c>
      <c r="CD144" s="60">
        <f ca="1">AVERAGE(OFFSET($CC$3,0,0,'Données projet'!$E$12+1,1))-AVERAGE(OFFSET($H$3,0,0,'Données projet'!$E$12+1,1))</f>
        <v>442.98179778678298</v>
      </c>
      <c r="CE144" s="60">
        <f t="shared" si="148"/>
        <v>251.96153561746942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10.256410256410078</v>
      </c>
      <c r="CU144" s="18">
        <f>CT144*VLOOKUP('Données projet'!$B$13,Paramètres!$A$1:$I$89,3,0)*VLOOKUP('Données projet'!$B$13,Paramètres!$A$1:$I$89,5,0)</f>
        <v>9.7599999999998293</v>
      </c>
      <c r="CV144" s="14">
        <f t="shared" si="149"/>
        <v>3.4500860232767008</v>
      </c>
      <c r="CW144" s="22">
        <f t="shared" si="121"/>
        <v>23.007566490539954</v>
      </c>
      <c r="CX144" s="60">
        <f t="shared" si="122"/>
        <v>308.56787946829996</v>
      </c>
      <c r="CY144" s="60">
        <f ca="1">AVERAGE(OFFSET($CX$3,0,0,'Données projet'!$E$13+1,1))-AVERAGE(OFFSET($H$3,0,0,'Données projet'!$E$13+1,1))</f>
        <v>388.53310909800695</v>
      </c>
      <c r="CZ144" s="60">
        <f t="shared" si="150"/>
        <v>263.82153161042811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0">
        <f t="shared" si="109"/>
        <v>821.84067287080984</v>
      </c>
      <c r="S145" s="60">
        <f ca="1">AVERAGE(OFFSET($R$3,0,0,'Données projet'!$E$9+1,1))-AVERAGE(OFFSET($H$3,0,0,'Données projet'!$E$9+1,1))</f>
        <v>469.67944008675863</v>
      </c>
      <c r="T145" s="60">
        <f t="shared" si="142"/>
        <v>266.11908070867173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1.8089849618263545E-13</v>
      </c>
      <c r="AK145" s="14">
        <f t="shared" si="143"/>
        <v>2.536422473342444E-12</v>
      </c>
      <c r="AL145" s="22">
        <f t="shared" si="112"/>
        <v>4.7326673552561798E-12</v>
      </c>
      <c r="AM145" s="60">
        <f t="shared" si="113"/>
        <v>285.6951575030638</v>
      </c>
      <c r="AN145" s="60">
        <f ca="1">AVERAGE(OFFSET($AM$3,0,0,'Données projet'!$E$10+1,1))-AVERAGE(OFFSET($H$3,0,0,'Données projet'!$E$10+1,1))</f>
        <v>323.1883858932618</v>
      </c>
      <c r="AO145" s="60">
        <f t="shared" si="144"/>
        <v>313.39536932399085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2.2737367544323206E-13</v>
      </c>
      <c r="BE145" s="14">
        <f>BD145*VLOOKUP('Données projet'!$B$11,Paramètres!$A$1:$I$89,3,0)*VLOOKUP('Données projet'!$B$11,Paramètres!$A$1:$I$89,5,0)</f>
        <v>1.6671037883497774E-13</v>
      </c>
      <c r="BF145" s="14">
        <f t="shared" si="145"/>
        <v>2.3598166018346595E-12</v>
      </c>
      <c r="BG145" s="22">
        <f t="shared" si="115"/>
        <v>4.400367824666284E-12</v>
      </c>
      <c r="BH145" s="60">
        <f t="shared" si="116"/>
        <v>285.69515750306346</v>
      </c>
      <c r="BI145" s="60">
        <f ca="1">AVERAGE(OFFSET($BH$3,0,0,'Données projet'!$E$11+1,1))-AVERAGE(OFFSET($H$3,0,0,'Données projet'!$E$11+1,1))</f>
        <v>302.52480941204414</v>
      </c>
      <c r="BJ145" s="60">
        <f t="shared" si="146"/>
        <v>293.66452856196088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230.64911999999936</v>
      </c>
      <c r="CA145" s="14">
        <f t="shared" si="147"/>
        <v>56.423013421666433</v>
      </c>
      <c r="CB145" s="22">
        <f t="shared" si="118"/>
        <v>499.98396570940122</v>
      </c>
      <c r="CC145" s="60">
        <f t="shared" si="119"/>
        <v>785.67912321246035</v>
      </c>
      <c r="CD145" s="60">
        <f ca="1">AVERAGE(OFFSET($CC$3,0,0,'Données projet'!$E$12+1,1))-AVERAGE(OFFSET($H$3,0,0,'Données projet'!$E$12+1,1))</f>
        <v>442.98179778678298</v>
      </c>
      <c r="CE145" s="60">
        <f t="shared" si="148"/>
        <v>251.96153561746942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10.256410256410078</v>
      </c>
      <c r="CU145" s="18">
        <f>CT145*VLOOKUP('Données projet'!$B$13,Paramètres!$A$1:$I$89,3,0)*VLOOKUP('Données projet'!$B$13,Paramètres!$A$1:$I$89,5,0)</f>
        <v>9.7599999999998293</v>
      </c>
      <c r="CV145" s="14">
        <f t="shared" si="149"/>
        <v>3.4500860232767008</v>
      </c>
      <c r="CW145" s="22">
        <f t="shared" si="121"/>
        <v>23.007566490539954</v>
      </c>
      <c r="CX145" s="60">
        <f t="shared" si="122"/>
        <v>308.70272399359902</v>
      </c>
      <c r="CY145" s="60">
        <f ca="1">AVERAGE(OFFSET($CX$3,0,0,'Données projet'!$E$13+1,1))-AVERAGE(OFFSET($H$3,0,0,'Données projet'!$E$13+1,1))</f>
        <v>388.53310909800695</v>
      </c>
      <c r="CZ145" s="60">
        <f t="shared" si="150"/>
        <v>263.82153161042811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0">
        <f t="shared" si="109"/>
        <v>826.56556068874397</v>
      </c>
      <c r="S146" s="60">
        <f ca="1">AVERAGE(OFFSET($R$3,0,0,'Données projet'!$E$9+1,1))-AVERAGE(OFFSET($H$3,0,0,'Données projet'!$E$9+1,1))</f>
        <v>469.67944008675863</v>
      </c>
      <c r="T146" s="60">
        <f t="shared" si="142"/>
        <v>266.11908070867173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1.8089849618263545E-13</v>
      </c>
      <c r="AK146" s="14">
        <f t="shared" si="143"/>
        <v>2.536422473342444E-12</v>
      </c>
      <c r="AL146" s="22">
        <f t="shared" si="112"/>
        <v>4.7326673552561798E-12</v>
      </c>
      <c r="AM146" s="60">
        <f t="shared" si="113"/>
        <v>285.82766277731616</v>
      </c>
      <c r="AN146" s="60">
        <f ca="1">AVERAGE(OFFSET($AM$3,0,0,'Données projet'!$E$10+1,1))-AVERAGE(OFFSET($H$3,0,0,'Données projet'!$E$10+1,1))</f>
        <v>323.1883858932618</v>
      </c>
      <c r="AO146" s="60">
        <f t="shared" si="144"/>
        <v>313.39536932399085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2.2737367544323206E-13</v>
      </c>
      <c r="BE146" s="14">
        <f>BD146*VLOOKUP('Données projet'!$B$11,Paramètres!$A$1:$I$89,3,0)*VLOOKUP('Données projet'!$B$11,Paramètres!$A$1:$I$89,5,0)</f>
        <v>1.6671037883497774E-13</v>
      </c>
      <c r="BF146" s="14">
        <f t="shared" si="145"/>
        <v>2.3598166018346595E-12</v>
      </c>
      <c r="BG146" s="22">
        <f t="shared" si="115"/>
        <v>4.400367824666284E-12</v>
      </c>
      <c r="BH146" s="60">
        <f t="shared" si="116"/>
        <v>285.82766277731582</v>
      </c>
      <c r="BI146" s="60">
        <f ca="1">AVERAGE(OFFSET($BH$3,0,0,'Données projet'!$E$11+1,1))-AVERAGE(OFFSET($H$3,0,0,'Données projet'!$E$11+1,1))</f>
        <v>302.52480941204414</v>
      </c>
      <c r="BJ146" s="60">
        <f t="shared" si="146"/>
        <v>293.66452856196088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232.67087999999933</v>
      </c>
      <c r="CA146" s="14">
        <f t="shared" si="147"/>
        <v>56.859799601522155</v>
      </c>
      <c r="CB146" s="22">
        <f t="shared" si="118"/>
        <v>504.26593363931647</v>
      </c>
      <c r="CC146" s="60">
        <f t="shared" si="119"/>
        <v>790.09359641662786</v>
      </c>
      <c r="CD146" s="60">
        <f ca="1">AVERAGE(OFFSET($CC$3,0,0,'Données projet'!$E$12+1,1))-AVERAGE(OFFSET($H$3,0,0,'Données projet'!$E$12+1,1))</f>
        <v>442.98179778678298</v>
      </c>
      <c r="CE146" s="60">
        <f t="shared" si="148"/>
        <v>251.96153561746942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10.256410256410078</v>
      </c>
      <c r="CU146" s="18">
        <f>CT146*VLOOKUP('Données projet'!$B$13,Paramètres!$A$1:$I$89,3,0)*VLOOKUP('Données projet'!$B$13,Paramètres!$A$1:$I$89,5,0)</f>
        <v>9.7599999999998293</v>
      </c>
      <c r="CV146" s="14">
        <f t="shared" si="149"/>
        <v>3.4500860232767008</v>
      </c>
      <c r="CW146" s="22">
        <f t="shared" si="121"/>
        <v>23.007566490539954</v>
      </c>
      <c r="CX146" s="60">
        <f t="shared" si="122"/>
        <v>308.83522926785139</v>
      </c>
      <c r="CY146" s="60">
        <f ca="1">AVERAGE(OFFSET($CX$3,0,0,'Données projet'!$E$13+1,1))-AVERAGE(OFFSET($H$3,0,0,'Données projet'!$E$13+1,1))</f>
        <v>388.53310909800695</v>
      </c>
      <c r="CZ146" s="60">
        <f t="shared" si="150"/>
        <v>263.82153161042811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0">
        <f t="shared" si="109"/>
        <v>831.28733065046117</v>
      </c>
      <c r="S147" s="60">
        <f ca="1">AVERAGE(OFFSET($R$3,0,0,'Données projet'!$E$9+1,1))-AVERAGE(OFFSET($H$3,0,0,'Données projet'!$E$9+1,1))</f>
        <v>469.67944008675863</v>
      </c>
      <c r="T147" s="60">
        <f t="shared" si="142"/>
        <v>266.11908070867173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1.8089849618263545E-13</v>
      </c>
      <c r="AK147" s="14">
        <f t="shared" si="143"/>
        <v>2.536422473342444E-12</v>
      </c>
      <c r="AL147" s="22">
        <f t="shared" si="112"/>
        <v>4.7326673552561798E-12</v>
      </c>
      <c r="AM147" s="60">
        <f t="shared" si="113"/>
        <v>285.9578693812976</v>
      </c>
      <c r="AN147" s="60">
        <f ca="1">AVERAGE(OFFSET($AM$3,0,0,'Données projet'!$E$10+1,1))-AVERAGE(OFFSET($H$3,0,0,'Données projet'!$E$10+1,1))</f>
        <v>323.1883858932618</v>
      </c>
      <c r="AO147" s="60">
        <f t="shared" si="144"/>
        <v>313.39536932399085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2.2737367544323206E-13</v>
      </c>
      <c r="BE147" s="14">
        <f>BD147*VLOOKUP('Données projet'!$B$11,Paramètres!$A$1:$I$89,3,0)*VLOOKUP('Données projet'!$B$11,Paramètres!$A$1:$I$89,5,0)</f>
        <v>1.6671037883497774E-13</v>
      </c>
      <c r="BF147" s="14">
        <f t="shared" si="145"/>
        <v>2.3598166018346595E-12</v>
      </c>
      <c r="BG147" s="22">
        <f t="shared" si="115"/>
        <v>4.400367824666284E-12</v>
      </c>
      <c r="BH147" s="60">
        <f t="shared" si="116"/>
        <v>285.95786938129726</v>
      </c>
      <c r="BI147" s="60">
        <f ca="1">AVERAGE(OFFSET($BH$3,0,0,'Données projet'!$E$11+1,1))-AVERAGE(OFFSET($H$3,0,0,'Données projet'!$E$11+1,1))</f>
        <v>302.52480941204414</v>
      </c>
      <c r="BJ147" s="60">
        <f t="shared" si="146"/>
        <v>293.66452856196088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234.69263999999933</v>
      </c>
      <c r="CA147" s="14">
        <f t="shared" si="147"/>
        <v>57.296144215400361</v>
      </c>
      <c r="CB147" s="22">
        <f t="shared" si="118"/>
        <v>508.54713250848772</v>
      </c>
      <c r="CC147" s="60">
        <f t="shared" si="119"/>
        <v>794.5050018897806</v>
      </c>
      <c r="CD147" s="60">
        <f ca="1">AVERAGE(OFFSET($CC$3,0,0,'Données projet'!$E$12+1,1))-AVERAGE(OFFSET($H$3,0,0,'Données projet'!$E$12+1,1))</f>
        <v>442.98179778678298</v>
      </c>
      <c r="CE147" s="60">
        <f t="shared" si="148"/>
        <v>251.96153561746942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10.256410256410078</v>
      </c>
      <c r="CU147" s="18">
        <f>CT147*VLOOKUP('Données projet'!$B$13,Paramètres!$A$1:$I$89,3,0)*VLOOKUP('Données projet'!$B$13,Paramètres!$A$1:$I$89,5,0)</f>
        <v>9.7599999999998293</v>
      </c>
      <c r="CV147" s="14">
        <f t="shared" si="149"/>
        <v>3.4500860232767008</v>
      </c>
      <c r="CW147" s="22">
        <f t="shared" si="121"/>
        <v>23.007566490539954</v>
      </c>
      <c r="CX147" s="60">
        <f t="shared" si="122"/>
        <v>308.96543587183282</v>
      </c>
      <c r="CY147" s="60">
        <f ca="1">AVERAGE(OFFSET($CX$3,0,0,'Données projet'!$E$13+1,1))-AVERAGE(OFFSET($H$3,0,0,'Données projet'!$E$13+1,1))</f>
        <v>388.53310909800695</v>
      </c>
      <c r="CZ147" s="60">
        <f t="shared" si="150"/>
        <v>263.82153161042811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0">
        <f t="shared" si="109"/>
        <v>836.00603050729785</v>
      </c>
      <c r="S148" s="60">
        <f ca="1">AVERAGE(OFFSET($R$3,0,0,'Données projet'!$E$9+1,1))-AVERAGE(OFFSET($H$3,0,0,'Données projet'!$E$9+1,1))</f>
        <v>469.67944008675863</v>
      </c>
      <c r="T148" s="60">
        <f t="shared" si="142"/>
        <v>266.11908070867173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1.8089849618263545E-13</v>
      </c>
      <c r="AK148" s="14">
        <f t="shared" si="143"/>
        <v>2.536422473342444E-12</v>
      </c>
      <c r="AL148" s="22">
        <f t="shared" si="112"/>
        <v>4.7326673552561798E-12</v>
      </c>
      <c r="AM148" s="60">
        <f t="shared" si="113"/>
        <v>286.0858171917983</v>
      </c>
      <c r="AN148" s="60">
        <f ca="1">AVERAGE(OFFSET($AM$3,0,0,'Données projet'!$E$10+1,1))-AVERAGE(OFFSET($H$3,0,0,'Données projet'!$E$10+1,1))</f>
        <v>323.1883858932618</v>
      </c>
      <c r="AO148" s="60">
        <f t="shared" si="144"/>
        <v>313.39536932399085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2.2737367544323206E-13</v>
      </c>
      <c r="BE148" s="14">
        <f>BD148*VLOOKUP('Données projet'!$B$11,Paramètres!$A$1:$I$89,3,0)*VLOOKUP('Données projet'!$B$11,Paramètres!$A$1:$I$89,5,0)</f>
        <v>1.6671037883497774E-13</v>
      </c>
      <c r="BF148" s="14">
        <f t="shared" si="145"/>
        <v>2.3598166018346595E-12</v>
      </c>
      <c r="BG148" s="22">
        <f t="shared" si="115"/>
        <v>4.400367824666284E-12</v>
      </c>
      <c r="BH148" s="60">
        <f t="shared" si="116"/>
        <v>286.08581719179796</v>
      </c>
      <c r="BI148" s="60">
        <f ca="1">AVERAGE(OFFSET($BH$3,0,0,'Données projet'!$E$11+1,1))-AVERAGE(OFFSET($H$3,0,0,'Données projet'!$E$11+1,1))</f>
        <v>302.52480941204414</v>
      </c>
      <c r="BJ148" s="60">
        <f t="shared" si="146"/>
        <v>293.66452856196088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236.7143999999993</v>
      </c>
      <c r="CA148" s="14">
        <f t="shared" si="147"/>
        <v>57.732051507919145</v>
      </c>
      <c r="CB148" s="22">
        <f t="shared" si="118"/>
        <v>512.82756970962453</v>
      </c>
      <c r="CC148" s="60">
        <f t="shared" si="119"/>
        <v>798.91338690141811</v>
      </c>
      <c r="CD148" s="60">
        <f ca="1">AVERAGE(OFFSET($CC$3,0,0,'Données projet'!$E$12+1,1))-AVERAGE(OFFSET($H$3,0,0,'Données projet'!$E$12+1,1))</f>
        <v>442.98179778678298</v>
      </c>
      <c r="CE148" s="60">
        <f t="shared" si="148"/>
        <v>251.96153561746942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10.256410256410078</v>
      </c>
      <c r="CU148" s="18">
        <f>CT148*VLOOKUP('Données projet'!$B$13,Paramètres!$A$1:$I$89,3,0)*VLOOKUP('Données projet'!$B$13,Paramètres!$A$1:$I$89,5,0)</f>
        <v>9.7599999999998293</v>
      </c>
      <c r="CV148" s="14">
        <f t="shared" si="149"/>
        <v>3.4500860232767008</v>
      </c>
      <c r="CW148" s="22">
        <f t="shared" si="121"/>
        <v>23.007566490539954</v>
      </c>
      <c r="CX148" s="60">
        <f t="shared" si="122"/>
        <v>309.09338368233352</v>
      </c>
      <c r="CY148" s="60">
        <f ca="1">AVERAGE(OFFSET($CX$3,0,0,'Données projet'!$E$13+1,1))-AVERAGE(OFFSET($H$3,0,0,'Données projet'!$E$13+1,1))</f>
        <v>388.53310909800695</v>
      </c>
      <c r="CZ148" s="60">
        <f t="shared" si="150"/>
        <v>263.82153161042811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0">
        <f t="shared" si="109"/>
        <v>840.72170717654171</v>
      </c>
      <c r="S149" s="60">
        <f ca="1">AVERAGE(OFFSET($R$3,0,0,'Données projet'!$E$9+1,1))-AVERAGE(OFFSET($H$3,0,0,'Données projet'!$E$9+1,1))</f>
        <v>469.67944008675863</v>
      </c>
      <c r="T149" s="60">
        <f t="shared" si="142"/>
        <v>266.11908070867173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1.8089849618263545E-13</v>
      </c>
      <c r="AK149" s="14">
        <f t="shared" si="143"/>
        <v>2.536422473342444E-12</v>
      </c>
      <c r="AL149" s="22">
        <f t="shared" si="112"/>
        <v>4.7326673552561798E-12</v>
      </c>
      <c r="AM149" s="60">
        <f t="shared" si="113"/>
        <v>286.21154539383537</v>
      </c>
      <c r="AN149" s="60">
        <f ca="1">AVERAGE(OFFSET($AM$3,0,0,'Données projet'!$E$10+1,1))-AVERAGE(OFFSET($H$3,0,0,'Données projet'!$E$10+1,1))</f>
        <v>323.1883858932618</v>
      </c>
      <c r="AO149" s="60">
        <f t="shared" si="144"/>
        <v>313.39536932399085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2.2737367544323206E-13</v>
      </c>
      <c r="BE149" s="14">
        <f>BD149*VLOOKUP('Données projet'!$B$11,Paramètres!$A$1:$I$89,3,0)*VLOOKUP('Données projet'!$B$11,Paramètres!$A$1:$I$89,5,0)</f>
        <v>1.6671037883497774E-13</v>
      </c>
      <c r="BF149" s="14">
        <f t="shared" si="145"/>
        <v>2.3598166018346595E-12</v>
      </c>
      <c r="BG149" s="22">
        <f t="shared" si="115"/>
        <v>4.400367824666284E-12</v>
      </c>
      <c r="BH149" s="60">
        <f t="shared" si="116"/>
        <v>286.21154539383502</v>
      </c>
      <c r="BI149" s="60">
        <f ca="1">AVERAGE(OFFSET($BH$3,0,0,'Données projet'!$E$11+1,1))-AVERAGE(OFFSET($H$3,0,0,'Données projet'!$E$11+1,1))</f>
        <v>302.52480941204414</v>
      </c>
      <c r="BJ149" s="60">
        <f t="shared" si="146"/>
        <v>293.66452856196088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238.7361599999993</v>
      </c>
      <c r="CA149" s="14">
        <f t="shared" si="147"/>
        <v>58.167525647006187</v>
      </c>
      <c r="CB149" s="22">
        <f t="shared" si="118"/>
        <v>517.10725250186795</v>
      </c>
      <c r="CC149" s="60">
        <f t="shared" si="119"/>
        <v>803.31879789569859</v>
      </c>
      <c r="CD149" s="60">
        <f ca="1">AVERAGE(OFFSET($CC$3,0,0,'Données projet'!$E$12+1,1))-AVERAGE(OFFSET($H$3,0,0,'Données projet'!$E$12+1,1))</f>
        <v>442.98179778678298</v>
      </c>
      <c r="CE149" s="60">
        <f t="shared" si="148"/>
        <v>251.96153561746942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10.256410256410078</v>
      </c>
      <c r="CU149" s="18">
        <f>CT149*VLOOKUP('Données projet'!$B$13,Paramètres!$A$1:$I$89,3,0)*VLOOKUP('Données projet'!$B$13,Paramètres!$A$1:$I$89,5,0)</f>
        <v>9.7599999999998293</v>
      </c>
      <c r="CV149" s="14">
        <f t="shared" si="149"/>
        <v>3.4500860232767008</v>
      </c>
      <c r="CW149" s="22">
        <f t="shared" si="121"/>
        <v>23.007566490539954</v>
      </c>
      <c r="CX149" s="60">
        <f t="shared" si="122"/>
        <v>309.21911188437059</v>
      </c>
      <c r="CY149" s="60">
        <f ca="1">AVERAGE(OFFSET($CX$3,0,0,'Données projet'!$E$13+1,1))-AVERAGE(OFFSET($H$3,0,0,'Données projet'!$E$13+1,1))</f>
        <v>388.53310909800695</v>
      </c>
      <c r="CZ149" s="60">
        <f t="shared" si="150"/>
        <v>263.82153161042811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0">
        <f t="shared" si="109"/>
        <v>845.43440675718682</v>
      </c>
      <c r="S150" s="60">
        <f ca="1">AVERAGE(OFFSET($R$3,0,0,'Données projet'!$E$9+1,1))-AVERAGE(OFFSET($H$3,0,0,'Données projet'!$E$9+1,1))</f>
        <v>469.67944008675863</v>
      </c>
      <c r="T150" s="60">
        <f t="shared" si="142"/>
        <v>266.11908070867173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1.8089849618263545E-13</v>
      </c>
      <c r="AK150" s="14">
        <f t="shared" si="143"/>
        <v>2.536422473342444E-12</v>
      </c>
      <c r="AL150" s="22">
        <f t="shared" si="112"/>
        <v>4.7326673552561798E-12</v>
      </c>
      <c r="AM150" s="60">
        <f t="shared" si="113"/>
        <v>286.33509249265313</v>
      </c>
      <c r="AN150" s="60">
        <f ca="1">AVERAGE(OFFSET($AM$3,0,0,'Données projet'!$E$10+1,1))-AVERAGE(OFFSET($H$3,0,0,'Données projet'!$E$10+1,1))</f>
        <v>323.1883858932618</v>
      </c>
      <c r="AO150" s="60">
        <f t="shared" si="144"/>
        <v>313.39536932399085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2.2737367544323206E-13</v>
      </c>
      <c r="BE150" s="14">
        <f>BD150*VLOOKUP('Données projet'!$B$11,Paramètres!$A$1:$I$89,3,0)*VLOOKUP('Données projet'!$B$11,Paramètres!$A$1:$I$89,5,0)</f>
        <v>1.6671037883497774E-13</v>
      </c>
      <c r="BF150" s="14">
        <f t="shared" si="145"/>
        <v>2.3598166018346595E-12</v>
      </c>
      <c r="BG150" s="22">
        <f t="shared" si="115"/>
        <v>4.400367824666284E-12</v>
      </c>
      <c r="BH150" s="60">
        <f t="shared" si="116"/>
        <v>286.33509249265279</v>
      </c>
      <c r="BI150" s="60">
        <f ca="1">AVERAGE(OFFSET($BH$3,0,0,'Données projet'!$E$11+1,1))-AVERAGE(OFFSET($H$3,0,0,'Données projet'!$E$11+1,1))</f>
        <v>302.52480941204414</v>
      </c>
      <c r="BJ150" s="60">
        <f t="shared" si="146"/>
        <v>293.66452856196088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240.7579199999993</v>
      </c>
      <c r="CA150" s="14">
        <f t="shared" si="147"/>
        <v>58.602570725922028</v>
      </c>
      <c r="CB150" s="22">
        <f t="shared" si="118"/>
        <v>521.38618801431301</v>
      </c>
      <c r="CC150" s="60">
        <f t="shared" si="119"/>
        <v>807.72128050696142</v>
      </c>
      <c r="CD150" s="60">
        <f ca="1">AVERAGE(OFFSET($CC$3,0,0,'Données projet'!$E$12+1,1))-AVERAGE(OFFSET($H$3,0,0,'Données projet'!$E$12+1,1))</f>
        <v>442.98179778678298</v>
      </c>
      <c r="CE150" s="60">
        <f t="shared" si="148"/>
        <v>251.96153561746942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10.256410256410078</v>
      </c>
      <c r="CU150" s="18">
        <f>CT150*VLOOKUP('Données projet'!$B$13,Paramètres!$A$1:$I$89,3,0)*VLOOKUP('Données projet'!$B$13,Paramètres!$A$1:$I$89,5,0)</f>
        <v>9.7599999999998293</v>
      </c>
      <c r="CV150" s="14">
        <f t="shared" si="149"/>
        <v>3.4500860232767008</v>
      </c>
      <c r="CW150" s="22">
        <f t="shared" si="121"/>
        <v>23.007566490539954</v>
      </c>
      <c r="CX150" s="60">
        <f t="shared" si="122"/>
        <v>309.34265898318836</v>
      </c>
      <c r="CY150" s="60">
        <f ca="1">AVERAGE(OFFSET($CX$3,0,0,'Données projet'!$E$13+1,1))-AVERAGE(OFFSET($H$3,0,0,'Données projet'!$E$13+1,1))</f>
        <v>388.53310909800695</v>
      </c>
      <c r="CZ150" s="60">
        <f t="shared" si="150"/>
        <v>263.82153161042811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0">
        <f t="shared" si="109"/>
        <v>850.14417454534896</v>
      </c>
      <c r="S151" s="60">
        <f ca="1">AVERAGE(OFFSET($R$3,0,0,'Données projet'!$E$9+1,1))-AVERAGE(OFFSET($H$3,0,0,'Données projet'!$E$9+1,1))</f>
        <v>469.67944008675863</v>
      </c>
      <c r="T151" s="60">
        <f t="shared" si="142"/>
        <v>266.11908070867173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1.8089849618263545E-13</v>
      </c>
      <c r="AK151" s="14">
        <f t="shared" si="143"/>
        <v>2.536422473342444E-12</v>
      </c>
      <c r="AL151" s="22">
        <f t="shared" si="112"/>
        <v>4.7326673552561798E-12</v>
      </c>
      <c r="AM151" s="60">
        <f t="shared" si="113"/>
        <v>286.45649632551641</v>
      </c>
      <c r="AN151" s="60">
        <f ca="1">AVERAGE(OFFSET($AM$3,0,0,'Données projet'!$E$10+1,1))-AVERAGE(OFFSET($H$3,0,0,'Données projet'!$E$10+1,1))</f>
        <v>323.1883858932618</v>
      </c>
      <c r="AO151" s="60">
        <f t="shared" si="144"/>
        <v>313.39536932399085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2.2737367544323206E-13</v>
      </c>
      <c r="BE151" s="14">
        <f>BD151*VLOOKUP('Données projet'!$B$11,Paramètres!$A$1:$I$89,3,0)*VLOOKUP('Données projet'!$B$11,Paramètres!$A$1:$I$89,5,0)</f>
        <v>1.6671037883497774E-13</v>
      </c>
      <c r="BF151" s="14">
        <f t="shared" si="145"/>
        <v>2.3598166018346595E-12</v>
      </c>
      <c r="BG151" s="22">
        <f t="shared" si="115"/>
        <v>4.400367824666284E-12</v>
      </c>
      <c r="BH151" s="60">
        <f t="shared" si="116"/>
        <v>286.45649632551607</v>
      </c>
      <c r="BI151" s="60">
        <f ca="1">AVERAGE(OFFSET($BH$3,0,0,'Données projet'!$E$11+1,1))-AVERAGE(OFFSET($H$3,0,0,'Données projet'!$E$11+1,1))</f>
        <v>302.52480941204414</v>
      </c>
      <c r="BJ151" s="60">
        <f t="shared" si="146"/>
        <v>293.66452856196088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242.77967999999925</v>
      </c>
      <c r="CA151" s="14">
        <f t="shared" si="147"/>
        <v>59.0371907652126</v>
      </c>
      <c r="CB151" s="22">
        <f t="shared" si="118"/>
        <v>525.66438324941055</v>
      </c>
      <c r="CC151" s="60">
        <f t="shared" si="119"/>
        <v>812.12087957492224</v>
      </c>
      <c r="CD151" s="60">
        <f ca="1">AVERAGE(OFFSET($CC$3,0,0,'Données projet'!$E$12+1,1))-AVERAGE(OFFSET($H$3,0,0,'Données projet'!$E$12+1,1))</f>
        <v>442.98179778678298</v>
      </c>
      <c r="CE151" s="60">
        <f t="shared" si="148"/>
        <v>251.96153561746942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10.256410256410078</v>
      </c>
      <c r="CU151" s="18">
        <f>CT151*VLOOKUP('Données projet'!$B$13,Paramètres!$A$1:$I$89,3,0)*VLOOKUP('Données projet'!$B$13,Paramètres!$A$1:$I$89,5,0)</f>
        <v>9.7599999999998293</v>
      </c>
      <c r="CV151" s="14">
        <f t="shared" si="149"/>
        <v>3.4500860232767008</v>
      </c>
      <c r="CW151" s="22">
        <f t="shared" si="121"/>
        <v>23.007566490539954</v>
      </c>
      <c r="CX151" s="60">
        <f t="shared" si="122"/>
        <v>309.46406281605164</v>
      </c>
      <c r="CY151" s="60">
        <f ca="1">AVERAGE(OFFSET($CX$3,0,0,'Données projet'!$E$13+1,1))-AVERAGE(OFFSET($H$3,0,0,'Données projet'!$E$13+1,1))</f>
        <v>388.53310909800695</v>
      </c>
      <c r="CZ151" s="60">
        <f t="shared" si="150"/>
        <v>263.82153161042811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0">
        <f t="shared" si="109"/>
        <v>854.85105504935336</v>
      </c>
      <c r="S152" s="60">
        <f ca="1">AVERAGE(OFFSET($R$3,0,0,'Données projet'!$E$9+1,1))-AVERAGE(OFFSET($H$3,0,0,'Données projet'!$E$9+1,1))</f>
        <v>469.67944008675863</v>
      </c>
      <c r="T152" s="60">
        <f t="shared" si="142"/>
        <v>266.11908070867173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1.8089849618263545E-13</v>
      </c>
      <c r="AK152" s="14">
        <f t="shared" si="143"/>
        <v>2.536422473342444E-12</v>
      </c>
      <c r="AL152" s="22">
        <f t="shared" si="112"/>
        <v>4.7326673552561798E-12</v>
      </c>
      <c r="AM152" s="60">
        <f t="shared" si="113"/>
        <v>286.5757940732978</v>
      </c>
      <c r="AN152" s="60">
        <f ca="1">AVERAGE(OFFSET($AM$3,0,0,'Données projet'!$E$10+1,1))-AVERAGE(OFFSET($H$3,0,0,'Données projet'!$E$10+1,1))</f>
        <v>323.1883858932618</v>
      </c>
      <c r="AO152" s="60">
        <f t="shared" si="144"/>
        <v>313.39536932399085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2.2737367544323206E-13</v>
      </c>
      <c r="BE152" s="14">
        <f>BD152*VLOOKUP('Données projet'!$B$11,Paramètres!$A$1:$I$89,3,0)*VLOOKUP('Données projet'!$B$11,Paramètres!$A$1:$I$89,5,0)</f>
        <v>1.6671037883497774E-13</v>
      </c>
      <c r="BF152" s="14">
        <f t="shared" si="145"/>
        <v>2.3598166018346595E-12</v>
      </c>
      <c r="BG152" s="22">
        <f t="shared" si="115"/>
        <v>4.400367824666284E-12</v>
      </c>
      <c r="BH152" s="60">
        <f t="shared" si="116"/>
        <v>286.57579407329746</v>
      </c>
      <c r="BI152" s="60">
        <f ca="1">AVERAGE(OFFSET($BH$3,0,0,'Données projet'!$E$11+1,1))-AVERAGE(OFFSET($H$3,0,0,'Données projet'!$E$11+1,1))</f>
        <v>302.52480941204414</v>
      </c>
      <c r="BJ152" s="60">
        <f t="shared" si="146"/>
        <v>293.66452856196088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244.80143999999922</v>
      </c>
      <c r="CA152" s="14">
        <f t="shared" si="147"/>
        <v>59.471389714596413</v>
      </c>
      <c r="CB152" s="22">
        <f t="shared" si="118"/>
        <v>529.94184508625403</v>
      </c>
      <c r="CC152" s="60">
        <f t="shared" si="119"/>
        <v>816.51763915954712</v>
      </c>
      <c r="CD152" s="60">
        <f ca="1">AVERAGE(OFFSET($CC$3,0,0,'Données projet'!$E$12+1,1))-AVERAGE(OFFSET($H$3,0,0,'Données projet'!$E$12+1,1))</f>
        <v>442.98179778678298</v>
      </c>
      <c r="CE152" s="60">
        <f t="shared" si="148"/>
        <v>251.96153561746942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10.256410256410078</v>
      </c>
      <c r="CU152" s="18">
        <f>CT152*VLOOKUP('Données projet'!$B$13,Paramètres!$A$1:$I$89,3,0)*VLOOKUP('Données projet'!$B$13,Paramètres!$A$1:$I$89,5,0)</f>
        <v>9.7599999999998293</v>
      </c>
      <c r="CV152" s="14">
        <f t="shared" si="149"/>
        <v>3.4500860232767008</v>
      </c>
      <c r="CW152" s="22">
        <f t="shared" si="121"/>
        <v>23.007566490539954</v>
      </c>
      <c r="CX152" s="60">
        <f t="shared" si="122"/>
        <v>309.58336056383303</v>
      </c>
      <c r="CY152" s="60">
        <f ca="1">AVERAGE(OFFSET($CX$3,0,0,'Données projet'!$E$13+1,1))-AVERAGE(OFFSET($H$3,0,0,'Données projet'!$E$13+1,1))</f>
        <v>388.53310909800695</v>
      </c>
      <c r="CZ152" s="60">
        <f t="shared" si="150"/>
        <v>263.82153161042811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0">
        <f t="shared" si="109"/>
        <v>859.5550920045016</v>
      </c>
      <c r="S153" s="60">
        <f ca="1">AVERAGE(OFFSET($R$3,0,0,'Données projet'!$E$9+1,1))-AVERAGE(OFFSET($H$3,0,0,'Données projet'!$E$9+1,1))</f>
        <v>469.67944008675863</v>
      </c>
      <c r="T153" s="60">
        <f t="shared" si="142"/>
        <v>266.11908070867173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1.8089849618263545E-13</v>
      </c>
      <c r="AK153" s="14">
        <f t="shared" si="143"/>
        <v>2.536422473342444E-12</v>
      </c>
      <c r="AL153" s="22">
        <f t="shared" si="112"/>
        <v>4.7326673552561798E-12</v>
      </c>
      <c r="AM153" s="60">
        <f t="shared" si="113"/>
        <v>286.69302227186506</v>
      </c>
      <c r="AN153" s="60">
        <f ca="1">AVERAGE(OFFSET($AM$3,0,0,'Données projet'!$E$10+1,1))-AVERAGE(OFFSET($H$3,0,0,'Données projet'!$E$10+1,1))</f>
        <v>323.1883858932618</v>
      </c>
      <c r="AO153" s="60">
        <f t="shared" si="144"/>
        <v>313.39536932399085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2.2737367544323206E-13</v>
      </c>
      <c r="BE153" s="14">
        <f>BD153*VLOOKUP('Données projet'!$B$11,Paramètres!$A$1:$I$89,3,0)*VLOOKUP('Données projet'!$B$11,Paramètres!$A$1:$I$89,5,0)</f>
        <v>1.6671037883497774E-13</v>
      </c>
      <c r="BF153" s="14">
        <f t="shared" si="145"/>
        <v>2.3598166018346595E-12</v>
      </c>
      <c r="BG153" s="22">
        <f t="shared" si="115"/>
        <v>4.400367824666284E-12</v>
      </c>
      <c r="BH153" s="60">
        <f t="shared" si="116"/>
        <v>286.69302227186472</v>
      </c>
      <c r="BI153" s="60">
        <f ca="1">AVERAGE(OFFSET($BH$3,0,0,'Données projet'!$E$11+1,1))-AVERAGE(OFFSET($H$3,0,0,'Données projet'!$E$11+1,1))</f>
        <v>302.52480941204414</v>
      </c>
      <c r="BJ153" s="60">
        <f t="shared" si="146"/>
        <v>293.66452856196088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246.82319999999922</v>
      </c>
      <c r="CA153" s="14">
        <f t="shared" si="147"/>
        <v>59.905171454785851</v>
      </c>
      <c r="CB153" s="22">
        <f t="shared" si="118"/>
        <v>534.21858028375061</v>
      </c>
      <c r="CC153" s="60">
        <f t="shared" si="119"/>
        <v>820.9116025556109</v>
      </c>
      <c r="CD153" s="60">
        <f ca="1">AVERAGE(OFFSET($CC$3,0,0,'Données projet'!$E$12+1,1))-AVERAGE(OFFSET($H$3,0,0,'Données projet'!$E$12+1,1))</f>
        <v>442.98179778678298</v>
      </c>
      <c r="CE153" s="60">
        <f t="shared" si="148"/>
        <v>251.96153561746942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10.256410256410078</v>
      </c>
      <c r="CU153" s="18">
        <f>CT153*VLOOKUP('Données projet'!$B$13,Paramètres!$A$1:$I$89,3,0)*VLOOKUP('Données projet'!$B$13,Paramètres!$A$1:$I$89,5,0)</f>
        <v>9.7599999999998293</v>
      </c>
      <c r="CV153" s="14">
        <f t="shared" si="149"/>
        <v>3.4500860232767008</v>
      </c>
      <c r="CW153" s="22">
        <f t="shared" si="121"/>
        <v>23.007566490539954</v>
      </c>
      <c r="CX153" s="60">
        <f t="shared" si="122"/>
        <v>309.70058876240029</v>
      </c>
      <c r="CY153" s="60">
        <f ca="1">AVERAGE(OFFSET($CX$3,0,0,'Données projet'!$E$13+1,1))-AVERAGE(OFFSET($H$3,0,0,'Données projet'!$E$13+1,1))</f>
        <v>388.53310909800695</v>
      </c>
      <c r="CZ153" s="60">
        <f t="shared" si="150"/>
        <v>263.82153161042811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469.67944008675863</v>
      </c>
      <c r="T154" s="60">
        <f t="shared" si="142"/>
        <v>266.11908070867173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1.8089849618263545E-13</v>
      </c>
      <c r="AK154" s="14">
        <f t="shared" ref="AK154:AK203" si="164">EXP(-1.0587+0.8836*LN(AJ154)+0.284)</f>
        <v>2.536422473342444E-12</v>
      </c>
      <c r="AL154" s="22">
        <f t="shared" ref="AL154:AL203" si="165">(AJ154+AK154)*0.475*44/12</f>
        <v>4.7326673552561798E-12</v>
      </c>
      <c r="AM154" s="60">
        <f t="shared" si="113"/>
        <v>286.80821682327007</v>
      </c>
      <c r="AN154" s="60">
        <f ca="1">AVERAGE(OFFSET($AM$3,0,0,'Données projet'!$E$10+1,1))-AVERAGE(OFFSET($H$3,0,0,'Données projet'!$E$10+1,1))</f>
        <v>323.1883858932618</v>
      </c>
      <c r="AO154" s="60">
        <f t="shared" si="144"/>
        <v>313.39536932399085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2.2737367544323206E-13</v>
      </c>
      <c r="BE154" s="14">
        <f>BD154*VLOOKUP('Données projet'!$B$11,Paramètres!$A$1:$I$89,3,0)*VLOOKUP('Données projet'!$B$11,Paramètres!$A$1:$I$89,5,0)</f>
        <v>1.6671037883497774E-13</v>
      </c>
      <c r="BF154" s="14">
        <f t="shared" ref="BF154:BF203" si="167">EXP(-1.0587+0.8836*LN(BE154)+0.284)</f>
        <v>2.3598166018346595E-12</v>
      </c>
      <c r="BG154" s="22">
        <f t="shared" ref="BG154:BG203" si="168">(BE154+BF154)*0.475*44/12</f>
        <v>4.400367824666284E-12</v>
      </c>
      <c r="BH154" s="60">
        <f t="shared" si="116"/>
        <v>286.80821682326973</v>
      </c>
      <c r="BI154" s="60">
        <f ca="1">AVERAGE(OFFSET($BH$3,0,0,'Données projet'!$E$11+1,1))-AVERAGE(OFFSET($H$3,0,0,'Données projet'!$E$11+1,1))</f>
        <v>302.52480941204414</v>
      </c>
      <c r="BJ154" s="60">
        <f t="shared" si="146"/>
        <v>293.66452856196088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-8.1404323282185943E-13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442.98179778678298</v>
      </c>
      <c r="CE154" s="60">
        <f t="shared" si="148"/>
        <v>251.96153561746942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10.256410256410078</v>
      </c>
      <c r="CU154" s="18">
        <f>CT154*VLOOKUP('Données projet'!$B$13,Paramètres!$A$1:$I$89,3,0)*VLOOKUP('Données projet'!$B$13,Paramètres!$A$1:$I$89,5,0)</f>
        <v>9.7599999999998293</v>
      </c>
      <c r="CV154" s="14">
        <f t="shared" ref="CV154:CV203" si="173">EXP(-1.0587+0.8836*LN(CU154)+0.284)</f>
        <v>3.4500860232767008</v>
      </c>
      <c r="CW154" s="22">
        <f t="shared" ref="CW154:CW203" si="174">(CU154+CV154)*0.475*44/12</f>
        <v>23.007566490539954</v>
      </c>
      <c r="CX154" s="60">
        <f t="shared" si="122"/>
        <v>309.8157833138053</v>
      </c>
      <c r="CY154" s="60">
        <f ca="1">AVERAGE(OFFSET($CX$3,0,0,'Données projet'!$E$13+1,1))-AVERAGE(OFFSET($H$3,0,0,'Données projet'!$E$13+1,1))</f>
        <v>388.53310909800695</v>
      </c>
      <c r="CZ154" s="60">
        <f t="shared" si="150"/>
        <v>263.82153161042811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469.67944008675863</v>
      </c>
      <c r="T155" s="60">
        <f t="shared" si="142"/>
        <v>266.11908070867173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1.8089849618263545E-13</v>
      </c>
      <c r="AK155" s="14">
        <f t="shared" si="164"/>
        <v>2.536422473342444E-12</v>
      </c>
      <c r="AL155" s="22">
        <f t="shared" si="165"/>
        <v>4.7326673552561798E-12</v>
      </c>
      <c r="AM155" s="60">
        <f t="shared" si="113"/>
        <v>286.92141300674461</v>
      </c>
      <c r="AN155" s="60">
        <f ca="1">AVERAGE(OFFSET($AM$3,0,0,'Données projet'!$E$10+1,1))-AVERAGE(OFFSET($H$3,0,0,'Données projet'!$E$10+1,1))</f>
        <v>323.1883858932618</v>
      </c>
      <c r="AO155" s="60">
        <f t="shared" si="144"/>
        <v>313.39536932399085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2.2737367544323206E-13</v>
      </c>
      <c r="BE155" s="14">
        <f>BD155*VLOOKUP('Données projet'!$B$11,Paramètres!$A$1:$I$89,3,0)*VLOOKUP('Données projet'!$B$11,Paramètres!$A$1:$I$89,5,0)</f>
        <v>1.6671037883497774E-13</v>
      </c>
      <c r="BF155" s="14">
        <f t="shared" si="167"/>
        <v>2.3598166018346595E-12</v>
      </c>
      <c r="BG155" s="22">
        <f t="shared" si="168"/>
        <v>4.400367824666284E-12</v>
      </c>
      <c r="BH155" s="60">
        <f t="shared" si="116"/>
        <v>286.92141300674427</v>
      </c>
      <c r="BI155" s="60">
        <f ca="1">AVERAGE(OFFSET($BH$3,0,0,'Données projet'!$E$11+1,1))-AVERAGE(OFFSET($H$3,0,0,'Données projet'!$E$11+1,1))</f>
        <v>302.52480941204414</v>
      </c>
      <c r="BJ155" s="60">
        <f t="shared" si="146"/>
        <v>293.66452856196088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-8.1404323282185943E-13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442.98179778678298</v>
      </c>
      <c r="CE155" s="60">
        <f t="shared" si="148"/>
        <v>251.96153561746942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10.256410256410078</v>
      </c>
      <c r="CU155" s="18">
        <f>CT155*VLOOKUP('Données projet'!$B$13,Paramètres!$A$1:$I$89,3,0)*VLOOKUP('Données projet'!$B$13,Paramètres!$A$1:$I$89,5,0)</f>
        <v>9.7599999999998293</v>
      </c>
      <c r="CV155" s="14">
        <f t="shared" si="173"/>
        <v>3.4500860232767008</v>
      </c>
      <c r="CW155" s="22">
        <f t="shared" si="174"/>
        <v>23.007566490539954</v>
      </c>
      <c r="CX155" s="60">
        <f t="shared" si="122"/>
        <v>309.92897949727984</v>
      </c>
      <c r="CY155" s="60">
        <f ca="1">AVERAGE(OFFSET($CX$3,0,0,'Données projet'!$E$13+1,1))-AVERAGE(OFFSET($H$3,0,0,'Données projet'!$E$13+1,1))</f>
        <v>388.53310909800695</v>
      </c>
      <c r="CZ155" s="60">
        <f t="shared" si="150"/>
        <v>263.82153161042811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469.67944008675863</v>
      </c>
      <c r="T156" s="60">
        <f t="shared" si="142"/>
        <v>266.11908070867173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1.8089849618263545E-13</v>
      </c>
      <c r="AK156" s="14">
        <f t="shared" si="164"/>
        <v>2.536422473342444E-12</v>
      </c>
      <c r="AL156" s="22">
        <f t="shared" si="165"/>
        <v>4.7326673552561798E-12</v>
      </c>
      <c r="AM156" s="60">
        <f t="shared" si="113"/>
        <v>287.03264548950472</v>
      </c>
      <c r="AN156" s="60">
        <f ca="1">AVERAGE(OFFSET($AM$3,0,0,'Données projet'!$E$10+1,1))-AVERAGE(OFFSET($H$3,0,0,'Données projet'!$E$10+1,1))</f>
        <v>323.1883858932618</v>
      </c>
      <c r="AO156" s="60">
        <f t="shared" si="144"/>
        <v>313.39536932399085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2.2737367544323206E-13</v>
      </c>
      <c r="BE156" s="14">
        <f>BD156*VLOOKUP('Données projet'!$B$11,Paramètres!$A$1:$I$89,3,0)*VLOOKUP('Données projet'!$B$11,Paramètres!$A$1:$I$89,5,0)</f>
        <v>1.6671037883497774E-13</v>
      </c>
      <c r="BF156" s="14">
        <f t="shared" si="167"/>
        <v>2.3598166018346595E-12</v>
      </c>
      <c r="BG156" s="22">
        <f t="shared" si="168"/>
        <v>4.400367824666284E-12</v>
      </c>
      <c r="BH156" s="60">
        <f t="shared" si="116"/>
        <v>287.03264548950438</v>
      </c>
      <c r="BI156" s="60">
        <f ca="1">AVERAGE(OFFSET($BH$3,0,0,'Données projet'!$E$11+1,1))-AVERAGE(OFFSET($H$3,0,0,'Données projet'!$E$11+1,1))</f>
        <v>302.52480941204414</v>
      </c>
      <c r="BJ156" s="60">
        <f t="shared" si="146"/>
        <v>293.66452856196088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-8.1404323282185943E-13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442.98179778678298</v>
      </c>
      <c r="CE156" s="60">
        <f t="shared" si="148"/>
        <v>251.96153561746942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10.256410256410078</v>
      </c>
      <c r="CU156" s="18">
        <f>CT156*VLOOKUP('Données projet'!$B$13,Paramètres!$A$1:$I$89,3,0)*VLOOKUP('Données projet'!$B$13,Paramètres!$A$1:$I$89,5,0)</f>
        <v>9.7599999999998293</v>
      </c>
      <c r="CV156" s="14">
        <f t="shared" si="173"/>
        <v>3.4500860232767008</v>
      </c>
      <c r="CW156" s="22">
        <f t="shared" si="174"/>
        <v>23.007566490539954</v>
      </c>
      <c r="CX156" s="60">
        <f t="shared" si="122"/>
        <v>310.04021198003994</v>
      </c>
      <c r="CY156" s="60">
        <f ca="1">AVERAGE(OFFSET($CX$3,0,0,'Données projet'!$E$13+1,1))-AVERAGE(OFFSET($H$3,0,0,'Données projet'!$E$13+1,1))</f>
        <v>388.53310909800695</v>
      </c>
      <c r="CZ156" s="60">
        <f t="shared" si="150"/>
        <v>263.82153161042811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469.67944008675863</v>
      </c>
      <c r="T157" s="60">
        <f t="shared" si="142"/>
        <v>266.11908070867173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1.8089849618263545E-13</v>
      </c>
      <c r="AK157" s="14">
        <f t="shared" si="164"/>
        <v>2.536422473342444E-12</v>
      </c>
      <c r="AL157" s="22">
        <f t="shared" si="165"/>
        <v>4.7326673552561798E-12</v>
      </c>
      <c r="AM157" s="60">
        <f t="shared" si="113"/>
        <v>287.14194833736747</v>
      </c>
      <c r="AN157" s="60">
        <f ca="1">AVERAGE(OFFSET($AM$3,0,0,'Données projet'!$E$10+1,1))-AVERAGE(OFFSET($H$3,0,0,'Données projet'!$E$10+1,1))</f>
        <v>323.1883858932618</v>
      </c>
      <c r="AO157" s="60">
        <f t="shared" si="144"/>
        <v>313.39536932399085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2.2737367544323206E-13</v>
      </c>
      <c r="BE157" s="14">
        <f>BD157*VLOOKUP('Données projet'!$B$11,Paramètres!$A$1:$I$89,3,0)*VLOOKUP('Données projet'!$B$11,Paramètres!$A$1:$I$89,5,0)</f>
        <v>1.6671037883497774E-13</v>
      </c>
      <c r="BF157" s="14">
        <f t="shared" si="167"/>
        <v>2.3598166018346595E-12</v>
      </c>
      <c r="BG157" s="22">
        <f t="shared" si="168"/>
        <v>4.400367824666284E-12</v>
      </c>
      <c r="BH157" s="60">
        <f t="shared" si="116"/>
        <v>287.14194833736713</v>
      </c>
      <c r="BI157" s="60">
        <f ca="1">AVERAGE(OFFSET($BH$3,0,0,'Données projet'!$E$11+1,1))-AVERAGE(OFFSET($H$3,0,0,'Données projet'!$E$11+1,1))</f>
        <v>302.52480941204414</v>
      </c>
      <c r="BJ157" s="60">
        <f t="shared" si="146"/>
        <v>293.66452856196088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-8.1404323282185943E-13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442.98179778678298</v>
      </c>
      <c r="CE157" s="60">
        <f t="shared" si="148"/>
        <v>251.96153561746942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10.256410256410078</v>
      </c>
      <c r="CU157" s="18">
        <f>CT157*VLOOKUP('Données projet'!$B$13,Paramètres!$A$1:$I$89,3,0)*VLOOKUP('Données projet'!$B$13,Paramètres!$A$1:$I$89,5,0)</f>
        <v>9.7599999999998293</v>
      </c>
      <c r="CV157" s="14">
        <f t="shared" si="173"/>
        <v>3.4500860232767008</v>
      </c>
      <c r="CW157" s="22">
        <f t="shared" si="174"/>
        <v>23.007566490539954</v>
      </c>
      <c r="CX157" s="60">
        <f t="shared" si="122"/>
        <v>310.14951482790269</v>
      </c>
      <c r="CY157" s="60">
        <f ca="1">AVERAGE(OFFSET($CX$3,0,0,'Données projet'!$E$13+1,1))-AVERAGE(OFFSET($H$3,0,0,'Données projet'!$E$13+1,1))</f>
        <v>388.53310909800695</v>
      </c>
      <c r="CZ157" s="60">
        <f t="shared" si="150"/>
        <v>263.82153161042811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469.67944008675863</v>
      </c>
      <c r="T158" s="60">
        <f t="shared" si="142"/>
        <v>266.11908070867173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1.8089849618263545E-13</v>
      </c>
      <c r="AK158" s="14">
        <f t="shared" si="164"/>
        <v>2.536422473342444E-12</v>
      </c>
      <c r="AL158" s="22">
        <f t="shared" si="165"/>
        <v>4.7326673552561798E-12</v>
      </c>
      <c r="AM158" s="60">
        <f t="shared" si="113"/>
        <v>287.2493550251844</v>
      </c>
      <c r="AN158" s="60">
        <f ca="1">AVERAGE(OFFSET($AM$3,0,0,'Données projet'!$E$10+1,1))-AVERAGE(OFFSET($H$3,0,0,'Données projet'!$E$10+1,1))</f>
        <v>323.1883858932618</v>
      </c>
      <c r="AO158" s="60">
        <f t="shared" si="144"/>
        <v>313.39536932399085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2.2737367544323206E-13</v>
      </c>
      <c r="BE158" s="14">
        <f>BD158*VLOOKUP('Données projet'!$B$11,Paramètres!$A$1:$I$89,3,0)*VLOOKUP('Données projet'!$B$11,Paramètres!$A$1:$I$89,5,0)</f>
        <v>1.6671037883497774E-13</v>
      </c>
      <c r="BF158" s="14">
        <f t="shared" si="167"/>
        <v>2.3598166018346595E-12</v>
      </c>
      <c r="BG158" s="22">
        <f t="shared" si="168"/>
        <v>4.400367824666284E-12</v>
      </c>
      <c r="BH158" s="60">
        <f t="shared" si="116"/>
        <v>287.24935502518406</v>
      </c>
      <c r="BI158" s="60">
        <f ca="1">AVERAGE(OFFSET($BH$3,0,0,'Données projet'!$E$11+1,1))-AVERAGE(OFFSET($H$3,0,0,'Données projet'!$E$11+1,1))</f>
        <v>302.52480941204414</v>
      </c>
      <c r="BJ158" s="60">
        <f t="shared" si="146"/>
        <v>293.66452856196088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-8.1404323282185943E-13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442.98179778678298</v>
      </c>
      <c r="CE158" s="60">
        <f t="shared" si="148"/>
        <v>251.96153561746942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10.256410256410078</v>
      </c>
      <c r="CU158" s="18">
        <f>CT158*VLOOKUP('Données projet'!$B$13,Paramètres!$A$1:$I$89,3,0)*VLOOKUP('Données projet'!$B$13,Paramètres!$A$1:$I$89,5,0)</f>
        <v>9.7599999999998293</v>
      </c>
      <c r="CV158" s="14">
        <f t="shared" si="173"/>
        <v>3.4500860232767008</v>
      </c>
      <c r="CW158" s="22">
        <f t="shared" si="174"/>
        <v>23.007566490539954</v>
      </c>
      <c r="CX158" s="60">
        <f t="shared" si="122"/>
        <v>310.25692151571963</v>
      </c>
      <c r="CY158" s="60">
        <f ca="1">AVERAGE(OFFSET($CX$3,0,0,'Données projet'!$E$13+1,1))-AVERAGE(OFFSET($H$3,0,0,'Données projet'!$E$13+1,1))</f>
        <v>388.53310909800695</v>
      </c>
      <c r="CZ158" s="60">
        <f t="shared" si="150"/>
        <v>263.82153161042811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469.67944008675863</v>
      </c>
      <c r="T159" s="60">
        <f t="shared" si="142"/>
        <v>266.11908070867173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1.8089849618263545E-13</v>
      </c>
      <c r="AK159" s="14">
        <f t="shared" si="164"/>
        <v>2.536422473342444E-12</v>
      </c>
      <c r="AL159" s="22">
        <f t="shared" si="165"/>
        <v>4.7326673552561798E-12</v>
      </c>
      <c r="AM159" s="60">
        <f t="shared" si="113"/>
        <v>287.35489844709303</v>
      </c>
      <c r="AN159" s="60">
        <f ca="1">AVERAGE(OFFSET($AM$3,0,0,'Données projet'!$E$10+1,1))-AVERAGE(OFFSET($H$3,0,0,'Données projet'!$E$10+1,1))</f>
        <v>323.1883858932618</v>
      </c>
      <c r="AO159" s="60">
        <f t="shared" si="144"/>
        <v>313.39536932399085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2.2737367544323206E-13</v>
      </c>
      <c r="BE159" s="14">
        <f>BD159*VLOOKUP('Données projet'!$B$11,Paramètres!$A$1:$I$89,3,0)*VLOOKUP('Données projet'!$B$11,Paramètres!$A$1:$I$89,5,0)</f>
        <v>1.6671037883497774E-13</v>
      </c>
      <c r="BF159" s="14">
        <f t="shared" si="167"/>
        <v>2.3598166018346595E-12</v>
      </c>
      <c r="BG159" s="22">
        <f t="shared" si="168"/>
        <v>4.400367824666284E-12</v>
      </c>
      <c r="BH159" s="60">
        <f t="shared" si="116"/>
        <v>287.35489844709269</v>
      </c>
      <c r="BI159" s="60">
        <f ca="1">AVERAGE(OFFSET($BH$3,0,0,'Données projet'!$E$11+1,1))-AVERAGE(OFFSET($H$3,0,0,'Données projet'!$E$11+1,1))</f>
        <v>302.52480941204414</v>
      </c>
      <c r="BJ159" s="60">
        <f t="shared" si="146"/>
        <v>293.66452856196088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-8.1404323282185943E-13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442.98179778678298</v>
      </c>
      <c r="CE159" s="60">
        <f t="shared" si="148"/>
        <v>251.96153561746942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10.256410256410078</v>
      </c>
      <c r="CU159" s="18">
        <f>CT159*VLOOKUP('Données projet'!$B$13,Paramètres!$A$1:$I$89,3,0)*VLOOKUP('Données projet'!$B$13,Paramètres!$A$1:$I$89,5,0)</f>
        <v>9.7599999999998293</v>
      </c>
      <c r="CV159" s="14">
        <f t="shared" si="173"/>
        <v>3.4500860232767008</v>
      </c>
      <c r="CW159" s="22">
        <f t="shared" si="174"/>
        <v>23.007566490539954</v>
      </c>
      <c r="CX159" s="60">
        <f t="shared" si="122"/>
        <v>310.36246493762826</v>
      </c>
      <c r="CY159" s="60">
        <f ca="1">AVERAGE(OFFSET($CX$3,0,0,'Données projet'!$E$13+1,1))-AVERAGE(OFFSET($H$3,0,0,'Données projet'!$E$13+1,1))</f>
        <v>388.53310909800695</v>
      </c>
      <c r="CZ159" s="60">
        <f t="shared" si="150"/>
        <v>263.82153161042811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469.67944008675863</v>
      </c>
      <c r="T160" s="60">
        <f t="shared" si="142"/>
        <v>266.11908070867173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1.8089849618263545E-13</v>
      </c>
      <c r="AK160" s="14">
        <f t="shared" si="164"/>
        <v>2.536422473342444E-12</v>
      </c>
      <c r="AL160" s="22">
        <f t="shared" si="165"/>
        <v>4.7326673552561798E-12</v>
      </c>
      <c r="AM160" s="60">
        <f t="shared" si="113"/>
        <v>287.45861092659129</v>
      </c>
      <c r="AN160" s="60">
        <f ca="1">AVERAGE(OFFSET($AM$3,0,0,'Données projet'!$E$10+1,1))-AVERAGE(OFFSET($H$3,0,0,'Données projet'!$E$10+1,1))</f>
        <v>323.1883858932618</v>
      </c>
      <c r="AO160" s="60">
        <f t="shared" si="144"/>
        <v>313.39536932399085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2.2737367544323206E-13</v>
      </c>
      <c r="BE160" s="14">
        <f>BD160*VLOOKUP('Données projet'!$B$11,Paramètres!$A$1:$I$89,3,0)*VLOOKUP('Données projet'!$B$11,Paramètres!$A$1:$I$89,5,0)</f>
        <v>1.6671037883497774E-13</v>
      </c>
      <c r="BF160" s="14">
        <f t="shared" si="167"/>
        <v>2.3598166018346595E-12</v>
      </c>
      <c r="BG160" s="22">
        <f t="shared" si="168"/>
        <v>4.400367824666284E-12</v>
      </c>
      <c r="BH160" s="60">
        <f t="shared" si="116"/>
        <v>287.45861092659095</v>
      </c>
      <c r="BI160" s="60">
        <f ca="1">AVERAGE(OFFSET($BH$3,0,0,'Données projet'!$E$11+1,1))-AVERAGE(OFFSET($H$3,0,0,'Données projet'!$E$11+1,1))</f>
        <v>302.52480941204414</v>
      </c>
      <c r="BJ160" s="60">
        <f t="shared" si="146"/>
        <v>293.66452856196088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-8.1404323282185943E-13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442.98179778678298</v>
      </c>
      <c r="CE160" s="60">
        <f t="shared" si="148"/>
        <v>251.96153561746942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10.256410256410078</v>
      </c>
      <c r="CU160" s="18">
        <f>CT160*VLOOKUP('Données projet'!$B$13,Paramètres!$A$1:$I$89,3,0)*VLOOKUP('Données projet'!$B$13,Paramètres!$A$1:$I$89,5,0)</f>
        <v>9.7599999999998293</v>
      </c>
      <c r="CV160" s="14">
        <f t="shared" si="173"/>
        <v>3.4500860232767008</v>
      </c>
      <c r="CW160" s="22">
        <f t="shared" si="174"/>
        <v>23.007566490539954</v>
      </c>
      <c r="CX160" s="60">
        <f t="shared" si="122"/>
        <v>310.46617741712652</v>
      </c>
      <c r="CY160" s="60">
        <f ca="1">AVERAGE(OFFSET($CX$3,0,0,'Données projet'!$E$13+1,1))-AVERAGE(OFFSET($H$3,0,0,'Données projet'!$E$13+1,1))</f>
        <v>388.53310909800695</v>
      </c>
      <c r="CZ160" s="60">
        <f t="shared" si="150"/>
        <v>263.82153161042811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469.67944008675863</v>
      </c>
      <c r="T161" s="60">
        <f t="shared" si="142"/>
        <v>266.11908070867173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1.8089849618263545E-13</v>
      </c>
      <c r="AK161" s="14">
        <f t="shared" si="164"/>
        <v>2.536422473342444E-12</v>
      </c>
      <c r="AL161" s="22">
        <f t="shared" si="165"/>
        <v>4.7326673552561798E-12</v>
      </c>
      <c r="AM161" s="60">
        <f t="shared" si="113"/>
        <v>287.56052422643671</v>
      </c>
      <c r="AN161" s="60">
        <f ca="1">AVERAGE(OFFSET($AM$3,0,0,'Données projet'!$E$10+1,1))-AVERAGE(OFFSET($H$3,0,0,'Données projet'!$E$10+1,1))</f>
        <v>323.1883858932618</v>
      </c>
      <c r="AO161" s="60">
        <f t="shared" si="144"/>
        <v>313.39536932399085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2.2737367544323206E-13</v>
      </c>
      <c r="BE161" s="14">
        <f>BD161*VLOOKUP('Données projet'!$B$11,Paramètres!$A$1:$I$89,3,0)*VLOOKUP('Données projet'!$B$11,Paramètres!$A$1:$I$89,5,0)</f>
        <v>1.6671037883497774E-13</v>
      </c>
      <c r="BF161" s="14">
        <f t="shared" si="167"/>
        <v>2.3598166018346595E-12</v>
      </c>
      <c r="BG161" s="22">
        <f t="shared" si="168"/>
        <v>4.400367824666284E-12</v>
      </c>
      <c r="BH161" s="60">
        <f t="shared" si="116"/>
        <v>287.56052422643637</v>
      </c>
      <c r="BI161" s="60">
        <f ca="1">AVERAGE(OFFSET($BH$3,0,0,'Données projet'!$E$11+1,1))-AVERAGE(OFFSET($H$3,0,0,'Données projet'!$E$11+1,1))</f>
        <v>302.52480941204414</v>
      </c>
      <c r="BJ161" s="60">
        <f t="shared" si="146"/>
        <v>293.66452856196088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-8.1404323282185943E-13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442.98179778678298</v>
      </c>
      <c r="CE161" s="60">
        <f t="shared" si="148"/>
        <v>251.96153561746942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10.256410256410078</v>
      </c>
      <c r="CU161" s="18">
        <f>CT161*VLOOKUP('Données projet'!$B$13,Paramètres!$A$1:$I$89,3,0)*VLOOKUP('Données projet'!$B$13,Paramètres!$A$1:$I$89,5,0)</f>
        <v>9.7599999999998293</v>
      </c>
      <c r="CV161" s="14">
        <f t="shared" si="173"/>
        <v>3.4500860232767008</v>
      </c>
      <c r="CW161" s="22">
        <f t="shared" si="174"/>
        <v>23.007566490539954</v>
      </c>
      <c r="CX161" s="60">
        <f t="shared" si="122"/>
        <v>310.56809071697194</v>
      </c>
      <c r="CY161" s="60">
        <f ca="1">AVERAGE(OFFSET($CX$3,0,0,'Données projet'!$E$13+1,1))-AVERAGE(OFFSET($H$3,0,0,'Données projet'!$E$13+1,1))</f>
        <v>388.53310909800695</v>
      </c>
      <c r="CZ161" s="60">
        <f t="shared" si="150"/>
        <v>263.82153161042811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469.67944008675863</v>
      </c>
      <c r="T162" s="60">
        <f t="shared" si="142"/>
        <v>266.11908070867173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1.8089849618263545E-13</v>
      </c>
      <c r="AK162" s="14">
        <f t="shared" si="164"/>
        <v>2.536422473342444E-12</v>
      </c>
      <c r="AL162" s="22">
        <f t="shared" si="165"/>
        <v>4.7326673552561798E-12</v>
      </c>
      <c r="AM162" s="60">
        <f t="shared" si="113"/>
        <v>287.66066955837368</v>
      </c>
      <c r="AN162" s="60">
        <f ca="1">AVERAGE(OFFSET($AM$3,0,0,'Données projet'!$E$10+1,1))-AVERAGE(OFFSET($H$3,0,0,'Données projet'!$E$10+1,1))</f>
        <v>323.1883858932618</v>
      </c>
      <c r="AO162" s="60">
        <f t="shared" si="144"/>
        <v>313.39536932399085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2.2737367544323206E-13</v>
      </c>
      <c r="BE162" s="14">
        <f>BD162*VLOOKUP('Données projet'!$B$11,Paramètres!$A$1:$I$89,3,0)*VLOOKUP('Données projet'!$B$11,Paramètres!$A$1:$I$89,5,0)</f>
        <v>1.6671037883497774E-13</v>
      </c>
      <c r="BF162" s="14">
        <f t="shared" si="167"/>
        <v>2.3598166018346595E-12</v>
      </c>
      <c r="BG162" s="22">
        <f t="shared" si="168"/>
        <v>4.400367824666284E-12</v>
      </c>
      <c r="BH162" s="60">
        <f t="shared" si="116"/>
        <v>287.66066955837334</v>
      </c>
      <c r="BI162" s="60">
        <f ca="1">AVERAGE(OFFSET($BH$3,0,0,'Données projet'!$E$11+1,1))-AVERAGE(OFFSET($H$3,0,0,'Données projet'!$E$11+1,1))</f>
        <v>302.52480941204414</v>
      </c>
      <c r="BJ162" s="60">
        <f t="shared" si="146"/>
        <v>293.66452856196088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-8.1404323282185943E-13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442.98179778678298</v>
      </c>
      <c r="CE162" s="60">
        <f t="shared" si="148"/>
        <v>251.96153561746942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10.256410256410078</v>
      </c>
      <c r="CU162" s="18">
        <f>CT162*VLOOKUP('Données projet'!$B$13,Paramètres!$A$1:$I$89,3,0)*VLOOKUP('Données projet'!$B$13,Paramètres!$A$1:$I$89,5,0)</f>
        <v>9.7599999999998293</v>
      </c>
      <c r="CV162" s="14">
        <f t="shared" si="173"/>
        <v>3.4500860232767008</v>
      </c>
      <c r="CW162" s="22">
        <f t="shared" si="174"/>
        <v>23.007566490539954</v>
      </c>
      <c r="CX162" s="60">
        <f t="shared" si="122"/>
        <v>310.66823604890891</v>
      </c>
      <c r="CY162" s="60">
        <f ca="1">AVERAGE(OFFSET($CX$3,0,0,'Données projet'!$E$13+1,1))-AVERAGE(OFFSET($H$3,0,0,'Données projet'!$E$13+1,1))</f>
        <v>388.53310909800695</v>
      </c>
      <c r="CZ162" s="60">
        <f t="shared" si="150"/>
        <v>263.82153161042811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469.67944008675863</v>
      </c>
      <c r="T163" s="60">
        <f t="shared" si="142"/>
        <v>266.11908070867173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1.8089849618263545E-13</v>
      </c>
      <c r="AK163" s="14">
        <f t="shared" si="164"/>
        <v>2.536422473342444E-12</v>
      </c>
      <c r="AL163" s="22">
        <f t="shared" si="165"/>
        <v>4.7326673552561798E-12</v>
      </c>
      <c r="AM163" s="60">
        <f t="shared" si="113"/>
        <v>287.75907759269307</v>
      </c>
      <c r="AN163" s="60">
        <f ca="1">AVERAGE(OFFSET($AM$3,0,0,'Données projet'!$E$10+1,1))-AVERAGE(OFFSET($H$3,0,0,'Données projet'!$E$10+1,1))</f>
        <v>323.1883858932618</v>
      </c>
      <c r="AO163" s="60">
        <f t="shared" si="144"/>
        <v>313.39536932399085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2.2737367544323206E-13</v>
      </c>
      <c r="BE163" s="14">
        <f>BD163*VLOOKUP('Données projet'!$B$11,Paramètres!$A$1:$I$89,3,0)*VLOOKUP('Données projet'!$B$11,Paramètres!$A$1:$I$89,5,0)</f>
        <v>1.6671037883497774E-13</v>
      </c>
      <c r="BF163" s="14">
        <f t="shared" si="167"/>
        <v>2.3598166018346595E-12</v>
      </c>
      <c r="BG163" s="22">
        <f t="shared" si="168"/>
        <v>4.400367824666284E-12</v>
      </c>
      <c r="BH163" s="60">
        <f t="shared" si="116"/>
        <v>287.75907759269273</v>
      </c>
      <c r="BI163" s="60">
        <f ca="1">AVERAGE(OFFSET($BH$3,0,0,'Données projet'!$E$11+1,1))-AVERAGE(OFFSET($H$3,0,0,'Données projet'!$E$11+1,1))</f>
        <v>302.52480941204414</v>
      </c>
      <c r="BJ163" s="60">
        <f t="shared" si="146"/>
        <v>293.66452856196088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-8.1404323282185943E-13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442.98179778678298</v>
      </c>
      <c r="CE163" s="60">
        <f t="shared" si="148"/>
        <v>251.96153561746942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10.256410256410078</v>
      </c>
      <c r="CU163" s="18">
        <f>CT163*VLOOKUP('Données projet'!$B$13,Paramètres!$A$1:$I$89,3,0)*VLOOKUP('Données projet'!$B$13,Paramètres!$A$1:$I$89,5,0)</f>
        <v>9.7599999999998293</v>
      </c>
      <c r="CV163" s="14">
        <f t="shared" si="173"/>
        <v>3.4500860232767008</v>
      </c>
      <c r="CW163" s="22">
        <f t="shared" si="174"/>
        <v>23.007566490539954</v>
      </c>
      <c r="CX163" s="60">
        <f t="shared" si="122"/>
        <v>310.7666440832283</v>
      </c>
      <c r="CY163" s="60">
        <f ca="1">AVERAGE(OFFSET($CX$3,0,0,'Données projet'!$E$13+1,1))-AVERAGE(OFFSET($H$3,0,0,'Données projet'!$E$13+1,1))</f>
        <v>388.53310909800695</v>
      </c>
      <c r="CZ163" s="60">
        <f t="shared" si="150"/>
        <v>263.82153161042811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469.67944008675863</v>
      </c>
      <c r="T164" s="60">
        <f t="shared" si="142"/>
        <v>266.11908070867173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1.8089849618263545E-13</v>
      </c>
      <c r="AK164" s="14">
        <f t="shared" si="164"/>
        <v>2.536422473342444E-12</v>
      </c>
      <c r="AL164" s="22">
        <f t="shared" si="165"/>
        <v>4.7326673552561798E-12</v>
      </c>
      <c r="AM164" s="60">
        <f t="shared" si="113"/>
        <v>287.85577846762442</v>
      </c>
      <c r="AN164" s="60">
        <f ca="1">AVERAGE(OFFSET($AM$3,0,0,'Données projet'!$E$10+1,1))-AVERAGE(OFFSET($H$3,0,0,'Données projet'!$E$10+1,1))</f>
        <v>323.1883858932618</v>
      </c>
      <c r="AO164" s="60">
        <f t="shared" si="144"/>
        <v>313.39536932399085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2.2737367544323206E-13</v>
      </c>
      <c r="BE164" s="14">
        <f>BD164*VLOOKUP('Données projet'!$B$11,Paramètres!$A$1:$I$89,3,0)*VLOOKUP('Données projet'!$B$11,Paramètres!$A$1:$I$89,5,0)</f>
        <v>1.6671037883497774E-13</v>
      </c>
      <c r="BF164" s="14">
        <f t="shared" si="167"/>
        <v>2.3598166018346595E-12</v>
      </c>
      <c r="BG164" s="22">
        <f t="shared" si="168"/>
        <v>4.400367824666284E-12</v>
      </c>
      <c r="BH164" s="60">
        <f t="shared" si="116"/>
        <v>287.85577846762408</v>
      </c>
      <c r="BI164" s="60">
        <f ca="1">AVERAGE(OFFSET($BH$3,0,0,'Données projet'!$E$11+1,1))-AVERAGE(OFFSET($H$3,0,0,'Données projet'!$E$11+1,1))</f>
        <v>302.52480941204414</v>
      </c>
      <c r="BJ164" s="60">
        <f t="shared" si="146"/>
        <v>293.66452856196088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-8.1404323282185943E-13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442.98179778678298</v>
      </c>
      <c r="CE164" s="60">
        <f t="shared" si="148"/>
        <v>251.96153561746942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10.256410256410078</v>
      </c>
      <c r="CU164" s="18">
        <f>CT164*VLOOKUP('Données projet'!$B$13,Paramètres!$A$1:$I$89,3,0)*VLOOKUP('Données projet'!$B$13,Paramètres!$A$1:$I$89,5,0)</f>
        <v>9.7599999999998293</v>
      </c>
      <c r="CV164" s="14">
        <f t="shared" si="173"/>
        <v>3.4500860232767008</v>
      </c>
      <c r="CW164" s="22">
        <f t="shared" si="174"/>
        <v>23.007566490539954</v>
      </c>
      <c r="CX164" s="60">
        <f t="shared" si="122"/>
        <v>310.86334495815964</v>
      </c>
      <c r="CY164" s="60">
        <f ca="1">AVERAGE(OFFSET($CX$3,0,0,'Données projet'!$E$13+1,1))-AVERAGE(OFFSET($H$3,0,0,'Données projet'!$E$13+1,1))</f>
        <v>388.53310909800695</v>
      </c>
      <c r="CZ164" s="60">
        <f t="shared" si="150"/>
        <v>263.82153161042811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469.67944008675863</v>
      </c>
      <c r="T165" s="60">
        <f t="shared" si="142"/>
        <v>266.11908070867173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1.8089849618263545E-13</v>
      </c>
      <c r="AK165" s="14">
        <f t="shared" si="164"/>
        <v>2.536422473342444E-12</v>
      </c>
      <c r="AL165" s="22">
        <f t="shared" si="165"/>
        <v>4.7326673552561798E-12</v>
      </c>
      <c r="AM165" s="60">
        <f t="shared" si="113"/>
        <v>287.95080179856643</v>
      </c>
      <c r="AN165" s="60">
        <f ca="1">AVERAGE(OFFSET($AM$3,0,0,'Données projet'!$E$10+1,1))-AVERAGE(OFFSET($H$3,0,0,'Données projet'!$E$10+1,1))</f>
        <v>323.1883858932618</v>
      </c>
      <c r="AO165" s="60">
        <f t="shared" si="144"/>
        <v>313.39536932399085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2.2737367544323206E-13</v>
      </c>
      <c r="BE165" s="14">
        <f>BD165*VLOOKUP('Données projet'!$B$11,Paramètres!$A$1:$I$89,3,0)*VLOOKUP('Données projet'!$B$11,Paramètres!$A$1:$I$89,5,0)</f>
        <v>1.6671037883497774E-13</v>
      </c>
      <c r="BF165" s="14">
        <f t="shared" si="167"/>
        <v>2.3598166018346595E-12</v>
      </c>
      <c r="BG165" s="22">
        <f t="shared" si="168"/>
        <v>4.400367824666284E-12</v>
      </c>
      <c r="BH165" s="60">
        <f t="shared" si="116"/>
        <v>287.95080179856609</v>
      </c>
      <c r="BI165" s="60">
        <f ca="1">AVERAGE(OFFSET($BH$3,0,0,'Données projet'!$E$11+1,1))-AVERAGE(OFFSET($H$3,0,0,'Données projet'!$E$11+1,1))</f>
        <v>302.52480941204414</v>
      </c>
      <c r="BJ165" s="60">
        <f t="shared" si="146"/>
        <v>293.66452856196088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-8.1404323282185943E-13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442.98179778678298</v>
      </c>
      <c r="CE165" s="60">
        <f t="shared" si="148"/>
        <v>251.96153561746942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10.256410256410078</v>
      </c>
      <c r="CU165" s="18">
        <f>CT165*VLOOKUP('Données projet'!$B$13,Paramètres!$A$1:$I$89,3,0)*VLOOKUP('Données projet'!$B$13,Paramètres!$A$1:$I$89,5,0)</f>
        <v>9.7599999999998293</v>
      </c>
      <c r="CV165" s="14">
        <f t="shared" si="173"/>
        <v>3.4500860232767008</v>
      </c>
      <c r="CW165" s="22">
        <f t="shared" si="174"/>
        <v>23.007566490539954</v>
      </c>
      <c r="CX165" s="60">
        <f t="shared" si="122"/>
        <v>310.95836828910166</v>
      </c>
      <c r="CY165" s="60">
        <f ca="1">AVERAGE(OFFSET($CX$3,0,0,'Données projet'!$E$13+1,1))-AVERAGE(OFFSET($H$3,0,0,'Données projet'!$E$13+1,1))</f>
        <v>388.53310909800695</v>
      </c>
      <c r="CZ165" s="60">
        <f t="shared" si="150"/>
        <v>263.82153161042811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469.67944008675863</v>
      </c>
      <c r="T166" s="60">
        <f t="shared" si="142"/>
        <v>266.11908070867173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1.8089849618263545E-13</v>
      </c>
      <c r="AK166" s="14">
        <f t="shared" si="164"/>
        <v>2.536422473342444E-12</v>
      </c>
      <c r="AL166" s="22">
        <f t="shared" si="165"/>
        <v>4.7326673552561798E-12</v>
      </c>
      <c r="AM166" s="60">
        <f t="shared" si="113"/>
        <v>288.04417668715695</v>
      </c>
      <c r="AN166" s="60">
        <f ca="1">AVERAGE(OFFSET($AM$3,0,0,'Données projet'!$E$10+1,1))-AVERAGE(OFFSET($H$3,0,0,'Données projet'!$E$10+1,1))</f>
        <v>323.1883858932618</v>
      </c>
      <c r="AO166" s="60">
        <f t="shared" si="144"/>
        <v>313.39536932399085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2.2737367544323206E-13</v>
      </c>
      <c r="BE166" s="14">
        <f>BD166*VLOOKUP('Données projet'!$B$11,Paramètres!$A$1:$I$89,3,0)*VLOOKUP('Données projet'!$B$11,Paramètres!$A$1:$I$89,5,0)</f>
        <v>1.6671037883497774E-13</v>
      </c>
      <c r="BF166" s="14">
        <f t="shared" si="167"/>
        <v>2.3598166018346595E-12</v>
      </c>
      <c r="BG166" s="22">
        <f t="shared" si="168"/>
        <v>4.400367824666284E-12</v>
      </c>
      <c r="BH166" s="60">
        <f t="shared" si="116"/>
        <v>288.04417668715661</v>
      </c>
      <c r="BI166" s="60">
        <f ca="1">AVERAGE(OFFSET($BH$3,0,0,'Données projet'!$E$11+1,1))-AVERAGE(OFFSET($H$3,0,0,'Données projet'!$E$11+1,1))</f>
        <v>302.52480941204414</v>
      </c>
      <c r="BJ166" s="60">
        <f t="shared" si="146"/>
        <v>293.66452856196088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-8.1404323282185943E-13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442.98179778678298</v>
      </c>
      <c r="CE166" s="60">
        <f t="shared" si="148"/>
        <v>251.96153561746942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10.256410256410078</v>
      </c>
      <c r="CU166" s="18">
        <f>CT166*VLOOKUP('Données projet'!$B$13,Paramètres!$A$1:$I$89,3,0)*VLOOKUP('Données projet'!$B$13,Paramètres!$A$1:$I$89,5,0)</f>
        <v>9.7599999999998293</v>
      </c>
      <c r="CV166" s="14">
        <f t="shared" si="173"/>
        <v>3.4500860232767008</v>
      </c>
      <c r="CW166" s="22">
        <f t="shared" si="174"/>
        <v>23.007566490539954</v>
      </c>
      <c r="CX166" s="60">
        <f t="shared" si="122"/>
        <v>311.05174317769217</v>
      </c>
      <c r="CY166" s="60">
        <f ca="1">AVERAGE(OFFSET($CX$3,0,0,'Données projet'!$E$13+1,1))-AVERAGE(OFFSET($H$3,0,0,'Données projet'!$E$13+1,1))</f>
        <v>388.53310909800695</v>
      </c>
      <c r="CZ166" s="60">
        <f t="shared" si="150"/>
        <v>263.82153161042811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469.67944008675863</v>
      </c>
      <c r="T167" s="60">
        <f t="shared" si="142"/>
        <v>266.11908070867173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1.8089849618263545E-13</v>
      </c>
      <c r="AK167" s="14">
        <f t="shared" si="164"/>
        <v>2.536422473342444E-12</v>
      </c>
      <c r="AL167" s="22">
        <f t="shared" si="165"/>
        <v>4.7326673552561798E-12</v>
      </c>
      <c r="AM167" s="60">
        <f t="shared" si="113"/>
        <v>288.1359317301854</v>
      </c>
      <c r="AN167" s="60">
        <f ca="1">AVERAGE(OFFSET($AM$3,0,0,'Données projet'!$E$10+1,1))-AVERAGE(OFFSET($H$3,0,0,'Données projet'!$E$10+1,1))</f>
        <v>323.1883858932618</v>
      </c>
      <c r="AO167" s="60">
        <f t="shared" si="144"/>
        <v>313.39536932399085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2.2737367544323206E-13</v>
      </c>
      <c r="BE167" s="14">
        <f>BD167*VLOOKUP('Données projet'!$B$11,Paramètres!$A$1:$I$89,3,0)*VLOOKUP('Données projet'!$B$11,Paramètres!$A$1:$I$89,5,0)</f>
        <v>1.6671037883497774E-13</v>
      </c>
      <c r="BF167" s="14">
        <f t="shared" si="167"/>
        <v>2.3598166018346595E-12</v>
      </c>
      <c r="BG167" s="22">
        <f t="shared" si="168"/>
        <v>4.400367824666284E-12</v>
      </c>
      <c r="BH167" s="60">
        <f t="shared" si="116"/>
        <v>288.13593173018506</v>
      </c>
      <c r="BI167" s="60">
        <f ca="1">AVERAGE(OFFSET($BH$3,0,0,'Données projet'!$E$11+1,1))-AVERAGE(OFFSET($H$3,0,0,'Données projet'!$E$11+1,1))</f>
        <v>302.52480941204414</v>
      </c>
      <c r="BJ167" s="60">
        <f t="shared" si="146"/>
        <v>293.66452856196088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-8.1404323282185943E-13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442.98179778678298</v>
      </c>
      <c r="CE167" s="60">
        <f t="shared" si="148"/>
        <v>251.96153561746942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10.256410256410078</v>
      </c>
      <c r="CU167" s="18">
        <f>CT167*VLOOKUP('Données projet'!$B$13,Paramètres!$A$1:$I$89,3,0)*VLOOKUP('Données projet'!$B$13,Paramètres!$A$1:$I$89,5,0)</f>
        <v>9.7599999999998293</v>
      </c>
      <c r="CV167" s="14">
        <f t="shared" si="173"/>
        <v>3.4500860232767008</v>
      </c>
      <c r="CW167" s="22">
        <f t="shared" si="174"/>
        <v>23.007566490539954</v>
      </c>
      <c r="CX167" s="60">
        <f t="shared" si="122"/>
        <v>311.14349822072063</v>
      </c>
      <c r="CY167" s="60">
        <f ca="1">AVERAGE(OFFSET($CX$3,0,0,'Données projet'!$E$13+1,1))-AVERAGE(OFFSET($H$3,0,0,'Données projet'!$E$13+1,1))</f>
        <v>388.53310909800695</v>
      </c>
      <c r="CZ167" s="60">
        <f t="shared" si="150"/>
        <v>263.82153161042811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469.67944008675863</v>
      </c>
      <c r="T168" s="60">
        <f t="shared" si="142"/>
        <v>266.11908070867173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1.8089849618263545E-13</v>
      </c>
      <c r="AK168" s="14">
        <f t="shared" si="164"/>
        <v>2.536422473342444E-12</v>
      </c>
      <c r="AL168" s="22">
        <f t="shared" si="165"/>
        <v>4.7326673552561798E-12</v>
      </c>
      <c r="AM168" s="60">
        <f t="shared" si="113"/>
        <v>288.22609502835087</v>
      </c>
      <c r="AN168" s="60">
        <f ca="1">AVERAGE(OFFSET($AM$3,0,0,'Données projet'!$E$10+1,1))-AVERAGE(OFFSET($H$3,0,0,'Données projet'!$E$10+1,1))</f>
        <v>323.1883858932618</v>
      </c>
      <c r="AO168" s="60">
        <f t="shared" si="144"/>
        <v>313.39536932399085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2.2737367544323206E-13</v>
      </c>
      <c r="BE168" s="14">
        <f>BD168*VLOOKUP('Données projet'!$B$11,Paramètres!$A$1:$I$89,3,0)*VLOOKUP('Données projet'!$B$11,Paramètres!$A$1:$I$89,5,0)</f>
        <v>1.6671037883497774E-13</v>
      </c>
      <c r="BF168" s="14">
        <f t="shared" si="167"/>
        <v>2.3598166018346595E-12</v>
      </c>
      <c r="BG168" s="22">
        <f t="shared" si="168"/>
        <v>4.400367824666284E-12</v>
      </c>
      <c r="BH168" s="60">
        <f t="shared" si="116"/>
        <v>288.22609502835053</v>
      </c>
      <c r="BI168" s="60">
        <f ca="1">AVERAGE(OFFSET($BH$3,0,0,'Données projet'!$E$11+1,1))-AVERAGE(OFFSET($H$3,0,0,'Données projet'!$E$11+1,1))</f>
        <v>302.52480941204414</v>
      </c>
      <c r="BJ168" s="60">
        <f t="shared" si="146"/>
        <v>293.66452856196088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-8.1404323282185943E-13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442.98179778678298</v>
      </c>
      <c r="CE168" s="60">
        <f t="shared" si="148"/>
        <v>251.96153561746942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10.256410256410078</v>
      </c>
      <c r="CU168" s="18">
        <f>CT168*VLOOKUP('Données projet'!$B$13,Paramètres!$A$1:$I$89,3,0)*VLOOKUP('Données projet'!$B$13,Paramètres!$A$1:$I$89,5,0)</f>
        <v>9.7599999999998293</v>
      </c>
      <c r="CV168" s="14">
        <f t="shared" si="173"/>
        <v>3.4500860232767008</v>
      </c>
      <c r="CW168" s="22">
        <f t="shared" si="174"/>
        <v>23.007566490539954</v>
      </c>
      <c r="CX168" s="60">
        <f t="shared" si="122"/>
        <v>311.23366151888609</v>
      </c>
      <c r="CY168" s="60">
        <f ca="1">AVERAGE(OFFSET($CX$3,0,0,'Données projet'!$E$13+1,1))-AVERAGE(OFFSET($H$3,0,0,'Données projet'!$E$13+1,1))</f>
        <v>388.53310909800695</v>
      </c>
      <c r="CZ168" s="60">
        <f t="shared" si="150"/>
        <v>263.82153161042811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469.67944008675863</v>
      </c>
      <c r="T169" s="60">
        <f t="shared" si="142"/>
        <v>266.11908070867173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1.8089849618263545E-13</v>
      </c>
      <c r="AK169" s="14">
        <f t="shared" si="164"/>
        <v>2.536422473342444E-12</v>
      </c>
      <c r="AL169" s="22">
        <f t="shared" si="165"/>
        <v>4.7326673552561798E-12</v>
      </c>
      <c r="AM169" s="60">
        <f t="shared" si="113"/>
        <v>288.31469419486814</v>
      </c>
      <c r="AN169" s="60">
        <f ca="1">AVERAGE(OFFSET($AM$3,0,0,'Données projet'!$E$10+1,1))-AVERAGE(OFFSET($H$3,0,0,'Données projet'!$E$10+1,1))</f>
        <v>323.1883858932618</v>
      </c>
      <c r="AO169" s="60">
        <f t="shared" si="144"/>
        <v>313.39536932399085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2.2737367544323206E-13</v>
      </c>
      <c r="BE169" s="14">
        <f>BD169*VLOOKUP('Données projet'!$B$11,Paramètres!$A$1:$I$89,3,0)*VLOOKUP('Données projet'!$B$11,Paramètres!$A$1:$I$89,5,0)</f>
        <v>1.6671037883497774E-13</v>
      </c>
      <c r="BF169" s="14">
        <f t="shared" si="167"/>
        <v>2.3598166018346595E-12</v>
      </c>
      <c r="BG169" s="22">
        <f t="shared" si="168"/>
        <v>4.400367824666284E-12</v>
      </c>
      <c r="BH169" s="60">
        <f t="shared" si="116"/>
        <v>288.3146941948678</v>
      </c>
      <c r="BI169" s="60">
        <f ca="1">AVERAGE(OFFSET($BH$3,0,0,'Données projet'!$E$11+1,1))-AVERAGE(OFFSET($H$3,0,0,'Données projet'!$E$11+1,1))</f>
        <v>302.52480941204414</v>
      </c>
      <c r="BJ169" s="60">
        <f t="shared" si="146"/>
        <v>293.66452856196088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-8.1404323282185943E-13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442.98179778678298</v>
      </c>
      <c r="CE169" s="60">
        <f t="shared" si="148"/>
        <v>251.96153561746942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10.256410256410078</v>
      </c>
      <c r="CU169" s="18">
        <f>CT169*VLOOKUP('Données projet'!$B$13,Paramètres!$A$1:$I$89,3,0)*VLOOKUP('Données projet'!$B$13,Paramètres!$A$1:$I$89,5,0)</f>
        <v>9.7599999999998293</v>
      </c>
      <c r="CV169" s="14">
        <f t="shared" si="173"/>
        <v>3.4500860232767008</v>
      </c>
      <c r="CW169" s="22">
        <f t="shared" si="174"/>
        <v>23.007566490539954</v>
      </c>
      <c r="CX169" s="60">
        <f t="shared" si="122"/>
        <v>311.32226068540336</v>
      </c>
      <c r="CY169" s="60">
        <f ca="1">AVERAGE(OFFSET($CX$3,0,0,'Données projet'!$E$13+1,1))-AVERAGE(OFFSET($H$3,0,0,'Données projet'!$E$13+1,1))</f>
        <v>388.53310909800695</v>
      </c>
      <c r="CZ169" s="60">
        <f t="shared" si="150"/>
        <v>263.82153161042811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469.67944008675863</v>
      </c>
      <c r="T170" s="60">
        <f t="shared" si="142"/>
        <v>266.11908070867173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1.8089849618263545E-13</v>
      </c>
      <c r="AK170" s="14">
        <f t="shared" si="164"/>
        <v>2.536422473342444E-12</v>
      </c>
      <c r="AL170" s="22">
        <f t="shared" si="165"/>
        <v>4.7326673552561798E-12</v>
      </c>
      <c r="AM170" s="60">
        <f t="shared" si="113"/>
        <v>288.40175636392433</v>
      </c>
      <c r="AN170" s="60">
        <f ca="1">AVERAGE(OFFSET($AM$3,0,0,'Données projet'!$E$10+1,1))-AVERAGE(OFFSET($H$3,0,0,'Données projet'!$E$10+1,1))</f>
        <v>323.1883858932618</v>
      </c>
      <c r="AO170" s="60">
        <f t="shared" si="144"/>
        <v>313.39536932399085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2.2737367544323206E-13</v>
      </c>
      <c r="BE170" s="14">
        <f>BD170*VLOOKUP('Données projet'!$B$11,Paramètres!$A$1:$I$89,3,0)*VLOOKUP('Données projet'!$B$11,Paramètres!$A$1:$I$89,5,0)</f>
        <v>1.6671037883497774E-13</v>
      </c>
      <c r="BF170" s="14">
        <f t="shared" si="167"/>
        <v>2.3598166018346595E-12</v>
      </c>
      <c r="BG170" s="22">
        <f t="shared" si="168"/>
        <v>4.400367824666284E-12</v>
      </c>
      <c r="BH170" s="60">
        <f t="shared" si="116"/>
        <v>288.40175636392399</v>
      </c>
      <c r="BI170" s="60">
        <f ca="1">AVERAGE(OFFSET($BH$3,0,0,'Données projet'!$E$11+1,1))-AVERAGE(OFFSET($H$3,0,0,'Données projet'!$E$11+1,1))</f>
        <v>302.52480941204414</v>
      </c>
      <c r="BJ170" s="60">
        <f t="shared" si="146"/>
        <v>293.66452856196088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-8.1404323282185943E-13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442.98179778678298</v>
      </c>
      <c r="CE170" s="60">
        <f t="shared" si="148"/>
        <v>251.96153561746942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10.256410256410078</v>
      </c>
      <c r="CU170" s="18">
        <f>CT170*VLOOKUP('Données projet'!$B$13,Paramètres!$A$1:$I$89,3,0)*VLOOKUP('Données projet'!$B$13,Paramètres!$A$1:$I$89,5,0)</f>
        <v>9.7599999999998293</v>
      </c>
      <c r="CV170" s="14">
        <f t="shared" si="173"/>
        <v>3.4500860232767008</v>
      </c>
      <c r="CW170" s="22">
        <f t="shared" si="174"/>
        <v>23.007566490539954</v>
      </c>
      <c r="CX170" s="60">
        <f t="shared" si="122"/>
        <v>311.40932285445956</v>
      </c>
      <c r="CY170" s="60">
        <f ca="1">AVERAGE(OFFSET($CX$3,0,0,'Données projet'!$E$13+1,1))-AVERAGE(OFFSET($H$3,0,0,'Données projet'!$E$13+1,1))</f>
        <v>388.53310909800695</v>
      </c>
      <c r="CZ170" s="60">
        <f t="shared" si="150"/>
        <v>263.82153161042811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469.67944008675863</v>
      </c>
      <c r="T171" s="60">
        <f t="shared" si="142"/>
        <v>266.11908070867173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1.8089849618263545E-13</v>
      </c>
      <c r="AK171" s="14">
        <f t="shared" si="164"/>
        <v>2.536422473342444E-12</v>
      </c>
      <c r="AL171" s="22">
        <f t="shared" si="165"/>
        <v>4.7326673552561798E-12</v>
      </c>
      <c r="AM171" s="60">
        <f t="shared" si="113"/>
        <v>288.48730819898924</v>
      </c>
      <c r="AN171" s="60">
        <f ca="1">AVERAGE(OFFSET($AM$3,0,0,'Données projet'!$E$10+1,1))-AVERAGE(OFFSET($H$3,0,0,'Données projet'!$E$10+1,1))</f>
        <v>323.1883858932618</v>
      </c>
      <c r="AO171" s="60">
        <f t="shared" si="144"/>
        <v>313.39536932399085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2.2737367544323206E-13</v>
      </c>
      <c r="BE171" s="14">
        <f>BD171*VLOOKUP('Données projet'!$B$11,Paramètres!$A$1:$I$89,3,0)*VLOOKUP('Données projet'!$B$11,Paramètres!$A$1:$I$89,5,0)</f>
        <v>1.6671037883497774E-13</v>
      </c>
      <c r="BF171" s="14">
        <f t="shared" si="167"/>
        <v>2.3598166018346595E-12</v>
      </c>
      <c r="BG171" s="22">
        <f t="shared" si="168"/>
        <v>4.400367824666284E-12</v>
      </c>
      <c r="BH171" s="60">
        <f t="shared" si="116"/>
        <v>288.4873081989889</v>
      </c>
      <c r="BI171" s="60">
        <f ca="1">AVERAGE(OFFSET($BH$3,0,0,'Données projet'!$E$11+1,1))-AVERAGE(OFFSET($H$3,0,0,'Données projet'!$E$11+1,1))</f>
        <v>302.52480941204414</v>
      </c>
      <c r="BJ171" s="60">
        <f t="shared" si="146"/>
        <v>293.66452856196088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-8.1404323282185943E-13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442.98179778678298</v>
      </c>
      <c r="CE171" s="60">
        <f t="shared" si="148"/>
        <v>251.96153561746942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10.256410256410078</v>
      </c>
      <c r="CU171" s="18">
        <f>CT171*VLOOKUP('Données projet'!$B$13,Paramètres!$A$1:$I$89,3,0)*VLOOKUP('Données projet'!$B$13,Paramètres!$A$1:$I$89,5,0)</f>
        <v>9.7599999999998293</v>
      </c>
      <c r="CV171" s="14">
        <f t="shared" si="173"/>
        <v>3.4500860232767008</v>
      </c>
      <c r="CW171" s="22">
        <f t="shared" si="174"/>
        <v>23.007566490539954</v>
      </c>
      <c r="CX171" s="60">
        <f t="shared" si="122"/>
        <v>311.49487468952447</v>
      </c>
      <c r="CY171" s="60">
        <f ca="1">AVERAGE(OFFSET($CX$3,0,0,'Données projet'!$E$13+1,1))-AVERAGE(OFFSET($H$3,0,0,'Données projet'!$E$13+1,1))</f>
        <v>388.53310909800695</v>
      </c>
      <c r="CZ171" s="60">
        <f t="shared" si="150"/>
        <v>263.82153161042811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469.67944008675863</v>
      </c>
      <c r="T172" s="60">
        <f t="shared" si="142"/>
        <v>266.11908070867173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1.8089849618263545E-13</v>
      </c>
      <c r="AK172" s="14">
        <f t="shared" si="164"/>
        <v>2.536422473342444E-12</v>
      </c>
      <c r="AL172" s="22">
        <f t="shared" si="165"/>
        <v>4.7326673552561798E-12</v>
      </c>
      <c r="AM172" s="60">
        <f t="shared" si="113"/>
        <v>288.57137590098114</v>
      </c>
      <c r="AN172" s="60">
        <f ca="1">AVERAGE(OFFSET($AM$3,0,0,'Données projet'!$E$10+1,1))-AVERAGE(OFFSET($H$3,0,0,'Données projet'!$E$10+1,1))</f>
        <v>323.1883858932618</v>
      </c>
      <c r="AO172" s="60">
        <f t="shared" si="144"/>
        <v>313.39536932399085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2.2737367544323206E-13</v>
      </c>
      <c r="BE172" s="14">
        <f>BD172*VLOOKUP('Données projet'!$B$11,Paramètres!$A$1:$I$89,3,0)*VLOOKUP('Données projet'!$B$11,Paramètres!$A$1:$I$89,5,0)</f>
        <v>1.6671037883497774E-13</v>
      </c>
      <c r="BF172" s="14">
        <f t="shared" si="167"/>
        <v>2.3598166018346595E-12</v>
      </c>
      <c r="BG172" s="22">
        <f t="shared" si="168"/>
        <v>4.400367824666284E-12</v>
      </c>
      <c r="BH172" s="60">
        <f t="shared" si="116"/>
        <v>288.5713759009808</v>
      </c>
      <c r="BI172" s="60">
        <f ca="1">AVERAGE(OFFSET($BH$3,0,0,'Données projet'!$E$11+1,1))-AVERAGE(OFFSET($H$3,0,0,'Données projet'!$E$11+1,1))</f>
        <v>302.52480941204414</v>
      </c>
      <c r="BJ172" s="60">
        <f t="shared" si="146"/>
        <v>293.66452856196088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-8.1404323282185943E-13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442.98179778678298</v>
      </c>
      <c r="CE172" s="60">
        <f t="shared" si="148"/>
        <v>251.96153561746942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10.256410256410078</v>
      </c>
      <c r="CU172" s="18">
        <f>CT172*VLOOKUP('Données projet'!$B$13,Paramètres!$A$1:$I$89,3,0)*VLOOKUP('Données projet'!$B$13,Paramètres!$A$1:$I$89,5,0)</f>
        <v>9.7599999999998293</v>
      </c>
      <c r="CV172" s="14">
        <f t="shared" si="173"/>
        <v>3.4500860232767008</v>
      </c>
      <c r="CW172" s="22">
        <f t="shared" si="174"/>
        <v>23.007566490539954</v>
      </c>
      <c r="CX172" s="60">
        <f t="shared" si="122"/>
        <v>311.57894239151636</v>
      </c>
      <c r="CY172" s="60">
        <f ca="1">AVERAGE(OFFSET($CX$3,0,0,'Données projet'!$E$13+1,1))-AVERAGE(OFFSET($H$3,0,0,'Données projet'!$E$13+1,1))</f>
        <v>388.53310909800695</v>
      </c>
      <c r="CZ172" s="60">
        <f t="shared" si="150"/>
        <v>263.82153161042811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469.67944008675863</v>
      </c>
      <c r="T173" s="60">
        <f t="shared" si="142"/>
        <v>266.11908070867173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1.8089849618263545E-13</v>
      </c>
      <c r="AK173" s="14">
        <f t="shared" si="164"/>
        <v>2.536422473342444E-12</v>
      </c>
      <c r="AL173" s="22">
        <f t="shared" si="165"/>
        <v>4.7326673552561798E-12</v>
      </c>
      <c r="AM173" s="60">
        <f t="shared" si="113"/>
        <v>288.65398521629061</v>
      </c>
      <c r="AN173" s="60">
        <f ca="1">AVERAGE(OFFSET($AM$3,0,0,'Données projet'!$E$10+1,1))-AVERAGE(OFFSET($H$3,0,0,'Données projet'!$E$10+1,1))</f>
        <v>323.1883858932618</v>
      </c>
      <c r="AO173" s="60">
        <f t="shared" si="144"/>
        <v>313.39536932399085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2.2737367544323206E-13</v>
      </c>
      <c r="BE173" s="14">
        <f>BD173*VLOOKUP('Données projet'!$B$11,Paramètres!$A$1:$I$89,3,0)*VLOOKUP('Données projet'!$B$11,Paramètres!$A$1:$I$89,5,0)</f>
        <v>1.6671037883497774E-13</v>
      </c>
      <c r="BF173" s="14">
        <f t="shared" si="167"/>
        <v>2.3598166018346595E-12</v>
      </c>
      <c r="BG173" s="22">
        <f t="shared" si="168"/>
        <v>4.400367824666284E-12</v>
      </c>
      <c r="BH173" s="60">
        <f t="shared" si="116"/>
        <v>288.65398521629027</v>
      </c>
      <c r="BI173" s="60">
        <f ca="1">AVERAGE(OFFSET($BH$3,0,0,'Données projet'!$E$11+1,1))-AVERAGE(OFFSET($H$3,0,0,'Données projet'!$E$11+1,1))</f>
        <v>302.52480941204414</v>
      </c>
      <c r="BJ173" s="60">
        <f t="shared" si="146"/>
        <v>293.66452856196088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-8.1404323282185943E-13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442.98179778678298</v>
      </c>
      <c r="CE173" s="60">
        <f t="shared" si="148"/>
        <v>251.96153561746942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10.256410256410078</v>
      </c>
      <c r="CU173" s="18">
        <f>CT173*VLOOKUP('Données projet'!$B$13,Paramètres!$A$1:$I$89,3,0)*VLOOKUP('Données projet'!$B$13,Paramètres!$A$1:$I$89,5,0)</f>
        <v>9.7599999999998293</v>
      </c>
      <c r="CV173" s="14">
        <f t="shared" si="173"/>
        <v>3.4500860232767008</v>
      </c>
      <c r="CW173" s="22">
        <f t="shared" si="174"/>
        <v>23.007566490539954</v>
      </c>
      <c r="CX173" s="60">
        <f t="shared" si="122"/>
        <v>311.66155170682583</v>
      </c>
      <c r="CY173" s="60">
        <f ca="1">AVERAGE(OFFSET($CX$3,0,0,'Données projet'!$E$13+1,1))-AVERAGE(OFFSET($H$3,0,0,'Données projet'!$E$13+1,1))</f>
        <v>388.53310909800695</v>
      </c>
      <c r="CZ173" s="60">
        <f t="shared" si="150"/>
        <v>263.82153161042811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469.67944008675863</v>
      </c>
      <c r="T174" s="60">
        <f t="shared" si="142"/>
        <v>266.11908070867173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1.8089849618263545E-13</v>
      </c>
      <c r="AK174" s="14">
        <f t="shared" si="164"/>
        <v>2.536422473342444E-12</v>
      </c>
      <c r="AL174" s="22">
        <f t="shared" si="165"/>
        <v>4.7326673552561798E-12</v>
      </c>
      <c r="AM174" s="60">
        <f t="shared" si="113"/>
        <v>288.73516144466623</v>
      </c>
      <c r="AN174" s="60">
        <f ca="1">AVERAGE(OFFSET($AM$3,0,0,'Données projet'!$E$10+1,1))-AVERAGE(OFFSET($H$3,0,0,'Données projet'!$E$10+1,1))</f>
        <v>323.1883858932618</v>
      </c>
      <c r="AO174" s="60">
        <f t="shared" si="144"/>
        <v>313.39536932399085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2.2737367544323206E-13</v>
      </c>
      <c r="BE174" s="14">
        <f>BD174*VLOOKUP('Données projet'!$B$11,Paramètres!$A$1:$I$89,3,0)*VLOOKUP('Données projet'!$B$11,Paramètres!$A$1:$I$89,5,0)</f>
        <v>1.6671037883497774E-13</v>
      </c>
      <c r="BF174" s="14">
        <f t="shared" si="167"/>
        <v>2.3598166018346595E-12</v>
      </c>
      <c r="BG174" s="22">
        <f t="shared" si="168"/>
        <v>4.400367824666284E-12</v>
      </c>
      <c r="BH174" s="60">
        <f t="shared" si="116"/>
        <v>288.73516144466589</v>
      </c>
      <c r="BI174" s="60">
        <f ca="1">AVERAGE(OFFSET($BH$3,0,0,'Données projet'!$E$11+1,1))-AVERAGE(OFFSET($H$3,0,0,'Données projet'!$E$11+1,1))</f>
        <v>302.52480941204414</v>
      </c>
      <c r="BJ174" s="60">
        <f t="shared" si="146"/>
        <v>293.66452856196088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-8.1404323282185943E-13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442.98179778678298</v>
      </c>
      <c r="CE174" s="60">
        <f t="shared" si="148"/>
        <v>251.96153561746942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10.256410256410078</v>
      </c>
      <c r="CU174" s="18">
        <f>CT174*VLOOKUP('Données projet'!$B$13,Paramètres!$A$1:$I$89,3,0)*VLOOKUP('Données projet'!$B$13,Paramètres!$A$1:$I$89,5,0)</f>
        <v>9.7599999999998293</v>
      </c>
      <c r="CV174" s="14">
        <f t="shared" si="173"/>
        <v>3.4500860232767008</v>
      </c>
      <c r="CW174" s="22">
        <f t="shared" si="174"/>
        <v>23.007566490539954</v>
      </c>
      <c r="CX174" s="60">
        <f t="shared" si="122"/>
        <v>311.74272793520146</v>
      </c>
      <c r="CY174" s="60">
        <f ca="1">AVERAGE(OFFSET($CX$3,0,0,'Données projet'!$E$13+1,1))-AVERAGE(OFFSET($H$3,0,0,'Données projet'!$E$13+1,1))</f>
        <v>388.53310909800695</v>
      </c>
      <c r="CZ174" s="60">
        <f t="shared" si="150"/>
        <v>263.82153161042811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469.67944008675863</v>
      </c>
      <c r="T175" s="60">
        <f t="shared" si="142"/>
        <v>266.11908070867173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1.8089849618263545E-13</v>
      </c>
      <c r="AK175" s="14">
        <f t="shared" si="164"/>
        <v>2.536422473342444E-12</v>
      </c>
      <c r="AL175" s="22">
        <f t="shared" si="165"/>
        <v>4.7326673552561798E-12</v>
      </c>
      <c r="AM175" s="60">
        <f t="shared" si="113"/>
        <v>288.81492944696237</v>
      </c>
      <c r="AN175" s="60">
        <f ca="1">AVERAGE(OFFSET($AM$3,0,0,'Données projet'!$E$10+1,1))-AVERAGE(OFFSET($H$3,0,0,'Données projet'!$E$10+1,1))</f>
        <v>323.1883858932618</v>
      </c>
      <c r="AO175" s="60">
        <f t="shared" si="144"/>
        <v>313.39536932399085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2.2737367544323206E-13</v>
      </c>
      <c r="BE175" s="14">
        <f>BD175*VLOOKUP('Données projet'!$B$11,Paramètres!$A$1:$I$89,3,0)*VLOOKUP('Données projet'!$B$11,Paramètres!$A$1:$I$89,5,0)</f>
        <v>1.6671037883497774E-13</v>
      </c>
      <c r="BF175" s="14">
        <f t="shared" si="167"/>
        <v>2.3598166018346595E-12</v>
      </c>
      <c r="BG175" s="22">
        <f t="shared" si="168"/>
        <v>4.400367824666284E-12</v>
      </c>
      <c r="BH175" s="60">
        <f t="shared" si="116"/>
        <v>288.81492944696203</v>
      </c>
      <c r="BI175" s="60">
        <f ca="1">AVERAGE(OFFSET($BH$3,0,0,'Données projet'!$E$11+1,1))-AVERAGE(OFFSET($H$3,0,0,'Données projet'!$E$11+1,1))</f>
        <v>302.52480941204414</v>
      </c>
      <c r="BJ175" s="60">
        <f t="shared" si="146"/>
        <v>293.66452856196088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-8.1404323282185943E-13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442.98179778678298</v>
      </c>
      <c r="CE175" s="60">
        <f t="shared" si="148"/>
        <v>251.96153561746942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10.256410256410078</v>
      </c>
      <c r="CU175" s="18">
        <f>CT175*VLOOKUP('Données projet'!$B$13,Paramètres!$A$1:$I$89,3,0)*VLOOKUP('Données projet'!$B$13,Paramètres!$A$1:$I$89,5,0)</f>
        <v>9.7599999999998293</v>
      </c>
      <c r="CV175" s="14">
        <f t="shared" si="173"/>
        <v>3.4500860232767008</v>
      </c>
      <c r="CW175" s="22">
        <f t="shared" si="174"/>
        <v>23.007566490539954</v>
      </c>
      <c r="CX175" s="60">
        <f t="shared" si="122"/>
        <v>311.82249593749759</v>
      </c>
      <c r="CY175" s="60">
        <f ca="1">AVERAGE(OFFSET($CX$3,0,0,'Données projet'!$E$13+1,1))-AVERAGE(OFFSET($H$3,0,0,'Données projet'!$E$13+1,1))</f>
        <v>388.53310909800695</v>
      </c>
      <c r="CZ175" s="60">
        <f t="shared" si="150"/>
        <v>263.82153161042811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469.67944008675863</v>
      </c>
      <c r="T176" s="60">
        <f t="shared" si="142"/>
        <v>266.11908070867173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1.8089849618263545E-13</v>
      </c>
      <c r="AK176" s="14">
        <f t="shared" si="164"/>
        <v>2.536422473342444E-12</v>
      </c>
      <c r="AL176" s="22">
        <f t="shared" si="165"/>
        <v>4.7326673552561798E-12</v>
      </c>
      <c r="AM176" s="60">
        <f t="shared" si="113"/>
        <v>288.89331365275319</v>
      </c>
      <c r="AN176" s="60">
        <f ca="1">AVERAGE(OFFSET($AM$3,0,0,'Données projet'!$E$10+1,1))-AVERAGE(OFFSET($H$3,0,0,'Données projet'!$E$10+1,1))</f>
        <v>323.1883858932618</v>
      </c>
      <c r="AO176" s="60">
        <f t="shared" si="144"/>
        <v>313.39536932399085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2.2737367544323206E-13</v>
      </c>
      <c r="BE176" s="14">
        <f>BD176*VLOOKUP('Données projet'!$B$11,Paramètres!$A$1:$I$89,3,0)*VLOOKUP('Données projet'!$B$11,Paramètres!$A$1:$I$89,5,0)</f>
        <v>1.6671037883497774E-13</v>
      </c>
      <c r="BF176" s="14">
        <f t="shared" si="167"/>
        <v>2.3598166018346595E-12</v>
      </c>
      <c r="BG176" s="22">
        <f t="shared" si="168"/>
        <v>4.400367824666284E-12</v>
      </c>
      <c r="BH176" s="60">
        <f t="shared" si="116"/>
        <v>288.89331365275285</v>
      </c>
      <c r="BI176" s="60">
        <f ca="1">AVERAGE(OFFSET($BH$3,0,0,'Données projet'!$E$11+1,1))-AVERAGE(OFFSET($H$3,0,0,'Données projet'!$E$11+1,1))</f>
        <v>302.52480941204414</v>
      </c>
      <c r="BJ176" s="60">
        <f t="shared" si="146"/>
        <v>293.66452856196088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-8.1404323282185943E-13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442.98179778678298</v>
      </c>
      <c r="CE176" s="60">
        <f t="shared" si="148"/>
        <v>251.96153561746942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10.256410256410078</v>
      </c>
      <c r="CU176" s="18">
        <f>CT176*VLOOKUP('Données projet'!$B$13,Paramètres!$A$1:$I$89,3,0)*VLOOKUP('Données projet'!$B$13,Paramètres!$A$1:$I$89,5,0)</f>
        <v>9.7599999999998293</v>
      </c>
      <c r="CV176" s="14">
        <f t="shared" si="173"/>
        <v>3.4500860232767008</v>
      </c>
      <c r="CW176" s="22">
        <f t="shared" si="174"/>
        <v>23.007566490539954</v>
      </c>
      <c r="CX176" s="60">
        <f t="shared" si="122"/>
        <v>311.90088014328842</v>
      </c>
      <c r="CY176" s="60">
        <f ca="1">AVERAGE(OFFSET($CX$3,0,0,'Données projet'!$E$13+1,1))-AVERAGE(OFFSET($H$3,0,0,'Données projet'!$E$13+1,1))</f>
        <v>388.53310909800695</v>
      </c>
      <c r="CZ176" s="60">
        <f t="shared" si="150"/>
        <v>263.82153161042811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469.67944008675863</v>
      </c>
      <c r="T177" s="60">
        <f t="shared" si="142"/>
        <v>266.11908070867173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1.8089849618263545E-13</v>
      </c>
      <c r="AK177" s="14">
        <f t="shared" si="164"/>
        <v>2.536422473342444E-12</v>
      </c>
      <c r="AL177" s="22">
        <f t="shared" si="165"/>
        <v>4.7326673552561798E-12</v>
      </c>
      <c r="AM177" s="60">
        <f t="shared" si="113"/>
        <v>288.97033806781445</v>
      </c>
      <c r="AN177" s="60">
        <f ca="1">AVERAGE(OFFSET($AM$3,0,0,'Données projet'!$E$10+1,1))-AVERAGE(OFFSET($H$3,0,0,'Données projet'!$E$10+1,1))</f>
        <v>323.1883858932618</v>
      </c>
      <c r="AO177" s="60">
        <f t="shared" si="144"/>
        <v>313.39536932399085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2.2737367544323206E-13</v>
      </c>
      <c r="BE177" s="14">
        <f>BD177*VLOOKUP('Données projet'!$B$11,Paramètres!$A$1:$I$89,3,0)*VLOOKUP('Données projet'!$B$11,Paramètres!$A$1:$I$89,5,0)</f>
        <v>1.6671037883497774E-13</v>
      </c>
      <c r="BF177" s="14">
        <f t="shared" si="167"/>
        <v>2.3598166018346595E-12</v>
      </c>
      <c r="BG177" s="22">
        <f t="shared" si="168"/>
        <v>4.400367824666284E-12</v>
      </c>
      <c r="BH177" s="60">
        <f t="shared" si="116"/>
        <v>288.97033806781411</v>
      </c>
      <c r="BI177" s="60">
        <f ca="1">AVERAGE(OFFSET($BH$3,0,0,'Données projet'!$E$11+1,1))-AVERAGE(OFFSET($H$3,0,0,'Données projet'!$E$11+1,1))</f>
        <v>302.52480941204414</v>
      </c>
      <c r="BJ177" s="60">
        <f t="shared" si="146"/>
        <v>293.66452856196088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-8.1404323282185943E-13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442.98179778678298</v>
      </c>
      <c r="CE177" s="60">
        <f t="shared" si="148"/>
        <v>251.96153561746942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10.256410256410078</v>
      </c>
      <c r="CU177" s="18">
        <f>CT177*VLOOKUP('Données projet'!$B$13,Paramètres!$A$1:$I$89,3,0)*VLOOKUP('Données projet'!$B$13,Paramètres!$A$1:$I$89,5,0)</f>
        <v>9.7599999999998293</v>
      </c>
      <c r="CV177" s="14">
        <f t="shared" si="173"/>
        <v>3.4500860232767008</v>
      </c>
      <c r="CW177" s="22">
        <f t="shared" si="174"/>
        <v>23.007566490539954</v>
      </c>
      <c r="CX177" s="60">
        <f t="shared" si="122"/>
        <v>311.97790455834968</v>
      </c>
      <c r="CY177" s="60">
        <f ca="1">AVERAGE(OFFSET($CX$3,0,0,'Données projet'!$E$13+1,1))-AVERAGE(OFFSET($H$3,0,0,'Données projet'!$E$13+1,1))</f>
        <v>388.53310909800695</v>
      </c>
      <c r="CZ177" s="60">
        <f t="shared" si="150"/>
        <v>263.82153161042811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469.67944008675863</v>
      </c>
      <c r="T178" s="60">
        <f t="shared" si="142"/>
        <v>266.11908070867173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1.8089849618263545E-13</v>
      </c>
      <c r="AK178" s="14">
        <f t="shared" si="164"/>
        <v>2.536422473342444E-12</v>
      </c>
      <c r="AL178" s="22">
        <f t="shared" si="165"/>
        <v>4.7326673552561798E-12</v>
      </c>
      <c r="AM178" s="60">
        <f t="shared" si="113"/>
        <v>289.04602628147512</v>
      </c>
      <c r="AN178" s="60">
        <f ca="1">AVERAGE(OFFSET($AM$3,0,0,'Données projet'!$E$10+1,1))-AVERAGE(OFFSET($H$3,0,0,'Données projet'!$E$10+1,1))</f>
        <v>323.1883858932618</v>
      </c>
      <c r="AO178" s="60">
        <f t="shared" si="144"/>
        <v>313.39536932399085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2.2737367544323206E-13</v>
      </c>
      <c r="BE178" s="14">
        <f>BD178*VLOOKUP('Données projet'!$B$11,Paramètres!$A$1:$I$89,3,0)*VLOOKUP('Données projet'!$B$11,Paramètres!$A$1:$I$89,5,0)</f>
        <v>1.6671037883497774E-13</v>
      </c>
      <c r="BF178" s="14">
        <f t="shared" si="167"/>
        <v>2.3598166018346595E-12</v>
      </c>
      <c r="BG178" s="22">
        <f t="shared" si="168"/>
        <v>4.400367824666284E-12</v>
      </c>
      <c r="BH178" s="60">
        <f t="shared" si="116"/>
        <v>289.04602628147478</v>
      </c>
      <c r="BI178" s="60">
        <f ca="1">AVERAGE(OFFSET($BH$3,0,0,'Données projet'!$E$11+1,1))-AVERAGE(OFFSET($H$3,0,0,'Données projet'!$E$11+1,1))</f>
        <v>302.52480941204414</v>
      </c>
      <c r="BJ178" s="60">
        <f t="shared" si="146"/>
        <v>293.66452856196088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-8.1404323282185943E-13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442.98179778678298</v>
      </c>
      <c r="CE178" s="60">
        <f t="shared" si="148"/>
        <v>251.96153561746942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10.256410256410078</v>
      </c>
      <c r="CU178" s="18">
        <f>CT178*VLOOKUP('Données projet'!$B$13,Paramètres!$A$1:$I$89,3,0)*VLOOKUP('Données projet'!$B$13,Paramètres!$A$1:$I$89,5,0)</f>
        <v>9.7599999999998293</v>
      </c>
      <c r="CV178" s="14">
        <f t="shared" si="173"/>
        <v>3.4500860232767008</v>
      </c>
      <c r="CW178" s="22">
        <f t="shared" si="174"/>
        <v>23.007566490539954</v>
      </c>
      <c r="CX178" s="60">
        <f t="shared" si="122"/>
        <v>312.05359277201035</v>
      </c>
      <c r="CY178" s="60">
        <f ca="1">AVERAGE(OFFSET($CX$3,0,0,'Données projet'!$E$13+1,1))-AVERAGE(OFFSET($H$3,0,0,'Données projet'!$E$13+1,1))</f>
        <v>388.53310909800695</v>
      </c>
      <c r="CZ178" s="60">
        <f t="shared" si="150"/>
        <v>263.82153161042811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469.67944008675863</v>
      </c>
      <c r="T179" s="60">
        <f t="shared" si="142"/>
        <v>266.11908070867173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1.8089849618263545E-13</v>
      </c>
      <c r="AK179" s="14">
        <f t="shared" si="164"/>
        <v>2.536422473342444E-12</v>
      </c>
      <c r="AL179" s="22">
        <f t="shared" si="165"/>
        <v>4.7326673552561798E-12</v>
      </c>
      <c r="AM179" s="60">
        <f t="shared" si="113"/>
        <v>289.12040147384232</v>
      </c>
      <c r="AN179" s="60">
        <f ca="1">AVERAGE(OFFSET($AM$3,0,0,'Données projet'!$E$10+1,1))-AVERAGE(OFFSET($H$3,0,0,'Données projet'!$E$10+1,1))</f>
        <v>323.1883858932618</v>
      </c>
      <c r="AO179" s="60">
        <f t="shared" si="144"/>
        <v>313.39536932399085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2.2737367544323206E-13</v>
      </c>
      <c r="BE179" s="14">
        <f>BD179*VLOOKUP('Données projet'!$B$11,Paramètres!$A$1:$I$89,3,0)*VLOOKUP('Données projet'!$B$11,Paramètres!$A$1:$I$89,5,0)</f>
        <v>1.6671037883497774E-13</v>
      </c>
      <c r="BF179" s="14">
        <f t="shared" si="167"/>
        <v>2.3598166018346595E-12</v>
      </c>
      <c r="BG179" s="22">
        <f t="shared" si="168"/>
        <v>4.400367824666284E-12</v>
      </c>
      <c r="BH179" s="60">
        <f t="shared" si="116"/>
        <v>289.12040147384198</v>
      </c>
      <c r="BI179" s="60">
        <f ca="1">AVERAGE(OFFSET($BH$3,0,0,'Données projet'!$E$11+1,1))-AVERAGE(OFFSET($H$3,0,0,'Données projet'!$E$11+1,1))</f>
        <v>302.52480941204414</v>
      </c>
      <c r="BJ179" s="60">
        <f t="shared" si="146"/>
        <v>293.66452856196088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-8.1404323282185943E-13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442.98179778678298</v>
      </c>
      <c r="CE179" s="60">
        <f t="shared" si="148"/>
        <v>251.96153561746942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10.256410256410078</v>
      </c>
      <c r="CU179" s="18">
        <f>CT179*VLOOKUP('Données projet'!$B$13,Paramètres!$A$1:$I$89,3,0)*VLOOKUP('Données projet'!$B$13,Paramètres!$A$1:$I$89,5,0)</f>
        <v>9.7599999999998293</v>
      </c>
      <c r="CV179" s="14">
        <f t="shared" si="173"/>
        <v>3.4500860232767008</v>
      </c>
      <c r="CW179" s="22">
        <f t="shared" si="174"/>
        <v>23.007566490539954</v>
      </c>
      <c r="CX179" s="60">
        <f t="shared" si="122"/>
        <v>312.12796796437755</v>
      </c>
      <c r="CY179" s="60">
        <f ca="1">AVERAGE(OFFSET($CX$3,0,0,'Données projet'!$E$13+1,1))-AVERAGE(OFFSET($H$3,0,0,'Données projet'!$E$13+1,1))</f>
        <v>388.53310909800695</v>
      </c>
      <c r="CZ179" s="60">
        <f t="shared" si="150"/>
        <v>263.82153161042811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469.67944008675863</v>
      </c>
      <c r="T180" s="60">
        <f t="shared" si="142"/>
        <v>266.11908070867173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1.8089849618263545E-13</v>
      </c>
      <c r="AK180" s="14">
        <f t="shared" si="164"/>
        <v>2.536422473342444E-12</v>
      </c>
      <c r="AL180" s="22">
        <f t="shared" si="165"/>
        <v>4.7326673552561798E-12</v>
      </c>
      <c r="AM180" s="60">
        <f t="shared" si="113"/>
        <v>289.19348642289998</v>
      </c>
      <c r="AN180" s="60">
        <f ca="1">AVERAGE(OFFSET($AM$3,0,0,'Données projet'!$E$10+1,1))-AVERAGE(OFFSET($H$3,0,0,'Données projet'!$E$10+1,1))</f>
        <v>323.1883858932618</v>
      </c>
      <c r="AO180" s="60">
        <f t="shared" si="144"/>
        <v>313.39536932399085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2.2737367544323206E-13</v>
      </c>
      <c r="BE180" s="14">
        <f>BD180*VLOOKUP('Données projet'!$B$11,Paramètres!$A$1:$I$89,3,0)*VLOOKUP('Données projet'!$B$11,Paramètres!$A$1:$I$89,5,0)</f>
        <v>1.6671037883497774E-13</v>
      </c>
      <c r="BF180" s="14">
        <f t="shared" si="167"/>
        <v>2.3598166018346595E-12</v>
      </c>
      <c r="BG180" s="22">
        <f t="shared" si="168"/>
        <v>4.400367824666284E-12</v>
      </c>
      <c r="BH180" s="60">
        <f t="shared" si="116"/>
        <v>289.19348642289964</v>
      </c>
      <c r="BI180" s="60">
        <f ca="1">AVERAGE(OFFSET($BH$3,0,0,'Données projet'!$E$11+1,1))-AVERAGE(OFFSET($H$3,0,0,'Données projet'!$E$11+1,1))</f>
        <v>302.52480941204414</v>
      </c>
      <c r="BJ180" s="60">
        <f t="shared" si="146"/>
        <v>293.66452856196088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-8.1404323282185943E-13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442.98179778678298</v>
      </c>
      <c r="CE180" s="60">
        <f t="shared" si="148"/>
        <v>251.96153561746942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10.256410256410078</v>
      </c>
      <c r="CU180" s="18">
        <f>CT180*VLOOKUP('Données projet'!$B$13,Paramètres!$A$1:$I$89,3,0)*VLOOKUP('Données projet'!$B$13,Paramètres!$A$1:$I$89,5,0)</f>
        <v>9.7599999999998293</v>
      </c>
      <c r="CV180" s="14">
        <f t="shared" si="173"/>
        <v>3.4500860232767008</v>
      </c>
      <c r="CW180" s="22">
        <f t="shared" si="174"/>
        <v>23.007566490539954</v>
      </c>
      <c r="CX180" s="60">
        <f t="shared" si="122"/>
        <v>312.20105291343521</v>
      </c>
      <c r="CY180" s="60">
        <f ca="1">AVERAGE(OFFSET($CX$3,0,0,'Données projet'!$E$13+1,1))-AVERAGE(OFFSET($H$3,0,0,'Données projet'!$E$13+1,1))</f>
        <v>388.53310909800695</v>
      </c>
      <c r="CZ180" s="60">
        <f t="shared" si="150"/>
        <v>263.82153161042811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469.67944008675863</v>
      </c>
      <c r="T181" s="60">
        <f t="shared" si="142"/>
        <v>266.11908070867173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1.8089849618263545E-13</v>
      </c>
      <c r="AK181" s="14">
        <f t="shared" si="164"/>
        <v>2.536422473342444E-12</v>
      </c>
      <c r="AL181" s="22">
        <f t="shared" si="165"/>
        <v>4.7326673552561798E-12</v>
      </c>
      <c r="AM181" s="60">
        <f t="shared" si="113"/>
        <v>289.26530351148489</v>
      </c>
      <c r="AN181" s="60">
        <f ca="1">AVERAGE(OFFSET($AM$3,0,0,'Données projet'!$E$10+1,1))-AVERAGE(OFFSET($H$3,0,0,'Données projet'!$E$10+1,1))</f>
        <v>323.1883858932618</v>
      </c>
      <c r="AO181" s="60">
        <f t="shared" si="144"/>
        <v>313.39536932399085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2.2737367544323206E-13</v>
      </c>
      <c r="BE181" s="14">
        <f>BD181*VLOOKUP('Données projet'!$B$11,Paramètres!$A$1:$I$89,3,0)*VLOOKUP('Données projet'!$B$11,Paramètres!$A$1:$I$89,5,0)</f>
        <v>1.6671037883497774E-13</v>
      </c>
      <c r="BF181" s="14">
        <f t="shared" si="167"/>
        <v>2.3598166018346595E-12</v>
      </c>
      <c r="BG181" s="22">
        <f t="shared" si="168"/>
        <v>4.400367824666284E-12</v>
      </c>
      <c r="BH181" s="60">
        <f t="shared" si="116"/>
        <v>289.26530351148455</v>
      </c>
      <c r="BI181" s="60">
        <f ca="1">AVERAGE(OFFSET($BH$3,0,0,'Données projet'!$E$11+1,1))-AVERAGE(OFFSET($H$3,0,0,'Données projet'!$E$11+1,1))</f>
        <v>302.52480941204414</v>
      </c>
      <c r="BJ181" s="60">
        <f t="shared" si="146"/>
        <v>293.66452856196088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-8.1404323282185943E-13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442.98179778678298</v>
      </c>
      <c r="CE181" s="60">
        <f t="shared" si="148"/>
        <v>251.96153561746942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10.256410256410078</v>
      </c>
      <c r="CU181" s="18">
        <f>CT181*VLOOKUP('Données projet'!$B$13,Paramètres!$A$1:$I$89,3,0)*VLOOKUP('Données projet'!$B$13,Paramètres!$A$1:$I$89,5,0)</f>
        <v>9.7599999999998293</v>
      </c>
      <c r="CV181" s="14">
        <f t="shared" si="173"/>
        <v>3.4500860232767008</v>
      </c>
      <c r="CW181" s="22">
        <f t="shared" si="174"/>
        <v>23.007566490539954</v>
      </c>
      <c r="CX181" s="60">
        <f t="shared" si="122"/>
        <v>312.27287000202011</v>
      </c>
      <c r="CY181" s="60">
        <f ca="1">AVERAGE(OFFSET($CX$3,0,0,'Données projet'!$E$13+1,1))-AVERAGE(OFFSET($H$3,0,0,'Données projet'!$E$13+1,1))</f>
        <v>388.53310909800695</v>
      </c>
      <c r="CZ181" s="60">
        <f t="shared" si="150"/>
        <v>263.82153161042811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469.67944008675863</v>
      </c>
      <c r="T182" s="60">
        <f t="shared" si="142"/>
        <v>266.11908070867173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1.8089849618263545E-13</v>
      </c>
      <c r="AK182" s="14">
        <f t="shared" si="164"/>
        <v>2.536422473342444E-12</v>
      </c>
      <c r="AL182" s="22">
        <f t="shared" si="165"/>
        <v>4.7326673552561798E-12</v>
      </c>
      <c r="AM182" s="60">
        <f t="shared" si="113"/>
        <v>289.33587473414184</v>
      </c>
      <c r="AN182" s="60">
        <f ca="1">AVERAGE(OFFSET($AM$3,0,0,'Données projet'!$E$10+1,1))-AVERAGE(OFFSET($H$3,0,0,'Données projet'!$E$10+1,1))</f>
        <v>323.1883858932618</v>
      </c>
      <c r="AO182" s="60">
        <f t="shared" si="144"/>
        <v>313.39536932399085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2.2737367544323206E-13</v>
      </c>
      <c r="BE182" s="14">
        <f>BD182*VLOOKUP('Données projet'!$B$11,Paramètres!$A$1:$I$89,3,0)*VLOOKUP('Données projet'!$B$11,Paramètres!$A$1:$I$89,5,0)</f>
        <v>1.6671037883497774E-13</v>
      </c>
      <c r="BF182" s="14">
        <f t="shared" si="167"/>
        <v>2.3598166018346595E-12</v>
      </c>
      <c r="BG182" s="22">
        <f t="shared" si="168"/>
        <v>4.400367824666284E-12</v>
      </c>
      <c r="BH182" s="60">
        <f t="shared" si="116"/>
        <v>289.3358747341415</v>
      </c>
      <c r="BI182" s="60">
        <f ca="1">AVERAGE(OFFSET($BH$3,0,0,'Données projet'!$E$11+1,1))-AVERAGE(OFFSET($H$3,0,0,'Données projet'!$E$11+1,1))</f>
        <v>302.52480941204414</v>
      </c>
      <c r="BJ182" s="60">
        <f t="shared" si="146"/>
        <v>293.66452856196088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-8.1404323282185943E-13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442.98179778678298</v>
      </c>
      <c r="CE182" s="60">
        <f t="shared" si="148"/>
        <v>251.96153561746942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10.256410256410078</v>
      </c>
      <c r="CU182" s="18">
        <f>CT182*VLOOKUP('Données projet'!$B$13,Paramètres!$A$1:$I$89,3,0)*VLOOKUP('Données projet'!$B$13,Paramètres!$A$1:$I$89,5,0)</f>
        <v>9.7599999999998293</v>
      </c>
      <c r="CV182" s="14">
        <f t="shared" si="173"/>
        <v>3.4500860232767008</v>
      </c>
      <c r="CW182" s="22">
        <f t="shared" si="174"/>
        <v>23.007566490539954</v>
      </c>
      <c r="CX182" s="60">
        <f t="shared" si="122"/>
        <v>312.34344122467706</v>
      </c>
      <c r="CY182" s="60">
        <f ca="1">AVERAGE(OFFSET($CX$3,0,0,'Données projet'!$E$13+1,1))-AVERAGE(OFFSET($H$3,0,0,'Données projet'!$E$13+1,1))</f>
        <v>388.53310909800695</v>
      </c>
      <c r="CZ182" s="60">
        <f t="shared" si="150"/>
        <v>263.82153161042811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469.67944008675863</v>
      </c>
      <c r="T183" s="60">
        <f t="shared" si="142"/>
        <v>266.11908070867173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1.8089849618263545E-13</v>
      </c>
      <c r="AK183" s="14">
        <f t="shared" si="164"/>
        <v>2.536422473342444E-12</v>
      </c>
      <c r="AL183" s="22">
        <f t="shared" si="165"/>
        <v>4.7326673552561798E-12</v>
      </c>
      <c r="AM183" s="60">
        <f t="shared" si="113"/>
        <v>289.40522170385935</v>
      </c>
      <c r="AN183" s="60">
        <f ca="1">AVERAGE(OFFSET($AM$3,0,0,'Données projet'!$E$10+1,1))-AVERAGE(OFFSET($H$3,0,0,'Données projet'!$E$10+1,1))</f>
        <v>323.1883858932618</v>
      </c>
      <c r="AO183" s="60">
        <f t="shared" si="144"/>
        <v>313.39536932399085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2.2737367544323206E-13</v>
      </c>
      <c r="BE183" s="14">
        <f>BD183*VLOOKUP('Données projet'!$B$11,Paramètres!$A$1:$I$89,3,0)*VLOOKUP('Données projet'!$B$11,Paramètres!$A$1:$I$89,5,0)</f>
        <v>1.6671037883497774E-13</v>
      </c>
      <c r="BF183" s="14">
        <f t="shared" si="167"/>
        <v>2.3598166018346595E-12</v>
      </c>
      <c r="BG183" s="22">
        <f t="shared" si="168"/>
        <v>4.400367824666284E-12</v>
      </c>
      <c r="BH183" s="60">
        <f t="shared" si="116"/>
        <v>289.40522170385901</v>
      </c>
      <c r="BI183" s="60">
        <f ca="1">AVERAGE(OFFSET($BH$3,0,0,'Données projet'!$E$11+1,1))-AVERAGE(OFFSET($H$3,0,0,'Données projet'!$E$11+1,1))</f>
        <v>302.52480941204414</v>
      </c>
      <c r="BJ183" s="60">
        <f t="shared" si="146"/>
        <v>293.66452856196088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-8.1404323282185943E-13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442.98179778678298</v>
      </c>
      <c r="CE183" s="60">
        <f t="shared" si="148"/>
        <v>251.96153561746942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10.256410256410078</v>
      </c>
      <c r="CU183" s="18">
        <f>CT183*VLOOKUP('Données projet'!$B$13,Paramètres!$A$1:$I$89,3,0)*VLOOKUP('Données projet'!$B$13,Paramètres!$A$1:$I$89,5,0)</f>
        <v>9.7599999999998293</v>
      </c>
      <c r="CV183" s="14">
        <f t="shared" si="173"/>
        <v>3.4500860232767008</v>
      </c>
      <c r="CW183" s="22">
        <f t="shared" si="174"/>
        <v>23.007566490539954</v>
      </c>
      <c r="CX183" s="60">
        <f t="shared" si="122"/>
        <v>312.41278819439458</v>
      </c>
      <c r="CY183" s="60">
        <f ca="1">AVERAGE(OFFSET($CX$3,0,0,'Données projet'!$E$13+1,1))-AVERAGE(OFFSET($H$3,0,0,'Données projet'!$E$13+1,1))</f>
        <v>388.53310909800695</v>
      </c>
      <c r="CZ183" s="60">
        <f t="shared" si="150"/>
        <v>263.82153161042811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469.67944008675863</v>
      </c>
      <c r="T184" s="60">
        <f t="shared" si="142"/>
        <v>266.11908070867173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1.8089849618263545E-13</v>
      </c>
      <c r="AK184" s="14">
        <f t="shared" si="164"/>
        <v>2.536422473342444E-12</v>
      </c>
      <c r="AL184" s="22">
        <f t="shared" si="165"/>
        <v>4.7326673552561798E-12</v>
      </c>
      <c r="AM184" s="60">
        <f t="shared" si="113"/>
        <v>289.47336565868881</v>
      </c>
      <c r="AN184" s="60">
        <f ca="1">AVERAGE(OFFSET($AM$3,0,0,'Données projet'!$E$10+1,1))-AVERAGE(OFFSET($H$3,0,0,'Données projet'!$E$10+1,1))</f>
        <v>323.1883858932618</v>
      </c>
      <c r="AO184" s="60">
        <f t="shared" si="144"/>
        <v>313.39536932399085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2.2737367544323206E-13</v>
      </c>
      <c r="BE184" s="14">
        <f>BD184*VLOOKUP('Données projet'!$B$11,Paramètres!$A$1:$I$89,3,0)*VLOOKUP('Données projet'!$B$11,Paramètres!$A$1:$I$89,5,0)</f>
        <v>1.6671037883497774E-13</v>
      </c>
      <c r="BF184" s="14">
        <f t="shared" si="167"/>
        <v>2.3598166018346595E-12</v>
      </c>
      <c r="BG184" s="22">
        <f t="shared" si="168"/>
        <v>4.400367824666284E-12</v>
      </c>
      <c r="BH184" s="60">
        <f t="shared" si="116"/>
        <v>289.47336565868846</v>
      </c>
      <c r="BI184" s="60">
        <f ca="1">AVERAGE(OFFSET($BH$3,0,0,'Données projet'!$E$11+1,1))-AVERAGE(OFFSET($H$3,0,0,'Données projet'!$E$11+1,1))</f>
        <v>302.52480941204414</v>
      </c>
      <c r="BJ184" s="60">
        <f t="shared" si="146"/>
        <v>293.66452856196088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-8.1404323282185943E-13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442.98179778678298</v>
      </c>
      <c r="CE184" s="60">
        <f t="shared" si="148"/>
        <v>251.96153561746942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10.256410256410078</v>
      </c>
      <c r="CU184" s="18">
        <f>CT184*VLOOKUP('Données projet'!$B$13,Paramètres!$A$1:$I$89,3,0)*VLOOKUP('Données projet'!$B$13,Paramètres!$A$1:$I$89,5,0)</f>
        <v>9.7599999999998293</v>
      </c>
      <c r="CV184" s="14">
        <f t="shared" si="173"/>
        <v>3.4500860232767008</v>
      </c>
      <c r="CW184" s="22">
        <f t="shared" si="174"/>
        <v>23.007566490539954</v>
      </c>
      <c r="CX184" s="60">
        <f t="shared" si="122"/>
        <v>312.48093214922403</v>
      </c>
      <c r="CY184" s="60">
        <f ca="1">AVERAGE(OFFSET($CX$3,0,0,'Données projet'!$E$13+1,1))-AVERAGE(OFFSET($H$3,0,0,'Données projet'!$E$13+1,1))</f>
        <v>388.53310909800695</v>
      </c>
      <c r="CZ184" s="60">
        <f t="shared" si="150"/>
        <v>263.82153161042811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469.67944008675863</v>
      </c>
      <c r="T185" s="60">
        <f t="shared" si="142"/>
        <v>266.11908070867173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1.8089849618263545E-13</v>
      </c>
      <c r="AK185" s="14">
        <f t="shared" si="164"/>
        <v>2.536422473342444E-12</v>
      </c>
      <c r="AL185" s="22">
        <f t="shared" si="165"/>
        <v>4.7326673552561798E-12</v>
      </c>
      <c r="AM185" s="60">
        <f t="shared" si="113"/>
        <v>289.54032746824913</v>
      </c>
      <c r="AN185" s="60">
        <f ca="1">AVERAGE(OFFSET($AM$3,0,0,'Données projet'!$E$10+1,1))-AVERAGE(OFFSET($H$3,0,0,'Données projet'!$E$10+1,1))</f>
        <v>323.1883858932618</v>
      </c>
      <c r="AO185" s="60">
        <f t="shared" si="144"/>
        <v>313.39536932399085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2.2737367544323206E-13</v>
      </c>
      <c r="BE185" s="14">
        <f>BD185*VLOOKUP('Données projet'!$B$11,Paramètres!$A$1:$I$89,3,0)*VLOOKUP('Données projet'!$B$11,Paramètres!$A$1:$I$89,5,0)</f>
        <v>1.6671037883497774E-13</v>
      </c>
      <c r="BF185" s="14">
        <f t="shared" si="167"/>
        <v>2.3598166018346595E-12</v>
      </c>
      <c r="BG185" s="22">
        <f t="shared" si="168"/>
        <v>4.400367824666284E-12</v>
      </c>
      <c r="BH185" s="60">
        <f t="shared" si="116"/>
        <v>289.54032746824879</v>
      </c>
      <c r="BI185" s="60">
        <f ca="1">AVERAGE(OFFSET($BH$3,0,0,'Données projet'!$E$11+1,1))-AVERAGE(OFFSET($H$3,0,0,'Données projet'!$E$11+1,1))</f>
        <v>302.52480941204414</v>
      </c>
      <c r="BJ185" s="60">
        <f t="shared" si="146"/>
        <v>293.66452856196088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-8.1404323282185943E-13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442.98179778678298</v>
      </c>
      <c r="CE185" s="60">
        <f t="shared" si="148"/>
        <v>251.96153561746942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10.256410256410078</v>
      </c>
      <c r="CU185" s="18">
        <f>CT185*VLOOKUP('Données projet'!$B$13,Paramètres!$A$1:$I$89,3,0)*VLOOKUP('Données projet'!$B$13,Paramètres!$A$1:$I$89,5,0)</f>
        <v>9.7599999999998293</v>
      </c>
      <c r="CV185" s="14">
        <f t="shared" si="173"/>
        <v>3.4500860232767008</v>
      </c>
      <c r="CW185" s="22">
        <f t="shared" si="174"/>
        <v>23.007566490539954</v>
      </c>
      <c r="CX185" s="60">
        <f t="shared" si="122"/>
        <v>312.54789395878436</v>
      </c>
      <c r="CY185" s="60">
        <f ca="1">AVERAGE(OFFSET($CX$3,0,0,'Données projet'!$E$13+1,1))-AVERAGE(OFFSET($H$3,0,0,'Données projet'!$E$13+1,1))</f>
        <v>388.53310909800695</v>
      </c>
      <c r="CZ185" s="60">
        <f t="shared" si="150"/>
        <v>263.82153161042811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469.67944008675863</v>
      </c>
      <c r="T186" s="60">
        <f t="shared" si="142"/>
        <v>266.11908070867173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1.8089849618263545E-13</v>
      </c>
      <c r="AK186" s="14">
        <f t="shared" si="164"/>
        <v>2.536422473342444E-12</v>
      </c>
      <c r="AL186" s="22">
        <f t="shared" si="165"/>
        <v>4.7326673552561798E-12</v>
      </c>
      <c r="AM186" s="60">
        <f t="shared" si="113"/>
        <v>289.60612764011768</v>
      </c>
      <c r="AN186" s="60">
        <f ca="1">AVERAGE(OFFSET($AM$3,0,0,'Données projet'!$E$10+1,1))-AVERAGE(OFFSET($H$3,0,0,'Données projet'!$E$10+1,1))</f>
        <v>323.1883858932618</v>
      </c>
      <c r="AO186" s="60">
        <f t="shared" si="144"/>
        <v>313.39536932399085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2.2737367544323206E-13</v>
      </c>
      <c r="BE186" s="14">
        <f>BD186*VLOOKUP('Données projet'!$B$11,Paramètres!$A$1:$I$89,3,0)*VLOOKUP('Données projet'!$B$11,Paramètres!$A$1:$I$89,5,0)</f>
        <v>1.6671037883497774E-13</v>
      </c>
      <c r="BF186" s="14">
        <f t="shared" si="167"/>
        <v>2.3598166018346595E-12</v>
      </c>
      <c r="BG186" s="22">
        <f t="shared" si="168"/>
        <v>4.400367824666284E-12</v>
      </c>
      <c r="BH186" s="60">
        <f t="shared" si="116"/>
        <v>289.60612764011734</v>
      </c>
      <c r="BI186" s="60">
        <f ca="1">AVERAGE(OFFSET($BH$3,0,0,'Données projet'!$E$11+1,1))-AVERAGE(OFFSET($H$3,0,0,'Données projet'!$E$11+1,1))</f>
        <v>302.52480941204414</v>
      </c>
      <c r="BJ186" s="60">
        <f t="shared" si="146"/>
        <v>293.66452856196088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-8.1404323282185943E-13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442.98179778678298</v>
      </c>
      <c r="CE186" s="60">
        <f t="shared" si="148"/>
        <v>251.96153561746942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10.256410256410078</v>
      </c>
      <c r="CU186" s="18">
        <f>CT186*VLOOKUP('Données projet'!$B$13,Paramètres!$A$1:$I$89,3,0)*VLOOKUP('Données projet'!$B$13,Paramètres!$A$1:$I$89,5,0)</f>
        <v>9.7599999999998293</v>
      </c>
      <c r="CV186" s="14">
        <f t="shared" si="173"/>
        <v>3.4500860232767008</v>
      </c>
      <c r="CW186" s="22">
        <f t="shared" si="174"/>
        <v>23.007566490539954</v>
      </c>
      <c r="CX186" s="60">
        <f t="shared" si="122"/>
        <v>312.6136941306529</v>
      </c>
      <c r="CY186" s="60">
        <f ca="1">AVERAGE(OFFSET($CX$3,0,0,'Données projet'!$E$13+1,1))-AVERAGE(OFFSET($H$3,0,0,'Données projet'!$E$13+1,1))</f>
        <v>388.53310909800695</v>
      </c>
      <c r="CZ186" s="60">
        <f t="shared" si="150"/>
        <v>263.82153161042811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469.67944008675863</v>
      </c>
      <c r="T187" s="60">
        <f t="shared" si="142"/>
        <v>266.11908070867173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1.8089849618263545E-13</v>
      </c>
      <c r="AK187" s="14">
        <f t="shared" si="164"/>
        <v>2.536422473342444E-12</v>
      </c>
      <c r="AL187" s="22">
        <f t="shared" si="165"/>
        <v>4.7326673552561798E-12</v>
      </c>
      <c r="AM187" s="60">
        <f t="shared" si="113"/>
        <v>289.67078632611145</v>
      </c>
      <c r="AN187" s="60">
        <f ca="1">AVERAGE(OFFSET($AM$3,0,0,'Données projet'!$E$10+1,1))-AVERAGE(OFFSET($H$3,0,0,'Données projet'!$E$10+1,1))</f>
        <v>323.1883858932618</v>
      </c>
      <c r="AO187" s="60">
        <f t="shared" si="144"/>
        <v>313.39536932399085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2.2737367544323206E-13</v>
      </c>
      <c r="BE187" s="14">
        <f>BD187*VLOOKUP('Données projet'!$B$11,Paramètres!$A$1:$I$89,3,0)*VLOOKUP('Données projet'!$B$11,Paramètres!$A$1:$I$89,5,0)</f>
        <v>1.6671037883497774E-13</v>
      </c>
      <c r="BF187" s="14">
        <f t="shared" si="167"/>
        <v>2.3598166018346595E-12</v>
      </c>
      <c r="BG187" s="22">
        <f t="shared" si="168"/>
        <v>4.400367824666284E-12</v>
      </c>
      <c r="BH187" s="60">
        <f t="shared" si="116"/>
        <v>289.67078632611111</v>
      </c>
      <c r="BI187" s="60">
        <f ca="1">AVERAGE(OFFSET($BH$3,0,0,'Données projet'!$E$11+1,1))-AVERAGE(OFFSET($H$3,0,0,'Données projet'!$E$11+1,1))</f>
        <v>302.52480941204414</v>
      </c>
      <c r="BJ187" s="60">
        <f t="shared" si="146"/>
        <v>293.66452856196088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-8.1404323282185943E-13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442.98179778678298</v>
      </c>
      <c r="CE187" s="60">
        <f t="shared" si="148"/>
        <v>251.96153561746942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10.256410256410078</v>
      </c>
      <c r="CU187" s="18">
        <f>CT187*VLOOKUP('Données projet'!$B$13,Paramètres!$A$1:$I$89,3,0)*VLOOKUP('Données projet'!$B$13,Paramètres!$A$1:$I$89,5,0)</f>
        <v>9.7599999999998293</v>
      </c>
      <c r="CV187" s="14">
        <f t="shared" si="173"/>
        <v>3.4500860232767008</v>
      </c>
      <c r="CW187" s="22">
        <f t="shared" si="174"/>
        <v>23.007566490539954</v>
      </c>
      <c r="CX187" s="60">
        <f t="shared" si="122"/>
        <v>312.67835281664668</v>
      </c>
      <c r="CY187" s="60">
        <f ca="1">AVERAGE(OFFSET($CX$3,0,0,'Données projet'!$E$13+1,1))-AVERAGE(OFFSET($H$3,0,0,'Données projet'!$E$13+1,1))</f>
        <v>388.53310909800695</v>
      </c>
      <c r="CZ187" s="60">
        <f t="shared" si="150"/>
        <v>263.82153161042811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469.67944008675863</v>
      </c>
      <c r="T188" s="60">
        <f t="shared" si="142"/>
        <v>266.11908070867173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1.8089849618263545E-13</v>
      </c>
      <c r="AK188" s="14">
        <f t="shared" si="164"/>
        <v>2.536422473342444E-12</v>
      </c>
      <c r="AL188" s="22">
        <f t="shared" si="165"/>
        <v>4.7326673552561798E-12</v>
      </c>
      <c r="AM188" s="60">
        <f t="shared" si="113"/>
        <v>289.73432332845846</v>
      </c>
      <c r="AN188" s="60">
        <f ca="1">AVERAGE(OFFSET($AM$3,0,0,'Données projet'!$E$10+1,1))-AVERAGE(OFFSET($H$3,0,0,'Données projet'!$E$10+1,1))</f>
        <v>323.1883858932618</v>
      </c>
      <c r="AO188" s="60">
        <f t="shared" si="144"/>
        <v>313.39536932399085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2.2737367544323206E-13</v>
      </c>
      <c r="BE188" s="14">
        <f>BD188*VLOOKUP('Données projet'!$B$11,Paramètres!$A$1:$I$89,3,0)*VLOOKUP('Données projet'!$B$11,Paramètres!$A$1:$I$89,5,0)</f>
        <v>1.6671037883497774E-13</v>
      </c>
      <c r="BF188" s="14">
        <f t="shared" si="167"/>
        <v>2.3598166018346595E-12</v>
      </c>
      <c r="BG188" s="22">
        <f t="shared" si="168"/>
        <v>4.400367824666284E-12</v>
      </c>
      <c r="BH188" s="60">
        <f t="shared" si="116"/>
        <v>289.73432332845812</v>
      </c>
      <c r="BI188" s="60">
        <f ca="1">AVERAGE(OFFSET($BH$3,0,0,'Données projet'!$E$11+1,1))-AVERAGE(OFFSET($H$3,0,0,'Données projet'!$E$11+1,1))</f>
        <v>302.52480941204414</v>
      </c>
      <c r="BJ188" s="60">
        <f t="shared" si="146"/>
        <v>293.66452856196088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-8.1404323282185943E-13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442.98179778678298</v>
      </c>
      <c r="CE188" s="60">
        <f t="shared" si="148"/>
        <v>251.96153561746942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10.256410256410078</v>
      </c>
      <c r="CU188" s="18">
        <f>CT188*VLOOKUP('Données projet'!$B$13,Paramètres!$A$1:$I$89,3,0)*VLOOKUP('Données projet'!$B$13,Paramètres!$A$1:$I$89,5,0)</f>
        <v>9.7599999999998293</v>
      </c>
      <c r="CV188" s="14">
        <f t="shared" si="173"/>
        <v>3.4500860232767008</v>
      </c>
      <c r="CW188" s="22">
        <f t="shared" si="174"/>
        <v>23.007566490539954</v>
      </c>
      <c r="CX188" s="60">
        <f t="shared" si="122"/>
        <v>312.74188981899368</v>
      </c>
      <c r="CY188" s="60">
        <f ca="1">AVERAGE(OFFSET($CX$3,0,0,'Données projet'!$E$13+1,1))-AVERAGE(OFFSET($H$3,0,0,'Données projet'!$E$13+1,1))</f>
        <v>388.53310909800695</v>
      </c>
      <c r="CZ188" s="60">
        <f t="shared" si="150"/>
        <v>263.82153161042811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469.67944008675863</v>
      </c>
      <c r="T189" s="60">
        <f t="shared" si="142"/>
        <v>266.11908070867173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1.8089849618263545E-13</v>
      </c>
      <c r="AK189" s="14">
        <f t="shared" si="164"/>
        <v>2.536422473342444E-12</v>
      </c>
      <c r="AL189" s="22">
        <f t="shared" si="165"/>
        <v>4.7326673552561798E-12</v>
      </c>
      <c r="AM189" s="60">
        <f t="shared" si="113"/>
        <v>289.79675810586212</v>
      </c>
      <c r="AN189" s="60">
        <f ca="1">AVERAGE(OFFSET($AM$3,0,0,'Données projet'!$E$10+1,1))-AVERAGE(OFFSET($H$3,0,0,'Données projet'!$E$10+1,1))</f>
        <v>323.1883858932618</v>
      </c>
      <c r="AO189" s="60">
        <f t="shared" si="144"/>
        <v>313.39536932399085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2.2737367544323206E-13</v>
      </c>
      <c r="BE189" s="14">
        <f>BD189*VLOOKUP('Données projet'!$B$11,Paramètres!$A$1:$I$89,3,0)*VLOOKUP('Données projet'!$B$11,Paramètres!$A$1:$I$89,5,0)</f>
        <v>1.6671037883497774E-13</v>
      </c>
      <c r="BF189" s="14">
        <f t="shared" si="167"/>
        <v>2.3598166018346595E-12</v>
      </c>
      <c r="BG189" s="22">
        <f t="shared" si="168"/>
        <v>4.400367824666284E-12</v>
      </c>
      <c r="BH189" s="60">
        <f t="shared" si="116"/>
        <v>289.79675810586178</v>
      </c>
      <c r="BI189" s="60">
        <f ca="1">AVERAGE(OFFSET($BH$3,0,0,'Données projet'!$E$11+1,1))-AVERAGE(OFFSET($H$3,0,0,'Données projet'!$E$11+1,1))</f>
        <v>302.52480941204414</v>
      </c>
      <c r="BJ189" s="60">
        <f t="shared" si="146"/>
        <v>293.66452856196088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-8.1404323282185943E-13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442.98179778678298</v>
      </c>
      <c r="CE189" s="60">
        <f t="shared" si="148"/>
        <v>251.96153561746942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10.256410256410078</v>
      </c>
      <c r="CU189" s="18">
        <f>CT189*VLOOKUP('Données projet'!$B$13,Paramètres!$A$1:$I$89,3,0)*VLOOKUP('Données projet'!$B$13,Paramètres!$A$1:$I$89,5,0)</f>
        <v>9.7599999999998293</v>
      </c>
      <c r="CV189" s="14">
        <f t="shared" si="173"/>
        <v>3.4500860232767008</v>
      </c>
      <c r="CW189" s="22">
        <f t="shared" si="174"/>
        <v>23.007566490539954</v>
      </c>
      <c r="CX189" s="60">
        <f t="shared" si="122"/>
        <v>312.80432459639735</v>
      </c>
      <c r="CY189" s="60">
        <f ca="1">AVERAGE(OFFSET($CX$3,0,0,'Données projet'!$E$13+1,1))-AVERAGE(OFFSET($H$3,0,0,'Données projet'!$E$13+1,1))</f>
        <v>388.53310909800695</v>
      </c>
      <c r="CZ189" s="60">
        <f t="shared" si="150"/>
        <v>263.82153161042811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469.67944008675863</v>
      </c>
      <c r="T190" s="60">
        <f t="shared" si="142"/>
        <v>266.11908070867173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1.8089849618263545E-13</v>
      </c>
      <c r="AK190" s="14">
        <f t="shared" si="164"/>
        <v>2.536422473342444E-12</v>
      </c>
      <c r="AL190" s="22">
        <f t="shared" si="165"/>
        <v>4.7326673552561798E-12</v>
      </c>
      <c r="AM190" s="60">
        <f t="shared" si="113"/>
        <v>289.85810977946113</v>
      </c>
      <c r="AN190" s="60">
        <f ca="1">AVERAGE(OFFSET($AM$3,0,0,'Données projet'!$E$10+1,1))-AVERAGE(OFFSET($H$3,0,0,'Données projet'!$E$10+1,1))</f>
        <v>323.1883858932618</v>
      </c>
      <c r="AO190" s="60">
        <f t="shared" si="144"/>
        <v>313.39536932399085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2.2737367544323206E-13</v>
      </c>
      <c r="BE190" s="14">
        <f>BD190*VLOOKUP('Données projet'!$B$11,Paramètres!$A$1:$I$89,3,0)*VLOOKUP('Données projet'!$B$11,Paramètres!$A$1:$I$89,5,0)</f>
        <v>1.6671037883497774E-13</v>
      </c>
      <c r="BF190" s="14">
        <f t="shared" si="167"/>
        <v>2.3598166018346595E-12</v>
      </c>
      <c r="BG190" s="22">
        <f t="shared" si="168"/>
        <v>4.400367824666284E-12</v>
      </c>
      <c r="BH190" s="60">
        <f t="shared" si="116"/>
        <v>289.85810977946079</v>
      </c>
      <c r="BI190" s="60">
        <f ca="1">AVERAGE(OFFSET($BH$3,0,0,'Données projet'!$E$11+1,1))-AVERAGE(OFFSET($H$3,0,0,'Données projet'!$E$11+1,1))</f>
        <v>302.52480941204414</v>
      </c>
      <c r="BJ190" s="60">
        <f t="shared" si="146"/>
        <v>293.66452856196088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-8.1404323282185943E-13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442.98179778678298</v>
      </c>
      <c r="CE190" s="60">
        <f t="shared" si="148"/>
        <v>251.96153561746942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10.256410256410078</v>
      </c>
      <c r="CU190" s="18">
        <f>CT190*VLOOKUP('Données projet'!$B$13,Paramètres!$A$1:$I$89,3,0)*VLOOKUP('Données projet'!$B$13,Paramètres!$A$1:$I$89,5,0)</f>
        <v>9.7599999999998293</v>
      </c>
      <c r="CV190" s="14">
        <f t="shared" si="173"/>
        <v>3.4500860232767008</v>
      </c>
      <c r="CW190" s="22">
        <f t="shared" si="174"/>
        <v>23.007566490539954</v>
      </c>
      <c r="CX190" s="60">
        <f t="shared" si="122"/>
        <v>312.86567626999636</v>
      </c>
      <c r="CY190" s="60">
        <f ca="1">AVERAGE(OFFSET($CX$3,0,0,'Données projet'!$E$13+1,1))-AVERAGE(OFFSET($H$3,0,0,'Données projet'!$E$13+1,1))</f>
        <v>388.53310909800695</v>
      </c>
      <c r="CZ190" s="60">
        <f t="shared" si="150"/>
        <v>263.82153161042811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469.67944008675863</v>
      </c>
      <c r="T191" s="60">
        <f t="shared" si="142"/>
        <v>266.11908070867173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1.8089849618263545E-13</v>
      </c>
      <c r="AK191" s="14">
        <f t="shared" si="164"/>
        <v>2.536422473342444E-12</v>
      </c>
      <c r="AL191" s="22">
        <f t="shared" si="165"/>
        <v>4.7326673552561798E-12</v>
      </c>
      <c r="AM191" s="60">
        <f t="shared" si="113"/>
        <v>289.91839713868495</v>
      </c>
      <c r="AN191" s="60">
        <f ca="1">AVERAGE(OFFSET($AM$3,0,0,'Données projet'!$E$10+1,1))-AVERAGE(OFFSET($H$3,0,0,'Données projet'!$E$10+1,1))</f>
        <v>323.1883858932618</v>
      </c>
      <c r="AO191" s="60">
        <f t="shared" si="144"/>
        <v>313.39536932399085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2.2737367544323206E-13</v>
      </c>
      <c r="BE191" s="14">
        <f>BD191*VLOOKUP('Données projet'!$B$11,Paramètres!$A$1:$I$89,3,0)*VLOOKUP('Données projet'!$B$11,Paramètres!$A$1:$I$89,5,0)</f>
        <v>1.6671037883497774E-13</v>
      </c>
      <c r="BF191" s="14">
        <f t="shared" si="167"/>
        <v>2.3598166018346595E-12</v>
      </c>
      <c r="BG191" s="22">
        <f t="shared" si="168"/>
        <v>4.400367824666284E-12</v>
      </c>
      <c r="BH191" s="60">
        <f t="shared" si="116"/>
        <v>289.91839713868461</v>
      </c>
      <c r="BI191" s="60">
        <f ca="1">AVERAGE(OFFSET($BH$3,0,0,'Données projet'!$E$11+1,1))-AVERAGE(OFFSET($H$3,0,0,'Données projet'!$E$11+1,1))</f>
        <v>302.52480941204414</v>
      </c>
      <c r="BJ191" s="60">
        <f t="shared" si="146"/>
        <v>293.66452856196088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-8.1404323282185943E-13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442.98179778678298</v>
      </c>
      <c r="CE191" s="60">
        <f t="shared" si="148"/>
        <v>251.96153561746942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10.256410256410078</v>
      </c>
      <c r="CU191" s="18">
        <f>CT191*VLOOKUP('Données projet'!$B$13,Paramètres!$A$1:$I$89,3,0)*VLOOKUP('Données projet'!$B$13,Paramètres!$A$1:$I$89,5,0)</f>
        <v>9.7599999999998293</v>
      </c>
      <c r="CV191" s="14">
        <f t="shared" si="173"/>
        <v>3.4500860232767008</v>
      </c>
      <c r="CW191" s="22">
        <f t="shared" si="174"/>
        <v>23.007566490539954</v>
      </c>
      <c r="CX191" s="60">
        <f t="shared" si="122"/>
        <v>312.92596362922018</v>
      </c>
      <c r="CY191" s="60">
        <f ca="1">AVERAGE(OFFSET($CX$3,0,0,'Données projet'!$E$13+1,1))-AVERAGE(OFFSET($H$3,0,0,'Données projet'!$E$13+1,1))</f>
        <v>388.53310909800695</v>
      </c>
      <c r="CZ191" s="60">
        <f t="shared" si="150"/>
        <v>263.82153161042811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469.67944008675863</v>
      </c>
      <c r="T192" s="60">
        <f t="shared" si="142"/>
        <v>266.11908070867173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1.8089849618263545E-13</v>
      </c>
      <c r="AK192" s="14">
        <f t="shared" si="164"/>
        <v>2.536422473342444E-12</v>
      </c>
      <c r="AL192" s="22">
        <f t="shared" si="165"/>
        <v>4.7326673552561798E-12</v>
      </c>
      <c r="AM192" s="60">
        <f t="shared" si="113"/>
        <v>289.97763864700858</v>
      </c>
      <c r="AN192" s="60">
        <f ca="1">AVERAGE(OFFSET($AM$3,0,0,'Données projet'!$E$10+1,1))-AVERAGE(OFFSET($H$3,0,0,'Données projet'!$E$10+1,1))</f>
        <v>323.1883858932618</v>
      </c>
      <c r="AO192" s="60">
        <f t="shared" si="144"/>
        <v>313.39536932399085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2.2737367544323206E-13</v>
      </c>
      <c r="BE192" s="14">
        <f>BD192*VLOOKUP('Données projet'!$B$11,Paramètres!$A$1:$I$89,3,0)*VLOOKUP('Données projet'!$B$11,Paramètres!$A$1:$I$89,5,0)</f>
        <v>1.6671037883497774E-13</v>
      </c>
      <c r="BF192" s="14">
        <f t="shared" si="167"/>
        <v>2.3598166018346595E-12</v>
      </c>
      <c r="BG192" s="22">
        <f t="shared" si="168"/>
        <v>4.400367824666284E-12</v>
      </c>
      <c r="BH192" s="60">
        <f t="shared" si="116"/>
        <v>289.97763864700823</v>
      </c>
      <c r="BI192" s="60">
        <f ca="1">AVERAGE(OFFSET($BH$3,0,0,'Données projet'!$E$11+1,1))-AVERAGE(OFFSET($H$3,0,0,'Données projet'!$E$11+1,1))</f>
        <v>302.52480941204414</v>
      </c>
      <c r="BJ192" s="60">
        <f t="shared" si="146"/>
        <v>293.66452856196088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-8.1404323282185943E-13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442.98179778678298</v>
      </c>
      <c r="CE192" s="60">
        <f t="shared" si="148"/>
        <v>251.96153561746942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10.256410256410078</v>
      </c>
      <c r="CU192" s="18">
        <f>CT192*VLOOKUP('Données projet'!$B$13,Paramètres!$A$1:$I$89,3,0)*VLOOKUP('Données projet'!$B$13,Paramètres!$A$1:$I$89,5,0)</f>
        <v>9.7599999999998293</v>
      </c>
      <c r="CV192" s="14">
        <f t="shared" si="173"/>
        <v>3.4500860232767008</v>
      </c>
      <c r="CW192" s="22">
        <f t="shared" si="174"/>
        <v>23.007566490539954</v>
      </c>
      <c r="CX192" s="60">
        <f t="shared" si="122"/>
        <v>312.9852051375438</v>
      </c>
      <c r="CY192" s="60">
        <f ca="1">AVERAGE(OFFSET($CX$3,0,0,'Données projet'!$E$13+1,1))-AVERAGE(OFFSET($H$3,0,0,'Données projet'!$E$13+1,1))</f>
        <v>388.53310909800695</v>
      </c>
      <c r="CZ192" s="60">
        <f t="shared" si="150"/>
        <v>263.82153161042811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469.67944008675863</v>
      </c>
      <c r="T193" s="60">
        <f t="shared" si="142"/>
        <v>266.11908070867173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1.8089849618263545E-13</v>
      </c>
      <c r="AK193" s="14">
        <f t="shared" si="164"/>
        <v>2.536422473342444E-12</v>
      </c>
      <c r="AL193" s="22">
        <f t="shared" si="165"/>
        <v>4.7326673552561798E-12</v>
      </c>
      <c r="AM193" s="60">
        <f t="shared" si="113"/>
        <v>290.035852447607</v>
      </c>
      <c r="AN193" s="60">
        <f ca="1">AVERAGE(OFFSET($AM$3,0,0,'Données projet'!$E$10+1,1))-AVERAGE(OFFSET($H$3,0,0,'Données projet'!$E$10+1,1))</f>
        <v>323.1883858932618</v>
      </c>
      <c r="AO193" s="60">
        <f t="shared" si="144"/>
        <v>313.39536932399085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2.2737367544323206E-13</v>
      </c>
      <c r="BE193" s="14">
        <f>BD193*VLOOKUP('Données projet'!$B$11,Paramètres!$A$1:$I$89,3,0)*VLOOKUP('Données projet'!$B$11,Paramètres!$A$1:$I$89,5,0)</f>
        <v>1.6671037883497774E-13</v>
      </c>
      <c r="BF193" s="14">
        <f t="shared" si="167"/>
        <v>2.3598166018346595E-12</v>
      </c>
      <c r="BG193" s="22">
        <f t="shared" si="168"/>
        <v>4.400367824666284E-12</v>
      </c>
      <c r="BH193" s="60">
        <f t="shared" si="116"/>
        <v>290.03585244760666</v>
      </c>
      <c r="BI193" s="60">
        <f ca="1">AVERAGE(OFFSET($BH$3,0,0,'Données projet'!$E$11+1,1))-AVERAGE(OFFSET($H$3,0,0,'Données projet'!$E$11+1,1))</f>
        <v>302.52480941204414</v>
      </c>
      <c r="BJ193" s="60">
        <f t="shared" si="146"/>
        <v>293.66452856196088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-8.1404323282185943E-13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442.98179778678298</v>
      </c>
      <c r="CE193" s="60">
        <f t="shared" si="148"/>
        <v>251.96153561746942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10.256410256410078</v>
      </c>
      <c r="CU193" s="18">
        <f>CT193*VLOOKUP('Données projet'!$B$13,Paramètres!$A$1:$I$89,3,0)*VLOOKUP('Données projet'!$B$13,Paramètres!$A$1:$I$89,5,0)</f>
        <v>9.7599999999998293</v>
      </c>
      <c r="CV193" s="14">
        <f t="shared" si="173"/>
        <v>3.4500860232767008</v>
      </c>
      <c r="CW193" s="22">
        <f t="shared" si="174"/>
        <v>23.007566490539954</v>
      </c>
      <c r="CX193" s="60">
        <f t="shared" si="122"/>
        <v>313.04341893814222</v>
      </c>
      <c r="CY193" s="60">
        <f ca="1">AVERAGE(OFFSET($CX$3,0,0,'Données projet'!$E$13+1,1))-AVERAGE(OFFSET($H$3,0,0,'Données projet'!$E$13+1,1))</f>
        <v>388.53310909800695</v>
      </c>
      <c r="CZ193" s="60">
        <f t="shared" si="150"/>
        <v>263.82153161042811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469.67944008675863</v>
      </c>
      <c r="T194" s="60">
        <f t="shared" si="142"/>
        <v>266.11908070867173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1.8089849618263545E-13</v>
      </c>
      <c r="AK194" s="14">
        <f t="shared" si="164"/>
        <v>2.536422473342444E-12</v>
      </c>
      <c r="AL194" s="22">
        <f t="shared" si="165"/>
        <v>4.7326673552561798E-12</v>
      </c>
      <c r="AM194" s="60">
        <f t="shared" si="113"/>
        <v>290.09305636891156</v>
      </c>
      <c r="AN194" s="60">
        <f ca="1">AVERAGE(OFFSET($AM$3,0,0,'Données projet'!$E$10+1,1))-AVERAGE(OFFSET($H$3,0,0,'Données projet'!$E$10+1,1))</f>
        <v>323.1883858932618</v>
      </c>
      <c r="AO194" s="60">
        <f t="shared" si="144"/>
        <v>313.39536932399085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2.2737367544323206E-13</v>
      </c>
      <c r="BE194" s="14">
        <f>BD194*VLOOKUP('Données projet'!$B$11,Paramètres!$A$1:$I$89,3,0)*VLOOKUP('Données projet'!$B$11,Paramètres!$A$1:$I$89,5,0)</f>
        <v>1.6671037883497774E-13</v>
      </c>
      <c r="BF194" s="14">
        <f t="shared" si="167"/>
        <v>2.3598166018346595E-12</v>
      </c>
      <c r="BG194" s="22">
        <f t="shared" si="168"/>
        <v>4.400367824666284E-12</v>
      </c>
      <c r="BH194" s="60">
        <f t="shared" si="116"/>
        <v>290.09305636891122</v>
      </c>
      <c r="BI194" s="60">
        <f ca="1">AVERAGE(OFFSET($BH$3,0,0,'Données projet'!$E$11+1,1))-AVERAGE(OFFSET($H$3,0,0,'Données projet'!$E$11+1,1))</f>
        <v>302.52480941204414</v>
      </c>
      <c r="BJ194" s="60">
        <f t="shared" si="146"/>
        <v>293.66452856196088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-8.1404323282185943E-13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442.98179778678298</v>
      </c>
      <c r="CE194" s="60">
        <f t="shared" si="148"/>
        <v>251.96153561746942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10.256410256410078</v>
      </c>
      <c r="CU194" s="18">
        <f>CT194*VLOOKUP('Données projet'!$B$13,Paramètres!$A$1:$I$89,3,0)*VLOOKUP('Données projet'!$B$13,Paramètres!$A$1:$I$89,5,0)</f>
        <v>9.7599999999998293</v>
      </c>
      <c r="CV194" s="14">
        <f t="shared" si="173"/>
        <v>3.4500860232767008</v>
      </c>
      <c r="CW194" s="22">
        <f t="shared" si="174"/>
        <v>23.007566490539954</v>
      </c>
      <c r="CX194" s="60">
        <f t="shared" si="122"/>
        <v>313.10062285944679</v>
      </c>
      <c r="CY194" s="60">
        <f ca="1">AVERAGE(OFFSET($CX$3,0,0,'Données projet'!$E$13+1,1))-AVERAGE(OFFSET($H$3,0,0,'Données projet'!$E$13+1,1))</f>
        <v>388.53310909800695</v>
      </c>
      <c r="CZ194" s="60">
        <f t="shared" si="150"/>
        <v>263.82153161042811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469.67944008675863</v>
      </c>
      <c r="T195" s="60">
        <f t="shared" si="142"/>
        <v>266.11908070867173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1.8089849618263545E-13</v>
      </c>
      <c r="AK195" s="14">
        <f t="shared" si="164"/>
        <v>2.536422473342444E-12</v>
      </c>
      <c r="AL195" s="22">
        <f t="shared" si="165"/>
        <v>4.7326673552561798E-12</v>
      </c>
      <c r="AM195" s="60">
        <f t="shared" si="113"/>
        <v>290.14926793007038</v>
      </c>
      <c r="AN195" s="60">
        <f ca="1">AVERAGE(OFFSET($AM$3,0,0,'Données projet'!$E$10+1,1))-AVERAGE(OFFSET($H$3,0,0,'Données projet'!$E$10+1,1))</f>
        <v>323.1883858932618</v>
      </c>
      <c r="AO195" s="60">
        <f t="shared" si="144"/>
        <v>313.39536932399085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2.2737367544323206E-13</v>
      </c>
      <c r="BE195" s="14">
        <f>BD195*VLOOKUP('Données projet'!$B$11,Paramètres!$A$1:$I$89,3,0)*VLOOKUP('Données projet'!$B$11,Paramètres!$A$1:$I$89,5,0)</f>
        <v>1.6671037883497774E-13</v>
      </c>
      <c r="BF195" s="14">
        <f t="shared" si="167"/>
        <v>2.3598166018346595E-12</v>
      </c>
      <c r="BG195" s="22">
        <f t="shared" si="168"/>
        <v>4.400367824666284E-12</v>
      </c>
      <c r="BH195" s="60">
        <f t="shared" si="116"/>
        <v>290.14926793007004</v>
      </c>
      <c r="BI195" s="60">
        <f ca="1">AVERAGE(OFFSET($BH$3,0,0,'Données projet'!$E$11+1,1))-AVERAGE(OFFSET($H$3,0,0,'Données projet'!$E$11+1,1))</f>
        <v>302.52480941204414</v>
      </c>
      <c r="BJ195" s="60">
        <f t="shared" si="146"/>
        <v>293.66452856196088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-8.1404323282185943E-13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442.98179778678298</v>
      </c>
      <c r="CE195" s="60">
        <f t="shared" si="148"/>
        <v>251.96153561746942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10.256410256410078</v>
      </c>
      <c r="CU195" s="18">
        <f>CT195*VLOOKUP('Données projet'!$B$13,Paramètres!$A$1:$I$89,3,0)*VLOOKUP('Données projet'!$B$13,Paramètres!$A$1:$I$89,5,0)</f>
        <v>9.7599999999998293</v>
      </c>
      <c r="CV195" s="14">
        <f t="shared" si="173"/>
        <v>3.4500860232767008</v>
      </c>
      <c r="CW195" s="22">
        <f t="shared" si="174"/>
        <v>23.007566490539954</v>
      </c>
      <c r="CX195" s="60">
        <f t="shared" si="122"/>
        <v>313.15683442060561</v>
      </c>
      <c r="CY195" s="60">
        <f ca="1">AVERAGE(OFFSET($CX$3,0,0,'Données projet'!$E$13+1,1))-AVERAGE(OFFSET($H$3,0,0,'Données projet'!$E$13+1,1))</f>
        <v>388.53310909800695</v>
      </c>
      <c r="CZ195" s="60">
        <f t="shared" si="150"/>
        <v>263.82153161042811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469.67944008675863</v>
      </c>
      <c r="T196" s="60">
        <f t="shared" si="142"/>
        <v>266.11908070867173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1.8089849618263545E-13</v>
      </c>
      <c r="AK196" s="14">
        <f t="shared" si="164"/>
        <v>2.536422473342444E-12</v>
      </c>
      <c r="AL196" s="22">
        <f t="shared" si="165"/>
        <v>4.7326673552561798E-12</v>
      </c>
      <c r="AM196" s="60">
        <f t="shared" ref="AM196:AM203" si="193">AL196+(AD196+AE196)*44/12</f>
        <v>290.20450434631323</v>
      </c>
      <c r="AN196" s="60">
        <f ca="1">AVERAGE(OFFSET($AM$3,0,0,'Données projet'!$E$10+1,1))-AVERAGE(OFFSET($H$3,0,0,'Données projet'!$E$10+1,1))</f>
        <v>323.1883858932618</v>
      </c>
      <c r="AO196" s="60">
        <f t="shared" si="144"/>
        <v>313.39536932399085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2.2737367544323206E-13</v>
      </c>
      <c r="BE196" s="14">
        <f>BD196*VLOOKUP('Données projet'!$B$11,Paramètres!$A$1:$I$89,3,0)*VLOOKUP('Données projet'!$B$11,Paramètres!$A$1:$I$89,5,0)</f>
        <v>1.6671037883497774E-13</v>
      </c>
      <c r="BF196" s="14">
        <f t="shared" si="167"/>
        <v>2.3598166018346595E-12</v>
      </c>
      <c r="BG196" s="22">
        <f t="shared" si="168"/>
        <v>4.400367824666284E-12</v>
      </c>
      <c r="BH196" s="60">
        <f t="shared" ref="BH196:BH203" si="194">BG196+(AY196+AZ196)*44/12</f>
        <v>290.20450434631289</v>
      </c>
      <c r="BI196" s="60">
        <f ca="1">AVERAGE(OFFSET($BH$3,0,0,'Données projet'!$E$11+1,1))-AVERAGE(OFFSET($H$3,0,0,'Données projet'!$E$11+1,1))</f>
        <v>302.52480941204414</v>
      </c>
      <c r="BJ196" s="60">
        <f t="shared" si="146"/>
        <v>293.66452856196088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-8.1404323282185943E-13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442.98179778678298</v>
      </c>
      <c r="CE196" s="60">
        <f t="shared" si="148"/>
        <v>251.96153561746942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10.256410256410078</v>
      </c>
      <c r="CU196" s="18">
        <f>CT196*VLOOKUP('Données projet'!$B$13,Paramètres!$A$1:$I$89,3,0)*VLOOKUP('Données projet'!$B$13,Paramètres!$A$1:$I$89,5,0)</f>
        <v>9.7599999999998293</v>
      </c>
      <c r="CV196" s="14">
        <f t="shared" si="173"/>
        <v>3.4500860232767008</v>
      </c>
      <c r="CW196" s="22">
        <f t="shared" si="174"/>
        <v>23.007566490539954</v>
      </c>
      <c r="CX196" s="60">
        <f t="shared" ref="CX196:CX203" si="196">CW196+(CO196+CP196)*44/12</f>
        <v>313.21207083684845</v>
      </c>
      <c r="CY196" s="60">
        <f ca="1">AVERAGE(OFFSET($CX$3,0,0,'Données projet'!$E$13+1,1))-AVERAGE(OFFSET($H$3,0,0,'Données projet'!$E$13+1,1))</f>
        <v>388.53310909800695</v>
      </c>
      <c r="CZ196" s="60">
        <f t="shared" si="150"/>
        <v>263.82153161042811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469.67944008675863</v>
      </c>
      <c r="T197" s="60">
        <f t="shared" ref="T197:T203" si="204">$T$3</f>
        <v>266.11908070867173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1.8089849618263545E-13</v>
      </c>
      <c r="AK197" s="14">
        <f t="shared" si="164"/>
        <v>2.536422473342444E-12</v>
      </c>
      <c r="AL197" s="22">
        <f t="shared" si="165"/>
        <v>4.7326673552561798E-12</v>
      </c>
      <c r="AM197" s="60">
        <f t="shared" si="193"/>
        <v>290.25878253422445</v>
      </c>
      <c r="AN197" s="60">
        <f ca="1">AVERAGE(OFFSET($AM$3,0,0,'Données projet'!$E$10+1,1))-AVERAGE(OFFSET($H$3,0,0,'Données projet'!$E$10+1,1))</f>
        <v>323.1883858932618</v>
      </c>
      <c r="AO197" s="60">
        <f t="shared" ref="AO197:AO203" si="205">$AO$3</f>
        <v>313.39536932399085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2.2737367544323206E-13</v>
      </c>
      <c r="BE197" s="14">
        <f>BD197*VLOOKUP('Données projet'!$B$11,Paramètres!$A$1:$I$89,3,0)*VLOOKUP('Données projet'!$B$11,Paramètres!$A$1:$I$89,5,0)</f>
        <v>1.6671037883497774E-13</v>
      </c>
      <c r="BF197" s="14">
        <f t="shared" si="167"/>
        <v>2.3598166018346595E-12</v>
      </c>
      <c r="BG197" s="22">
        <f t="shared" si="168"/>
        <v>4.400367824666284E-12</v>
      </c>
      <c r="BH197" s="60">
        <f t="shared" si="194"/>
        <v>290.25878253422411</v>
      </c>
      <c r="BI197" s="60">
        <f ca="1">AVERAGE(OFFSET($BH$3,0,0,'Données projet'!$E$11+1,1))-AVERAGE(OFFSET($H$3,0,0,'Données projet'!$E$11+1,1))</f>
        <v>302.52480941204414</v>
      </c>
      <c r="BJ197" s="60">
        <f t="shared" ref="BJ197:BJ203" si="206">$BJ$3</f>
        <v>293.66452856196088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-8.1404323282185943E-13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442.98179778678298</v>
      </c>
      <c r="CE197" s="60">
        <f t="shared" ref="CE197:CE203" si="207">$CE$3</f>
        <v>251.96153561746942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10.256410256410078</v>
      </c>
      <c r="CU197" s="18">
        <f>CT197*VLOOKUP('Données projet'!$B$13,Paramètres!$A$1:$I$89,3,0)*VLOOKUP('Données projet'!$B$13,Paramètres!$A$1:$I$89,5,0)</f>
        <v>9.7599999999998293</v>
      </c>
      <c r="CV197" s="14">
        <f t="shared" si="173"/>
        <v>3.4500860232767008</v>
      </c>
      <c r="CW197" s="22">
        <f t="shared" si="174"/>
        <v>23.007566490539954</v>
      </c>
      <c r="CX197" s="60">
        <f t="shared" si="196"/>
        <v>313.26634902475968</v>
      </c>
      <c r="CY197" s="60">
        <f ca="1">AVERAGE(OFFSET($CX$3,0,0,'Données projet'!$E$13+1,1))-AVERAGE(OFFSET($H$3,0,0,'Données projet'!$E$13+1,1))</f>
        <v>388.53310909800695</v>
      </c>
      <c r="CZ197" s="60">
        <f t="shared" ref="CZ197:CZ203" si="208">$CZ$3</f>
        <v>263.82153161042811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469.67944008675863</v>
      </c>
      <c r="T198" s="60">
        <f t="shared" si="204"/>
        <v>266.11908070867173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1.8089849618263545E-13</v>
      </c>
      <c r="AK198" s="14">
        <f t="shared" si="164"/>
        <v>2.536422473342444E-12</v>
      </c>
      <c r="AL198" s="22">
        <f t="shared" si="165"/>
        <v>4.7326673552561798E-12</v>
      </c>
      <c r="AM198" s="60">
        <f t="shared" si="193"/>
        <v>290.31211911692321</v>
      </c>
      <c r="AN198" s="60">
        <f ca="1">AVERAGE(OFFSET($AM$3,0,0,'Données projet'!$E$10+1,1))-AVERAGE(OFFSET($H$3,0,0,'Données projet'!$E$10+1,1))</f>
        <v>323.1883858932618</v>
      </c>
      <c r="AO198" s="60">
        <f t="shared" si="205"/>
        <v>313.39536932399085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2.2737367544323206E-13</v>
      </c>
      <c r="BE198" s="14">
        <f>BD198*VLOOKUP('Données projet'!$B$11,Paramètres!$A$1:$I$89,3,0)*VLOOKUP('Données projet'!$B$11,Paramètres!$A$1:$I$89,5,0)</f>
        <v>1.6671037883497774E-13</v>
      </c>
      <c r="BF198" s="14">
        <f t="shared" si="167"/>
        <v>2.3598166018346595E-12</v>
      </c>
      <c r="BG198" s="22">
        <f t="shared" si="168"/>
        <v>4.400367824666284E-12</v>
      </c>
      <c r="BH198" s="60">
        <f t="shared" si="194"/>
        <v>290.31211911692287</v>
      </c>
      <c r="BI198" s="60">
        <f ca="1">AVERAGE(OFFSET($BH$3,0,0,'Données projet'!$E$11+1,1))-AVERAGE(OFFSET($H$3,0,0,'Données projet'!$E$11+1,1))</f>
        <v>302.52480941204414</v>
      </c>
      <c r="BJ198" s="60">
        <f t="shared" si="206"/>
        <v>293.66452856196088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-8.1404323282185943E-13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442.98179778678298</v>
      </c>
      <c r="CE198" s="60">
        <f t="shared" si="207"/>
        <v>251.96153561746942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10.256410256410078</v>
      </c>
      <c r="CU198" s="18">
        <f>CT198*VLOOKUP('Données projet'!$B$13,Paramètres!$A$1:$I$89,3,0)*VLOOKUP('Données projet'!$B$13,Paramètres!$A$1:$I$89,5,0)</f>
        <v>9.7599999999998293</v>
      </c>
      <c r="CV198" s="14">
        <f t="shared" si="173"/>
        <v>3.4500860232767008</v>
      </c>
      <c r="CW198" s="22">
        <f t="shared" si="174"/>
        <v>23.007566490539954</v>
      </c>
      <c r="CX198" s="60">
        <f t="shared" si="196"/>
        <v>313.31968560745844</v>
      </c>
      <c r="CY198" s="60">
        <f ca="1">AVERAGE(OFFSET($CX$3,0,0,'Données projet'!$E$13+1,1))-AVERAGE(OFFSET($H$3,0,0,'Données projet'!$E$13+1,1))</f>
        <v>388.53310909800695</v>
      </c>
      <c r="CZ198" s="60">
        <f t="shared" si="208"/>
        <v>263.82153161042811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469.67944008675863</v>
      </c>
      <c r="T199" s="60">
        <f t="shared" si="204"/>
        <v>266.11908070867173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1.8089849618263545E-13</v>
      </c>
      <c r="AK199" s="14">
        <f t="shared" si="164"/>
        <v>2.536422473342444E-12</v>
      </c>
      <c r="AL199" s="22">
        <f t="shared" si="165"/>
        <v>4.7326673552561798E-12</v>
      </c>
      <c r="AM199" s="60">
        <f t="shared" si="193"/>
        <v>290.36453042915491</v>
      </c>
      <c r="AN199" s="60">
        <f ca="1">AVERAGE(OFFSET($AM$3,0,0,'Données projet'!$E$10+1,1))-AVERAGE(OFFSET($H$3,0,0,'Données projet'!$E$10+1,1))</f>
        <v>323.1883858932618</v>
      </c>
      <c r="AO199" s="60">
        <f t="shared" si="205"/>
        <v>313.39536932399085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2.2737367544323206E-13</v>
      </c>
      <c r="BE199" s="14">
        <f>BD199*VLOOKUP('Données projet'!$B$11,Paramètres!$A$1:$I$89,3,0)*VLOOKUP('Données projet'!$B$11,Paramètres!$A$1:$I$89,5,0)</f>
        <v>1.6671037883497774E-13</v>
      </c>
      <c r="BF199" s="14">
        <f t="shared" si="167"/>
        <v>2.3598166018346595E-12</v>
      </c>
      <c r="BG199" s="22">
        <f t="shared" si="168"/>
        <v>4.400367824666284E-12</v>
      </c>
      <c r="BH199" s="60">
        <f t="shared" si="194"/>
        <v>290.36453042915457</v>
      </c>
      <c r="BI199" s="60">
        <f ca="1">AVERAGE(OFFSET($BH$3,0,0,'Données projet'!$E$11+1,1))-AVERAGE(OFFSET($H$3,0,0,'Données projet'!$E$11+1,1))</f>
        <v>302.52480941204414</v>
      </c>
      <c r="BJ199" s="60">
        <f t="shared" si="206"/>
        <v>293.66452856196088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-8.1404323282185943E-13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442.98179778678298</v>
      </c>
      <c r="CE199" s="60">
        <f t="shared" si="207"/>
        <v>251.96153561746942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10.256410256410078</v>
      </c>
      <c r="CU199" s="18">
        <f>CT199*VLOOKUP('Données projet'!$B$13,Paramètres!$A$1:$I$89,3,0)*VLOOKUP('Données projet'!$B$13,Paramètres!$A$1:$I$89,5,0)</f>
        <v>9.7599999999998293</v>
      </c>
      <c r="CV199" s="14">
        <f t="shared" si="173"/>
        <v>3.4500860232767008</v>
      </c>
      <c r="CW199" s="22">
        <f t="shared" si="174"/>
        <v>23.007566490539954</v>
      </c>
      <c r="CX199" s="60">
        <f t="shared" si="196"/>
        <v>313.37209691969014</v>
      </c>
      <c r="CY199" s="60">
        <f ca="1">AVERAGE(OFFSET($CX$3,0,0,'Données projet'!$E$13+1,1))-AVERAGE(OFFSET($H$3,0,0,'Données projet'!$E$13+1,1))</f>
        <v>388.53310909800695</v>
      </c>
      <c r="CZ199" s="60">
        <f t="shared" si="208"/>
        <v>263.82153161042811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469.67944008675863</v>
      </c>
      <c r="T200" s="60">
        <f t="shared" si="204"/>
        <v>266.11908070867173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1.8089849618263545E-13</v>
      </c>
      <c r="AK200" s="14">
        <f t="shared" si="164"/>
        <v>2.536422473342444E-12</v>
      </c>
      <c r="AL200" s="22">
        <f t="shared" si="165"/>
        <v>4.7326673552561798E-12</v>
      </c>
      <c r="AM200" s="60">
        <f t="shared" si="193"/>
        <v>290.41603252229351</v>
      </c>
      <c r="AN200" s="60">
        <f ca="1">AVERAGE(OFFSET($AM$3,0,0,'Données projet'!$E$10+1,1))-AVERAGE(OFFSET($H$3,0,0,'Données projet'!$E$10+1,1))</f>
        <v>323.1883858932618</v>
      </c>
      <c r="AO200" s="60">
        <f t="shared" si="205"/>
        <v>313.39536932399085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2.2737367544323206E-13</v>
      </c>
      <c r="BE200" s="14">
        <f>BD200*VLOOKUP('Données projet'!$B$11,Paramètres!$A$1:$I$89,3,0)*VLOOKUP('Données projet'!$B$11,Paramètres!$A$1:$I$89,5,0)</f>
        <v>1.6671037883497774E-13</v>
      </c>
      <c r="BF200" s="14">
        <f t="shared" si="167"/>
        <v>2.3598166018346595E-12</v>
      </c>
      <c r="BG200" s="22">
        <f t="shared" si="168"/>
        <v>4.400367824666284E-12</v>
      </c>
      <c r="BH200" s="60">
        <f t="shared" si="194"/>
        <v>290.41603252229316</v>
      </c>
      <c r="BI200" s="60">
        <f ca="1">AVERAGE(OFFSET($BH$3,0,0,'Données projet'!$E$11+1,1))-AVERAGE(OFFSET($H$3,0,0,'Données projet'!$E$11+1,1))</f>
        <v>302.52480941204414</v>
      </c>
      <c r="BJ200" s="60">
        <f t="shared" si="206"/>
        <v>293.66452856196088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-8.1404323282185943E-13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442.98179778678298</v>
      </c>
      <c r="CE200" s="60">
        <f t="shared" si="207"/>
        <v>251.96153561746942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10.256410256410078</v>
      </c>
      <c r="CU200" s="18">
        <f>CT200*VLOOKUP('Données projet'!$B$13,Paramètres!$A$1:$I$89,3,0)*VLOOKUP('Données projet'!$B$13,Paramètres!$A$1:$I$89,5,0)</f>
        <v>9.7599999999998293</v>
      </c>
      <c r="CV200" s="14">
        <f t="shared" si="173"/>
        <v>3.4500860232767008</v>
      </c>
      <c r="CW200" s="22">
        <f t="shared" si="174"/>
        <v>23.007566490539954</v>
      </c>
      <c r="CX200" s="60">
        <f t="shared" si="196"/>
        <v>313.42359901282873</v>
      </c>
      <c r="CY200" s="60">
        <f ca="1">AVERAGE(OFFSET($CX$3,0,0,'Données projet'!$E$13+1,1))-AVERAGE(OFFSET($H$3,0,0,'Données projet'!$E$13+1,1))</f>
        <v>388.53310909800695</v>
      </c>
      <c r="CZ200" s="60">
        <f t="shared" si="208"/>
        <v>263.82153161042811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469.67944008675863</v>
      </c>
      <c r="T201" s="60">
        <f t="shared" si="204"/>
        <v>266.11908070867173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1.8089849618263545E-13</v>
      </c>
      <c r="AK201" s="14">
        <f t="shared" si="164"/>
        <v>2.536422473342444E-12</v>
      </c>
      <c r="AL201" s="22">
        <f t="shared" si="165"/>
        <v>4.7326673552561798E-12</v>
      </c>
      <c r="AM201" s="60">
        <f t="shared" si="193"/>
        <v>290.46664116925763</v>
      </c>
      <c r="AN201" s="60">
        <f ca="1">AVERAGE(OFFSET($AM$3,0,0,'Données projet'!$E$10+1,1))-AVERAGE(OFFSET($H$3,0,0,'Données projet'!$E$10+1,1))</f>
        <v>323.1883858932618</v>
      </c>
      <c r="AO201" s="60">
        <f t="shared" si="205"/>
        <v>313.39536932399085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2.2737367544323206E-13</v>
      </c>
      <c r="BE201" s="14">
        <f>BD201*VLOOKUP('Données projet'!$B$11,Paramètres!$A$1:$I$89,3,0)*VLOOKUP('Données projet'!$B$11,Paramètres!$A$1:$I$89,5,0)</f>
        <v>1.6671037883497774E-13</v>
      </c>
      <c r="BF201" s="14">
        <f t="shared" si="167"/>
        <v>2.3598166018346595E-12</v>
      </c>
      <c r="BG201" s="22">
        <f t="shared" si="168"/>
        <v>4.400367824666284E-12</v>
      </c>
      <c r="BH201" s="60">
        <f t="shared" si="194"/>
        <v>290.46664116925729</v>
      </c>
      <c r="BI201" s="60">
        <f ca="1">AVERAGE(OFFSET($BH$3,0,0,'Données projet'!$E$11+1,1))-AVERAGE(OFFSET($H$3,0,0,'Données projet'!$E$11+1,1))</f>
        <v>302.52480941204414</v>
      </c>
      <c r="BJ201" s="60">
        <f t="shared" si="206"/>
        <v>293.66452856196088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-8.1404323282185943E-13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442.98179778678298</v>
      </c>
      <c r="CE201" s="60">
        <f t="shared" si="207"/>
        <v>251.96153561746942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10.256410256410078</v>
      </c>
      <c r="CU201" s="18">
        <f>CT201*VLOOKUP('Données projet'!$B$13,Paramètres!$A$1:$I$89,3,0)*VLOOKUP('Données projet'!$B$13,Paramètres!$A$1:$I$89,5,0)</f>
        <v>9.7599999999998293</v>
      </c>
      <c r="CV201" s="14">
        <f t="shared" si="173"/>
        <v>3.4500860232767008</v>
      </c>
      <c r="CW201" s="22">
        <f t="shared" si="174"/>
        <v>23.007566490539954</v>
      </c>
      <c r="CX201" s="60">
        <f t="shared" si="196"/>
        <v>313.47420765979285</v>
      </c>
      <c r="CY201" s="60">
        <f ca="1">AVERAGE(OFFSET($CX$3,0,0,'Données projet'!$E$13+1,1))-AVERAGE(OFFSET($H$3,0,0,'Données projet'!$E$13+1,1))</f>
        <v>388.53310909800695</v>
      </c>
      <c r="CZ201" s="60">
        <f t="shared" si="208"/>
        <v>263.82153161042811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469.67944008675863</v>
      </c>
      <c r="T202" s="60">
        <f t="shared" si="204"/>
        <v>266.11908070867173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1.8089849618263545E-13</v>
      </c>
      <c r="AK202" s="14">
        <f t="shared" si="164"/>
        <v>2.536422473342444E-12</v>
      </c>
      <c r="AL202" s="22">
        <f t="shared" si="165"/>
        <v>4.7326673552561798E-12</v>
      </c>
      <c r="AM202" s="60">
        <f t="shared" si="193"/>
        <v>290.51637186934084</v>
      </c>
      <c r="AN202" s="60">
        <f ca="1">AVERAGE(OFFSET($AM$3,0,0,'Données projet'!$E$10+1,1))-AVERAGE(OFFSET($H$3,0,0,'Données projet'!$E$10+1,1))</f>
        <v>323.1883858932618</v>
      </c>
      <c r="AO202" s="60">
        <f t="shared" si="205"/>
        <v>313.39536932399085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2.2737367544323206E-13</v>
      </c>
      <c r="BE202" s="14">
        <f>BD202*VLOOKUP('Données projet'!$B$11,Paramètres!$A$1:$I$89,3,0)*VLOOKUP('Données projet'!$B$11,Paramètres!$A$1:$I$89,5,0)</f>
        <v>1.6671037883497774E-13</v>
      </c>
      <c r="BF202" s="14">
        <f t="shared" si="167"/>
        <v>2.3598166018346595E-12</v>
      </c>
      <c r="BG202" s="22">
        <f t="shared" si="168"/>
        <v>4.400367824666284E-12</v>
      </c>
      <c r="BH202" s="60">
        <f t="shared" si="194"/>
        <v>290.5163718693405</v>
      </c>
      <c r="BI202" s="60">
        <f ca="1">AVERAGE(OFFSET($BH$3,0,0,'Données projet'!$E$11+1,1))-AVERAGE(OFFSET($H$3,0,0,'Données projet'!$E$11+1,1))</f>
        <v>302.52480941204414</v>
      </c>
      <c r="BJ202" s="60">
        <f t="shared" si="206"/>
        <v>293.66452856196088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-8.1404323282185943E-13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442.98179778678298</v>
      </c>
      <c r="CE202" s="60">
        <f t="shared" si="207"/>
        <v>251.96153561746942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10.256410256410078</v>
      </c>
      <c r="CU202" s="18">
        <f>CT202*VLOOKUP('Données projet'!$B$13,Paramètres!$A$1:$I$89,3,0)*VLOOKUP('Données projet'!$B$13,Paramètres!$A$1:$I$89,5,0)</f>
        <v>9.7599999999998293</v>
      </c>
      <c r="CV202" s="14">
        <f t="shared" si="173"/>
        <v>3.4500860232767008</v>
      </c>
      <c r="CW202" s="22">
        <f t="shared" si="174"/>
        <v>23.007566490539954</v>
      </c>
      <c r="CX202" s="60">
        <f t="shared" si="196"/>
        <v>313.52393835987607</v>
      </c>
      <c r="CY202" s="60">
        <f ca="1">AVERAGE(OFFSET($CX$3,0,0,'Données projet'!$E$13+1,1))-AVERAGE(OFFSET($H$3,0,0,'Données projet'!$E$13+1,1))</f>
        <v>388.53310909800695</v>
      </c>
      <c r="CZ202" s="60">
        <f t="shared" si="208"/>
        <v>263.82153161042811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469.67944008675863</v>
      </c>
      <c r="T203" s="60">
        <f t="shared" si="204"/>
        <v>266.11908070867173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1.8089849618263545E-13</v>
      </c>
      <c r="AK203" s="14">
        <f t="shared" si="164"/>
        <v>2.536422473342444E-12</v>
      </c>
      <c r="AL203" s="22">
        <f t="shared" si="165"/>
        <v>4.7326673552561798E-12</v>
      </c>
      <c r="AM203" s="60">
        <f t="shared" si="193"/>
        <v>290.56523985295883</v>
      </c>
      <c r="AN203" s="60">
        <f ca="1">AVERAGE(OFFSET($AM$3,0,0,'Données projet'!$E$10+1,1))-AVERAGE(OFFSET($H$3,0,0,'Données projet'!$E$10+1,1))</f>
        <v>323.1883858932618</v>
      </c>
      <c r="AO203" s="60">
        <f t="shared" si="205"/>
        <v>313.39536932399085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2.2737367544323206E-13</v>
      </c>
      <c r="BE203" s="14">
        <f>BD203*VLOOKUP('Données projet'!$B$11,Paramètres!$A$1:$I$89,3,0)*VLOOKUP('Données projet'!$B$11,Paramètres!$A$1:$I$89,5,0)</f>
        <v>1.6671037883497774E-13</v>
      </c>
      <c r="BF203" s="14">
        <f t="shared" si="167"/>
        <v>2.3598166018346595E-12</v>
      </c>
      <c r="BG203" s="22">
        <f t="shared" si="168"/>
        <v>4.400367824666284E-12</v>
      </c>
      <c r="BH203" s="60">
        <f t="shared" si="194"/>
        <v>290.56523985295848</v>
      </c>
      <c r="BI203" s="60">
        <f ca="1">AVERAGE(OFFSET($BH$3,0,0,'Données projet'!$E$11+1,1))-AVERAGE(OFFSET($H$3,0,0,'Données projet'!$E$11+1,1))</f>
        <v>302.52480941204414</v>
      </c>
      <c r="BJ203" s="60">
        <f t="shared" si="206"/>
        <v>293.66452856196088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-8.1404323282185943E-13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442.98179778678298</v>
      </c>
      <c r="CE203" s="60">
        <f t="shared" si="207"/>
        <v>251.96153561746942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10.256410256410078</v>
      </c>
      <c r="CU203" s="18">
        <f>CT203*VLOOKUP('Données projet'!$B$13,Paramètres!$A$1:$I$89,3,0)*VLOOKUP('Données projet'!$B$13,Paramètres!$A$1:$I$89,5,0)</f>
        <v>9.7599999999998293</v>
      </c>
      <c r="CV203" s="14">
        <f t="shared" si="173"/>
        <v>3.4500860232767008</v>
      </c>
      <c r="CW203" s="22">
        <f t="shared" si="174"/>
        <v>23.007566490539954</v>
      </c>
      <c r="CX203" s="60">
        <f t="shared" si="196"/>
        <v>313.57280634349405</v>
      </c>
      <c r="CY203" s="60">
        <f ca="1">AVERAGE(OFFSET($CX$3,0,0,'Données projet'!$E$13+1,1))-AVERAGE(OFFSET($H$3,0,0,'Données projet'!$E$13+1,1))</f>
        <v>388.53310909800695</v>
      </c>
      <c r="CZ203" s="60">
        <f t="shared" si="208"/>
        <v>263.82153161042811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1.2054868146447177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1.2721747796233518</v>
      </c>
      <c r="BA205" s="85">
        <f>EXP(LN('Données projet'!B88)/'Données projet'!A88)</f>
        <v>1.2721747796233518</v>
      </c>
      <c r="BV205" s="85">
        <f>EXP(LN('Données projet'!B114)/'Données projet'!A114)</f>
        <v>1.2054868146447177</v>
      </c>
      <c r="CQ205" s="85">
        <f>EXP(LN('Données projet'!B140)/'Données projet'!A140)</f>
        <v>1.2649598798623627</v>
      </c>
      <c r="DL205" s="85" t="e">
        <f>EXP(LN('Données projet'!B166)/'Données projet'!A166)</f>
        <v>#NUM!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3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3" t="s">
        <v>238</v>
      </c>
      <c r="P2" s="127">
        <v>0</v>
      </c>
    </row>
    <row r="3" spans="1:16" ht="15" thickBot="1" x14ac:dyDescent="0.35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4"/>
      <c r="P3" s="134">
        <v>0.2</v>
      </c>
    </row>
    <row r="4" spans="1:16" ht="15" thickBot="1" x14ac:dyDescent="0.35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3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3" t="s">
        <v>237</v>
      </c>
      <c r="P5" s="127">
        <v>0</v>
      </c>
    </row>
    <row r="6" spans="1:16" x14ac:dyDescent="0.3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5"/>
      <c r="P6" s="135">
        <v>0.05</v>
      </c>
    </row>
    <row r="7" spans="1:16" x14ac:dyDescent="0.3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5"/>
      <c r="P7" s="135">
        <v>0.1</v>
      </c>
    </row>
    <row r="8" spans="1:16" ht="15" thickBot="1" x14ac:dyDescent="0.35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4"/>
      <c r="P8" s="134">
        <v>0.15</v>
      </c>
    </row>
    <row r="9" spans="1:16" ht="15" thickBot="1" x14ac:dyDescent="0.35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3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3" t="s">
        <v>236</v>
      </c>
      <c r="P10" s="127">
        <v>0</v>
      </c>
    </row>
    <row r="11" spans="1:16" ht="15" thickBot="1" x14ac:dyDescent="0.35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4"/>
      <c r="P11" s="134">
        <v>0.1</v>
      </c>
    </row>
    <row r="12" spans="1:16" x14ac:dyDescent="0.3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3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3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3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3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3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3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3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3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3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3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3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3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3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3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3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3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3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3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3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3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3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3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3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3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3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3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3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3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3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3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3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3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3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3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3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3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3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3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3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3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3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3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3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3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3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3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3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3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3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3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3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3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3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3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3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3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3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3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3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3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3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3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3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3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3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3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3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3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3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3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3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3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3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3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7"/>
      <c r="K87" s="97"/>
      <c r="L87" s="97"/>
      <c r="M87" s="97"/>
      <c r="N87" s="97"/>
    </row>
    <row r="88" spans="1:14" x14ac:dyDescent="0.3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" thickBot="1" x14ac:dyDescent="0.35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3">
      <c r="A93" s="128" t="s">
        <v>208</v>
      </c>
    </row>
    <row r="94" spans="1:14" x14ac:dyDescent="0.3">
      <c r="A94" s="128" t="s">
        <v>209</v>
      </c>
    </row>
    <row r="95" spans="1:14" x14ac:dyDescent="0.3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M25" sqref="M2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1" t="str">
        <f>IF('Données projet'!$B$9="","",'Données projet'!$B$9)</f>
        <v>Chêne sessile</v>
      </c>
      <c r="B6" s="152">
        <f>'Données projet'!D9</f>
        <v>1.2160000000000002</v>
      </c>
      <c r="C6" s="153">
        <f ca="1">IF(OR('Données projet'!B9="",'Données projet'!C9="",'Données projet'!C9=0%),0,Calculateur!S3)</f>
        <v>469.67944008675863</v>
      </c>
      <c r="D6" s="153">
        <f>IF(OR('Données projet'!B9="",'Données projet'!C9="",'Données projet'!C9=0%),0,Calculateur!T3)</f>
        <v>266.11908070867173</v>
      </c>
      <c r="E6" s="153">
        <f ca="1">MIN(C6,D6)</f>
        <v>266.11908070867173</v>
      </c>
      <c r="F6" s="153">
        <f ca="1">E6*B6</f>
        <v>323.60080214174485</v>
      </c>
      <c r="G6" s="153">
        <f ca="1">F6*(100%-'Données projet'!$C$24)*(100%-'Données projet'!$C$25)*(100%-'Données projet'!$C$26)*(100%-'Données projet'!$C$27)</f>
        <v>291.24072192757035</v>
      </c>
      <c r="H6" s="154">
        <f>IF(OR('Données projet'!B9="",'Données projet'!C9="",'Données projet'!C9=0%),0,AVERAGE(Calculateur!$AC$3:$AC$33)*B6)</f>
        <v>0</v>
      </c>
      <c r="I6" s="155">
        <f>H6*(100%-'Données projet'!$C$24)*(100%-'Données projet'!$C$25)*(100%-'Données projet'!$C$26)*(100%-'Données projet'!$C$27)</f>
        <v>0</v>
      </c>
      <c r="J6" s="156">
        <f>IF(OR('Données projet'!B9="",'Données projet'!C9="",'Données projet'!C9=0%),0,SUM(Calculateur!$V$3:$V$33)*VLOOKUP('Données projet'!$B$9,Paramètres!$A$1:$I$89,9,0)*B6)</f>
        <v>8.8160000000000007</v>
      </c>
      <c r="K6" s="157">
        <f>J6*(100%-'Données projet'!$C$24)*(100%-'Données projet'!$C$25)*(100%-'Données projet'!$C$26)*(100%-'Données projet'!$C$27)</f>
        <v>7.934400000000001</v>
      </c>
      <c r="L6" s="158">
        <f ca="1">G6+I6+K6</f>
        <v>299.17512192757033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9" t="str">
        <f>IF('Données projet'!$B$10="","",'Données projet'!$B$10)</f>
        <v>Erable sycomore</v>
      </c>
      <c r="B7" s="160">
        <f>'Données projet'!D10</f>
        <v>0.6080000000000001</v>
      </c>
      <c r="C7" s="153">
        <f ca="1">IF(OR('Données projet'!B10="",'Données projet'!C10="",'Données projet'!C10=0%),0,Calculateur!AN3)</f>
        <v>323.1883858932618</v>
      </c>
      <c r="D7" s="153">
        <f>IF(OR('Données projet'!B10="",'Données projet'!C10="",'Données projet'!C10=0%),0,Calculateur!AO3)</f>
        <v>313.39536932399085</v>
      </c>
      <c r="E7" s="153">
        <f t="shared" ref="E7:E15" ca="1" si="0">MIN(C7,D7)</f>
        <v>313.39536932399085</v>
      </c>
      <c r="F7" s="153">
        <f t="shared" ref="F7:F15" ca="1" si="1">E7*B7</f>
        <v>190.54438454898647</v>
      </c>
      <c r="G7" s="153">
        <f ca="1">F7*(100%-'Données projet'!$C$24)*(100%-'Données projet'!$C$25)*(100%-'Données projet'!$C$26)*(100%-'Données projet'!$C$27)</f>
        <v>171.48994609408783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15.048000000000002</v>
      </c>
      <c r="K7" s="157">
        <f>J7*(100%-'Données projet'!$C$24)*(100%-'Données projet'!$C$25)*(100%-'Données projet'!$C$26)*(100%-'Données projet'!$C$27)</f>
        <v>13.543200000000002</v>
      </c>
      <c r="L7" s="158">
        <f t="shared" ref="L7:L15" ca="1" si="2">G7+I7+K7</f>
        <v>185.03314609408784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9" t="str">
        <f>IF('Données projet'!$B$11="","",'Données projet'!$B$11)</f>
        <v>Châtaignier</v>
      </c>
      <c r="B8" s="160">
        <f>'Données projet'!D11</f>
        <v>0.30400000000000005</v>
      </c>
      <c r="C8" s="153">
        <f ca="1">IF(OR('Données projet'!B11="",'Données projet'!C11="",'Données projet'!C11=0%),0,Calculateur!BI3)</f>
        <v>302.52480941204414</v>
      </c>
      <c r="D8" s="153">
        <f>IF(OR('Données projet'!B11="",'Données projet'!C11="",'Données projet'!C11=0%),0,Calculateur!BJ3)</f>
        <v>293.66452856196088</v>
      </c>
      <c r="E8" s="153">
        <f t="shared" ca="1" si="0"/>
        <v>293.66452856196088</v>
      </c>
      <c r="F8" s="153">
        <f t="shared" ca="1" si="1"/>
        <v>89.27401668283612</v>
      </c>
      <c r="G8" s="153">
        <f ca="1">F8*(100%-'Données projet'!$C$24)*(100%-'Données projet'!$C$25)*(100%-'Données projet'!$C$26)*(100%-'Données projet'!$C$27)</f>
        <v>80.346615014552512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7.5240000000000009</v>
      </c>
      <c r="K8" s="157">
        <f>J8*(100%-'Données projet'!$C$24)*(100%-'Données projet'!$C$25)*(100%-'Données projet'!$C$26)*(100%-'Données projet'!$C$27)</f>
        <v>6.7716000000000012</v>
      </c>
      <c r="L8" s="158">
        <f t="shared" ca="1" si="2"/>
        <v>87.118215014552518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9" t="str">
        <f>IF('Données projet'!$B$12="","",'Données projet'!$B$12)</f>
        <v>Chêne pédonculé</v>
      </c>
      <c r="B9" s="160">
        <f>'Données projet'!D12</f>
        <v>0.6080000000000001</v>
      </c>
      <c r="C9" s="153">
        <f ca="1">IF(OR('Données projet'!B12="",'Données projet'!C12="",'Données projet'!C12=0%),0,Calculateur!CD3)</f>
        <v>442.98179778678298</v>
      </c>
      <c r="D9" s="153">
        <f>IF(OR('Données projet'!B12="",'Données projet'!C12="",'Données projet'!C12=0%),0,Calculateur!CE3)</f>
        <v>251.96153561746942</v>
      </c>
      <c r="E9" s="153">
        <f t="shared" ca="1" si="0"/>
        <v>251.96153561746942</v>
      </c>
      <c r="F9" s="153">
        <f t="shared" ca="1" si="1"/>
        <v>153.19261365542144</v>
      </c>
      <c r="G9" s="153">
        <f ca="1">F9*(100%-'Données projet'!$C$24)*(100%-'Données projet'!$C$25)*(100%-'Données projet'!$C$26)*(100%-'Données projet'!$C$27)</f>
        <v>137.87335228987931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4.4080000000000004</v>
      </c>
      <c r="K9" s="157">
        <f>J9*(100%-'Données projet'!$C$24)*(100%-'Données projet'!$C$25)*(100%-'Données projet'!$C$26)*(100%-'Données projet'!$C$27)</f>
        <v>3.9672000000000005</v>
      </c>
      <c r="L9" s="158">
        <f t="shared" ca="1" si="2"/>
        <v>141.8405522898793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9" t="str">
        <f>IF('Données projet'!$B$13="","",'Données projet'!$B$13)</f>
        <v>Charme</v>
      </c>
      <c r="B10" s="160">
        <f>'Données projet'!D13</f>
        <v>0.30400000000000005</v>
      </c>
      <c r="C10" s="153">
        <f ca="1">IF(OR('Données projet'!B13="",'Données projet'!C13="",'Données projet'!C13=0%),0,Calculateur!CY3)</f>
        <v>388.53310909800695</v>
      </c>
      <c r="D10" s="153">
        <f>IF(OR('Données projet'!B13="",'Données projet'!C13="",'Données projet'!C13=0%),0,Calculateur!CZ3)</f>
        <v>263.82153161042811</v>
      </c>
      <c r="E10" s="153">
        <f t="shared" ca="1" si="0"/>
        <v>263.82153161042811</v>
      </c>
      <c r="F10" s="153">
        <f t="shared" ca="1" si="1"/>
        <v>80.201745609570153</v>
      </c>
      <c r="G10" s="153">
        <f ca="1">F10*(100%-'Données projet'!$C$24)*(100%-'Données projet'!$C$25)*(100%-'Données projet'!$C$26)*(100%-'Données projet'!$C$27)</f>
        <v>72.181571048613137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2.0461538461538464</v>
      </c>
      <c r="K10" s="157">
        <f>J10*(100%-'Données projet'!$C$24)*(100%-'Données projet'!$C$25)*(100%-'Données projet'!$C$26)*(100%-'Données projet'!$C$27)</f>
        <v>1.8415384615384618</v>
      </c>
      <c r="L10" s="158">
        <f t="shared" ca="1" si="2"/>
        <v>74.023109510151599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9" t="str">
        <f>IF('Données projet'!$B$14="","",'Données projet'!$B$14)</f>
        <v/>
      </c>
      <c r="B11" s="160">
        <f>'Données projet'!D14</f>
        <v>0</v>
      </c>
      <c r="C11" s="153">
        <f>IF(OR('Données projet'!B14="",'Données projet'!C14="",'Données projet'!C14=0%),0,Calculateur!DT3)</f>
        <v>0</v>
      </c>
      <c r="D11" s="153">
        <f>IF(OR('Données projet'!B14="",'Données projet'!C14="",'Données projet'!C14=0%),0,Calculateur!DU3)</f>
        <v>0</v>
      </c>
      <c r="E11" s="153">
        <f t="shared" si="0"/>
        <v>0</v>
      </c>
      <c r="F11" s="153">
        <f t="shared" si="1"/>
        <v>0</v>
      </c>
      <c r="G11" s="153">
        <f>F11*(100%-'Données projet'!$C$24)*(100%-'Données projet'!$C$25)*(100%-'Données projet'!$C$26)*(100%-'Données projet'!$C$27)</f>
        <v>0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0</v>
      </c>
      <c r="K11" s="157">
        <f>J11*(100%-'Données projet'!$C$24)*(100%-'Données projet'!$C$25)*(100%-'Données projet'!$C$26)*(100%-'Données projet'!$C$27)</f>
        <v>0</v>
      </c>
      <c r="L11" s="158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9" t="str">
        <f>IF('Données projet'!$B$15="","",'Données projet'!$B$15)</f>
        <v/>
      </c>
      <c r="B12" s="160">
        <f>'Données projet'!D15</f>
        <v>0</v>
      </c>
      <c r="C12" s="153">
        <f>IF(OR('Données projet'!B15="",'Données projet'!C15="",'Données projet'!C15=0%),0,Calculateur!EO3)</f>
        <v>0</v>
      </c>
      <c r="D12" s="153">
        <f>IF(OR('Données projet'!B15="",'Données projet'!C15="",'Données projet'!C15=0%),0,Calculateur!EP3)</f>
        <v>0</v>
      </c>
      <c r="E12" s="153">
        <f t="shared" si="0"/>
        <v>0</v>
      </c>
      <c r="F12" s="153">
        <f t="shared" si="1"/>
        <v>0</v>
      </c>
      <c r="G12" s="153">
        <f>F12*(100%-'Données projet'!$C$24)*(100%-'Données projet'!$C$25)*(100%-'Données projet'!$C$26)*(100%-'Données projet'!$C$27)</f>
        <v>0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0</v>
      </c>
      <c r="K12" s="157">
        <f>J12*(100%-'Données projet'!$C$24)*(100%-'Données projet'!$C$25)*(100%-'Données projet'!$C$26)*(100%-'Données projet'!$C$27)</f>
        <v>0</v>
      </c>
      <c r="L12" s="158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1">
        <f t="shared" ref="F16:L16" ca="1" si="3">SUM(F6:F15)</f>
        <v>836.81356263855889</v>
      </c>
      <c r="G16" s="172">
        <f t="shared" ca="1" si="3"/>
        <v>753.13220637470317</v>
      </c>
      <c r="H16" s="173">
        <f t="shared" si="3"/>
        <v>0</v>
      </c>
      <c r="I16" s="173">
        <f t="shared" si="3"/>
        <v>0</v>
      </c>
      <c r="J16" s="174">
        <f t="shared" si="3"/>
        <v>37.842153846153856</v>
      </c>
      <c r="K16" s="174">
        <f t="shared" si="3"/>
        <v>34.057938461538463</v>
      </c>
      <c r="L16" s="175">
        <f t="shared" ca="1" si="3"/>
        <v>787.19014483624153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6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6" t="str">
        <f>A7</f>
        <v>Erable sycomore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6" t="str">
        <f>A8</f>
        <v>Châtaignier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6" t="str">
        <f>A9</f>
        <v>Chêne pédonculé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6" t="str">
        <f>A10</f>
        <v>Charme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6" t="str">
        <f>A11</f>
        <v/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6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6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6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10" zoomScaleNormal="10" workbookViewId="0">
      <selection activeCell="R33" sqref="R32:T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3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3">
      <c r="A4" s="96"/>
      <c r="B4" s="96"/>
      <c r="C4" s="96"/>
      <c r="D4" s="96"/>
      <c r="E4" s="96"/>
      <c r="G4" s="177"/>
      <c r="H4" s="322" t="s">
        <v>315</v>
      </c>
      <c r="I4" s="322"/>
      <c r="K4" s="319" t="s">
        <v>253</v>
      </c>
      <c r="L4" s="320"/>
      <c r="M4" s="265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3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" thickBot="1" x14ac:dyDescent="0.35">
      <c r="A6" s="96"/>
      <c r="B6" s="96"/>
      <c r="C6" s="96"/>
      <c r="D6" s="96"/>
      <c r="E6" s="96"/>
      <c r="F6" s="226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0" t="s">
        <v>310</v>
      </c>
      <c r="S7" s="331"/>
      <c r="T7" s="331"/>
      <c r="U7" s="331"/>
      <c r="V7" s="332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2" t="str">
        <f>B14</f>
        <v>Chêne sessile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709.40710147359903</v>
      </c>
      <c r="U10" s="187">
        <f>'Données projet'!D9</f>
        <v>1.2160000000000002</v>
      </c>
      <c r="V10" s="186">
        <f>U10*T10</f>
        <v>862.63903539189653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2" t="str">
        <f>B45</f>
        <v>Erable sycomore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988.13459139751603</v>
      </c>
      <c r="U11" s="187">
        <f>'Données projet'!D10</f>
        <v>0.6080000000000001</v>
      </c>
      <c r="V11" s="186">
        <f t="shared" ref="V11" si="0">U11*T11</f>
        <v>600.78583156968989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2" t="str">
        <f>B76</f>
        <v>Châtaignier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1166.4310210618873</v>
      </c>
      <c r="U12" s="187">
        <f>'Données projet'!D11</f>
        <v>0.30400000000000005</v>
      </c>
      <c r="V12" s="186">
        <f t="shared" ref="V12:V19" si="1">U12*T12</f>
        <v>354.59503040281379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1" t="s">
        <v>257</v>
      </c>
      <c r="M13" s="25"/>
      <c r="N13" s="25"/>
      <c r="O13" s="25"/>
      <c r="P13" s="25"/>
      <c r="Q13" s="262"/>
      <c r="R13" s="25"/>
      <c r="S13" s="182" t="str">
        <f>B107</f>
        <v>Chêne pédonculé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709.40710147359903</v>
      </c>
      <c r="U13" s="187">
        <f>'Données projet'!D12</f>
        <v>0.6080000000000001</v>
      </c>
      <c r="V13" s="186">
        <f t="shared" si="1"/>
        <v>431.31951769594826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3" t="str">
        <f>IF('Données projet'!$B$9="","",'Données projet'!$B$9)</f>
        <v>Chêne sessile</v>
      </c>
      <c r="C14" s="5"/>
      <c r="D14" s="5"/>
      <c r="E14" s="5"/>
      <c r="F14" s="258"/>
      <c r="G14" s="218"/>
      <c r="H14" s="182" t="s">
        <v>178</v>
      </c>
      <c r="I14" s="182" t="s">
        <v>290</v>
      </c>
      <c r="J14" s="212"/>
      <c r="K14" s="180"/>
      <c r="L14" s="214"/>
      <c r="M14" s="25"/>
      <c r="N14" s="25"/>
      <c r="O14" s="5"/>
      <c r="P14" s="5"/>
      <c r="Q14" s="263"/>
      <c r="R14" s="5"/>
      <c r="S14" s="182" t="str">
        <f>B138</f>
        <v>Charme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414.13428926873081</v>
      </c>
      <c r="U14" s="187">
        <f>'Données projet'!D13</f>
        <v>0.30400000000000005</v>
      </c>
      <c r="V14" s="186">
        <f t="shared" si="1"/>
        <v>125.89682393769418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23" t="s">
        <v>318</v>
      </c>
      <c r="H15" s="200"/>
      <c r="I15" s="201"/>
      <c r="J15" s="213"/>
      <c r="K15" s="222"/>
      <c r="L15" s="214"/>
      <c r="M15" s="25"/>
      <c r="N15" s="25"/>
      <c r="O15" s="25"/>
      <c r="P15" s="25"/>
      <c r="Q15" s="262"/>
      <c r="R15" s="25"/>
      <c r="S15" s="182" t="str">
        <f>B169</f>
        <v/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7">
        <f>'Données projet'!D14</f>
        <v>0</v>
      </c>
      <c r="V15" s="186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23"/>
      <c r="H16" s="200"/>
      <c r="I16" s="201"/>
      <c r="J16" s="213"/>
      <c r="K16" s="222"/>
      <c r="L16" s="319" t="s">
        <v>254</v>
      </c>
      <c r="M16" s="320"/>
      <c r="N16" s="2"/>
      <c r="O16" s="25"/>
      <c r="P16" s="25"/>
      <c r="Q16" s="262"/>
      <c r="R16" s="25"/>
      <c r="S16" s="182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7">
        <f>'Données projet'!D15</f>
        <v>0</v>
      </c>
      <c r="V16" s="186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3"/>
      <c r="F17" s="258"/>
      <c r="G17" s="323"/>
      <c r="J17" s="213"/>
      <c r="K17" s="222"/>
      <c r="L17" s="290" t="s">
        <v>289</v>
      </c>
      <c r="M17" s="292"/>
      <c r="N17" s="184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2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3"/>
      <c r="F18" s="258"/>
      <c r="G18" s="323"/>
      <c r="J18" s="213"/>
      <c r="K18" s="222"/>
      <c r="L18" s="290" t="s">
        <v>255</v>
      </c>
      <c r="M18" s="292"/>
      <c r="N18" s="202"/>
      <c r="O18" s="25"/>
      <c r="P18" s="25"/>
      <c r="Q18" s="262"/>
      <c r="R18" s="25"/>
      <c r="S18" s="182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3"/>
      <c r="F19" s="258"/>
      <c r="G19" s="323"/>
      <c r="H19" s="229" t="s">
        <v>178</v>
      </c>
      <c r="I19" s="229" t="s">
        <v>287</v>
      </c>
      <c r="J19" s="257"/>
      <c r="K19" s="180"/>
      <c r="L19" s="319" t="s">
        <v>288</v>
      </c>
      <c r="M19" s="320"/>
      <c r="N19" s="188">
        <f>N17*N18</f>
        <v>0</v>
      </c>
      <c r="O19" s="25"/>
      <c r="P19" s="5"/>
      <c r="Q19" s="263"/>
      <c r="R19" s="5"/>
      <c r="S19" s="182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3"/>
      <c r="F20" s="258"/>
      <c r="G20" s="323"/>
      <c r="H20" s="200">
        <v>0</v>
      </c>
      <c r="I20" s="201">
        <f>17269/2.2</f>
        <v>7849.545454545454</v>
      </c>
      <c r="J20" s="5"/>
      <c r="K20" s="180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3"/>
      <c r="F21" s="258"/>
      <c r="H21" s="200"/>
      <c r="I21" s="201"/>
      <c r="K21" s="180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3"/>
      <c r="F22" s="258"/>
      <c r="H22" s="200"/>
      <c r="I22" s="201"/>
      <c r="K22" s="180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9">
        <f>'Données projet'!A36</f>
        <v>20</v>
      </c>
      <c r="B23" s="190">
        <f>'Données projet'!D36</f>
        <v>0</v>
      </c>
      <c r="C23" s="201"/>
      <c r="D23" s="191">
        <f>B23*C23</f>
        <v>0</v>
      </c>
      <c r="E23" s="203"/>
      <c r="F23" s="258"/>
      <c r="H23" s="200"/>
      <c r="I23" s="201"/>
      <c r="K23" s="222"/>
      <c r="L23" s="321" t="s">
        <v>260</v>
      </c>
      <c r="M23" s="321"/>
      <c r="N23" s="321"/>
      <c r="O23" s="25"/>
      <c r="P23" s="25"/>
      <c r="Q23" s="262"/>
      <c r="R23" s="25"/>
      <c r="S23" s="182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-21487.381942820139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9">
        <f>'Données projet'!A37</f>
        <v>25</v>
      </c>
      <c r="B24" s="190">
        <f>'Données projet'!D37</f>
        <v>0</v>
      </c>
      <c r="C24" s="201"/>
      <c r="D24" s="191">
        <f t="shared" ref="D24:D42" si="2">B24*C24</f>
        <v>0</v>
      </c>
      <c r="E24" s="203"/>
      <c r="F24" s="261"/>
      <c r="H24" s="200"/>
      <c r="I24" s="201"/>
      <c r="K24" s="222"/>
      <c r="O24" s="25"/>
      <c r="P24" s="25"/>
      <c r="Q24" s="262"/>
      <c r="R24" s="25"/>
      <c r="S24" s="182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9">
        <f>'Données projet'!A38</f>
        <v>30</v>
      </c>
      <c r="B25" s="190">
        <f>'Données projet'!D38</f>
        <v>29</v>
      </c>
      <c r="C25" s="201">
        <v>10</v>
      </c>
      <c r="D25" s="191">
        <f t="shared" si="2"/>
        <v>290</v>
      </c>
      <c r="E25" s="203"/>
      <c r="F25" s="261"/>
      <c r="G25" s="1"/>
      <c r="H25" s="200"/>
      <c r="I25" s="201"/>
      <c r="K25" s="222"/>
      <c r="L25" s="268" t="s">
        <v>285</v>
      </c>
      <c r="M25" s="268"/>
      <c r="N25" s="268"/>
      <c r="O25" s="268"/>
      <c r="P25" s="202"/>
      <c r="Q25" s="262"/>
      <c r="R25" s="25"/>
      <c r="S25" s="195" t="s">
        <v>266</v>
      </c>
      <c r="T25" s="337">
        <f ca="1">T23-T24</f>
        <v>-21487.381942820139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9">
        <f>'Données projet'!A39</f>
        <v>35</v>
      </c>
      <c r="B26" s="190">
        <f>'Données projet'!D39</f>
        <v>0</v>
      </c>
      <c r="C26" s="201"/>
      <c r="D26" s="191">
        <f t="shared" si="2"/>
        <v>0</v>
      </c>
      <c r="E26" s="203"/>
      <c r="F26" s="261"/>
      <c r="G26" s="256"/>
      <c r="H26" s="200"/>
      <c r="I26" s="201"/>
      <c r="K26" s="222"/>
      <c r="L26" s="324" t="s">
        <v>258</v>
      </c>
      <c r="M26" s="325"/>
      <c r="N26" s="325"/>
      <c r="O26" s="325"/>
      <c r="P26" s="326"/>
      <c r="Q26" s="262"/>
      <c r="R26" s="25"/>
      <c r="S26" s="195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9">
        <f>'Données projet'!A40</f>
        <v>40</v>
      </c>
      <c r="B27" s="190">
        <f>'Données projet'!D40</f>
        <v>42</v>
      </c>
      <c r="C27" s="201">
        <v>10</v>
      </c>
      <c r="D27" s="191">
        <f t="shared" si="2"/>
        <v>420</v>
      </c>
      <c r="E27" s="203"/>
      <c r="F27" s="261"/>
      <c r="G27" s="256"/>
      <c r="H27" s="200"/>
      <c r="I27" s="201"/>
      <c r="K27" s="222"/>
      <c r="L27" s="327"/>
      <c r="M27" s="328"/>
      <c r="N27" s="328"/>
      <c r="O27" s="328"/>
      <c r="P27" s="329"/>
      <c r="Q27" s="262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9">
        <f>'Données projet'!A41</f>
        <v>45</v>
      </c>
      <c r="B28" s="190">
        <f>'Données projet'!D41</f>
        <v>0</v>
      </c>
      <c r="C28" s="201"/>
      <c r="D28" s="191">
        <f t="shared" si="2"/>
        <v>0</v>
      </c>
      <c r="E28" s="203"/>
      <c r="F28" s="261"/>
      <c r="G28" s="219"/>
      <c r="H28" s="200"/>
      <c r="I28" s="201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9">
        <f>'Données projet'!A42</f>
        <v>50</v>
      </c>
      <c r="B29" s="190">
        <f>'Données projet'!D42</f>
        <v>42</v>
      </c>
      <c r="C29" s="201">
        <v>15</v>
      </c>
      <c r="D29" s="191">
        <f t="shared" si="2"/>
        <v>630</v>
      </c>
      <c r="E29" s="203"/>
      <c r="F29" s="261"/>
      <c r="G29" s="215"/>
      <c r="H29" s="200"/>
      <c r="I29" s="201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9">
        <f>'Données projet'!A43</f>
        <v>55</v>
      </c>
      <c r="B30" s="190">
        <f>'Données projet'!D43</f>
        <v>0</v>
      </c>
      <c r="C30" s="201"/>
      <c r="D30" s="191">
        <f t="shared" si="2"/>
        <v>0</v>
      </c>
      <c r="E30" s="203"/>
      <c r="F30" s="261"/>
      <c r="G30" s="215"/>
      <c r="H30" s="200"/>
      <c r="I30" s="201"/>
      <c r="K30" s="192"/>
      <c r="L30" s="182" t="s">
        <v>259</v>
      </c>
      <c r="M30" s="193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9">
        <f>'Données projet'!A44</f>
        <v>60</v>
      </c>
      <c r="B31" s="190">
        <f>'Données projet'!D44</f>
        <v>42</v>
      </c>
      <c r="C31" s="201">
        <v>20</v>
      </c>
      <c r="D31" s="191">
        <f t="shared" si="2"/>
        <v>840</v>
      </c>
      <c r="E31" s="203"/>
      <c r="F31" s="261"/>
      <c r="G31" s="215"/>
      <c r="H31" s="200"/>
      <c r="I31" s="201"/>
      <c r="K31" s="180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9">
        <f>'Données projet'!A45</f>
        <v>65</v>
      </c>
      <c r="B32" s="190">
        <f>'Données projet'!D45</f>
        <v>0</v>
      </c>
      <c r="C32" s="201"/>
      <c r="D32" s="191">
        <f t="shared" si="2"/>
        <v>0</v>
      </c>
      <c r="E32" s="203"/>
      <c r="F32" s="261"/>
      <c r="G32" s="215"/>
      <c r="H32" s="200"/>
      <c r="I32" s="201"/>
      <c r="K32" s="180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9">
        <f>'Données projet'!A46</f>
        <v>70</v>
      </c>
      <c r="B33" s="190">
        <f>'Données projet'!D46</f>
        <v>42</v>
      </c>
      <c r="C33" s="201">
        <v>40</v>
      </c>
      <c r="D33" s="191">
        <f t="shared" si="2"/>
        <v>1680</v>
      </c>
      <c r="E33" s="203"/>
      <c r="F33" s="261"/>
      <c r="G33" s="215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9">
        <f>'Données projet'!A47</f>
        <v>75</v>
      </c>
      <c r="B34" s="190">
        <f>'Données projet'!D47</f>
        <v>0</v>
      </c>
      <c r="C34" s="201"/>
      <c r="D34" s="191">
        <f t="shared" si="2"/>
        <v>0</v>
      </c>
      <c r="E34" s="203"/>
      <c r="F34" s="261"/>
      <c r="G34" s="215"/>
      <c r="H34" s="200"/>
      <c r="I34" s="201"/>
      <c r="K34" s="180"/>
      <c r="L34" s="280"/>
      <c r="M34" s="280"/>
      <c r="N34" s="281"/>
      <c r="O34" s="204">
        <f>IF(O33+1&lt;=MIN('Données projet'!$E$9:$E$18),O33+1,"STOP")</f>
        <v>1</v>
      </c>
      <c r="P34" s="194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9">
        <f>'Données projet'!A48</f>
        <v>80</v>
      </c>
      <c r="B35" s="190">
        <f>'Données projet'!D48</f>
        <v>42</v>
      </c>
      <c r="C35" s="201">
        <v>60</v>
      </c>
      <c r="D35" s="191">
        <f t="shared" si="2"/>
        <v>2520</v>
      </c>
      <c r="E35" s="203"/>
      <c r="F35" s="261"/>
      <c r="G35" s="215"/>
      <c r="H35" s="200"/>
      <c r="I35" s="201"/>
      <c r="K35" s="180"/>
      <c r="L35" s="280"/>
      <c r="M35" s="280"/>
      <c r="N35" s="281"/>
      <c r="O35" s="204">
        <f>IF(O34+1&lt;=MIN('Données projet'!$E$9:$E$18),O34+1,"STOP")</f>
        <v>2</v>
      </c>
      <c r="P35" s="194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9">
        <f>'Données projet'!A49</f>
        <v>90</v>
      </c>
      <c r="B36" s="190">
        <f>'Données projet'!D49</f>
        <v>42</v>
      </c>
      <c r="C36" s="201">
        <v>80</v>
      </c>
      <c r="D36" s="191">
        <f t="shared" si="2"/>
        <v>3360</v>
      </c>
      <c r="E36" s="203"/>
      <c r="F36" s="261"/>
      <c r="G36" s="215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9">
        <f>'Données projet'!A50</f>
        <v>100</v>
      </c>
      <c r="B37" s="190">
        <f>'Données projet'!D50</f>
        <v>42</v>
      </c>
      <c r="C37" s="201">
        <v>100</v>
      </c>
      <c r="D37" s="191">
        <f t="shared" si="2"/>
        <v>4200</v>
      </c>
      <c r="E37" s="203"/>
      <c r="F37" s="261"/>
      <c r="G37" s="215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9">
        <f>'Données projet'!A51</f>
        <v>110</v>
      </c>
      <c r="B38" s="190">
        <f>'Données projet'!D51</f>
        <v>39</v>
      </c>
      <c r="C38" s="201">
        <v>110</v>
      </c>
      <c r="D38" s="191">
        <f t="shared" si="2"/>
        <v>4290</v>
      </c>
      <c r="E38" s="203"/>
      <c r="F38" s="261"/>
      <c r="G38" s="215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9">
        <f>'Données projet'!A52</f>
        <v>120</v>
      </c>
      <c r="B39" s="190">
        <f>'Données projet'!D52</f>
        <v>35</v>
      </c>
      <c r="C39" s="201">
        <v>130</v>
      </c>
      <c r="D39" s="191">
        <f t="shared" si="2"/>
        <v>4550</v>
      </c>
      <c r="E39" s="203"/>
      <c r="F39" s="261"/>
      <c r="G39" s="215"/>
      <c r="H39" s="200"/>
      <c r="I39" s="201"/>
      <c r="K39" s="222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9">
        <f>'Données projet'!A53</f>
        <v>130</v>
      </c>
      <c r="B40" s="190">
        <f>'Données projet'!D53</f>
        <v>31</v>
      </c>
      <c r="C40" s="201">
        <v>150</v>
      </c>
      <c r="D40" s="191">
        <f t="shared" si="2"/>
        <v>4650</v>
      </c>
      <c r="E40" s="203"/>
      <c r="F40" s="261"/>
      <c r="G40" s="215"/>
      <c r="H40" s="200"/>
      <c r="I40" s="201"/>
      <c r="K40" s="222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9">
        <f>'Données projet'!A54</f>
        <v>140</v>
      </c>
      <c r="B41" s="190">
        <f>'Données projet'!D54</f>
        <v>27</v>
      </c>
      <c r="C41" s="201">
        <v>200</v>
      </c>
      <c r="D41" s="191">
        <f t="shared" si="2"/>
        <v>5400</v>
      </c>
      <c r="E41" s="203"/>
      <c r="F41" s="261"/>
      <c r="G41" s="215"/>
      <c r="H41" s="200"/>
      <c r="I41" s="201"/>
      <c r="K41" s="222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9">
        <f>'Données projet'!A55</f>
        <v>150</v>
      </c>
      <c r="B42" s="190">
        <f>'Données projet'!D55</f>
        <v>293</v>
      </c>
      <c r="C42" s="201">
        <v>200</v>
      </c>
      <c r="D42" s="191">
        <f t="shared" si="2"/>
        <v>58600</v>
      </c>
      <c r="E42" s="203"/>
      <c r="F42" s="261"/>
      <c r="G42" s="215"/>
      <c r="H42" s="200"/>
      <c r="I42" s="201"/>
      <c r="K42" s="222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6"/>
      <c r="B43" s="196"/>
      <c r="C43" s="196"/>
      <c r="D43" s="253"/>
      <c r="E43" s="253"/>
      <c r="F43" s="266"/>
      <c r="G43" s="215"/>
      <c r="H43" s="200"/>
      <c r="I43" s="201"/>
      <c r="K43" s="222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0"/>
      <c r="I44" s="201"/>
      <c r="K44" s="222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3" t="str">
        <f>IF('Données projet'!$B$10="","",'Données projet'!$B$10)</f>
        <v>Erable sycomore</v>
      </c>
      <c r="C45" s="5"/>
      <c r="D45" s="5"/>
      <c r="E45" s="5"/>
      <c r="F45" s="258"/>
      <c r="G45" s="215"/>
      <c r="H45" s="200"/>
      <c r="I45" s="201"/>
      <c r="J45" s="25"/>
      <c r="K45" s="222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0"/>
      <c r="I46" s="201"/>
      <c r="J46" s="25"/>
      <c r="K46" s="222"/>
      <c r="L46" s="217"/>
      <c r="M46" s="217"/>
      <c r="N46" s="217"/>
      <c r="O46" s="204">
        <f>IF(O45+1&lt;=MIN('Données projet'!$E$9:$E$18),O45+1,"STOP")</f>
        <v>13</v>
      </c>
      <c r="P46" s="197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0"/>
      <c r="I47" s="201"/>
      <c r="J47" s="25"/>
      <c r="K47" s="222"/>
      <c r="L47" s="5"/>
      <c r="M47" s="5"/>
      <c r="N47" s="5"/>
      <c r="O47" s="204">
        <f>IF(O46+1&lt;=MIN('Données projet'!$E$9:$E$18),O46+1,"STOP")</f>
        <v>14</v>
      </c>
      <c r="P47" s="194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3"/>
      <c r="F48" s="259"/>
      <c r="G48" s="215"/>
      <c r="H48" s="200"/>
      <c r="I48" s="201"/>
      <c r="J48" s="25"/>
      <c r="K48" s="222"/>
      <c r="L48" s="5"/>
      <c r="M48" s="5"/>
      <c r="N48" s="5"/>
      <c r="O48" s="204">
        <f>IF(O47+1&lt;=MIN('Données projet'!$E$9:$E$18),O47+1,"STOP")</f>
        <v>15</v>
      </c>
      <c r="P48" s="194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3"/>
      <c r="F49" s="259"/>
      <c r="G49" s="216"/>
      <c r="H49" s="200"/>
      <c r="I49" s="201"/>
      <c r="J49" s="217"/>
      <c r="K49" s="224"/>
      <c r="L49" s="5"/>
      <c r="M49" s="5"/>
      <c r="N49" s="5"/>
      <c r="O49" s="204">
        <f>IF(O48+1&lt;=MIN('Données projet'!$E$9:$E$18),O48+1,"STOP")</f>
        <v>16</v>
      </c>
      <c r="P49" s="194">
        <f t="shared" si="3"/>
        <v>0</v>
      </c>
      <c r="Q49" s="264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3"/>
      <c r="F50" s="259"/>
      <c r="G50" s="218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3"/>
      <c r="F51" s="259"/>
      <c r="G51" s="218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3"/>
      <c r="F52" s="259"/>
      <c r="G52" s="218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3"/>
      <c r="F53" s="259"/>
      <c r="G53" s="219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9">
        <f>'Données projet'!A62</f>
        <v>15</v>
      </c>
      <c r="B54" s="190">
        <f>'Données projet'!D62</f>
        <v>0</v>
      </c>
      <c r="C54" s="203"/>
      <c r="D54" s="188">
        <f>B54*C54</f>
        <v>0</v>
      </c>
      <c r="E54" s="203"/>
      <c r="F54" s="260"/>
      <c r="G54" s="219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9">
        <f>'Données projet'!A63</f>
        <v>20</v>
      </c>
      <c r="B55" s="190">
        <f>'Données projet'!D63</f>
        <v>43</v>
      </c>
      <c r="C55" s="201">
        <v>10</v>
      </c>
      <c r="D55" s="188">
        <f t="shared" ref="D55:D73" si="4">B55*C55</f>
        <v>430</v>
      </c>
      <c r="E55" s="203"/>
      <c r="F55" s="260"/>
      <c r="G55" s="219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9">
        <f>'Données projet'!A64</f>
        <v>25</v>
      </c>
      <c r="B56" s="190">
        <f>'Données projet'!D64</f>
        <v>0</v>
      </c>
      <c r="C56" s="201"/>
      <c r="D56" s="188">
        <f t="shared" si="4"/>
        <v>0</v>
      </c>
      <c r="E56" s="203"/>
      <c r="F56" s="260"/>
      <c r="G56" s="219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9">
        <f>'Données projet'!A65</f>
        <v>30</v>
      </c>
      <c r="B57" s="190">
        <f>'Données projet'!D65</f>
        <v>56</v>
      </c>
      <c r="C57" s="201">
        <v>10</v>
      </c>
      <c r="D57" s="188">
        <f t="shared" si="4"/>
        <v>560</v>
      </c>
      <c r="E57" s="203"/>
      <c r="F57" s="260"/>
      <c r="G57" s="219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9">
        <f>'Données projet'!A66</f>
        <v>35</v>
      </c>
      <c r="B58" s="190">
        <f>'Données projet'!D66</f>
        <v>0</v>
      </c>
      <c r="C58" s="201"/>
      <c r="D58" s="188">
        <f t="shared" si="4"/>
        <v>0</v>
      </c>
      <c r="E58" s="203"/>
      <c r="F58" s="260"/>
      <c r="G58" s="219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9">
        <f>'Données projet'!A67</f>
        <v>40</v>
      </c>
      <c r="B59" s="190">
        <f>'Données projet'!D67</f>
        <v>56</v>
      </c>
      <c r="C59" s="201">
        <v>20</v>
      </c>
      <c r="D59" s="188">
        <f t="shared" si="4"/>
        <v>1120</v>
      </c>
      <c r="E59" s="203"/>
      <c r="F59" s="260"/>
      <c r="G59" s="219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9">
        <f>'Données projet'!A68</f>
        <v>45</v>
      </c>
      <c r="B60" s="190">
        <f>'Données projet'!D68</f>
        <v>0</v>
      </c>
      <c r="C60" s="201"/>
      <c r="D60" s="188">
        <f t="shared" si="4"/>
        <v>0</v>
      </c>
      <c r="E60" s="203"/>
      <c r="F60" s="260"/>
      <c r="G60" s="220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9">
        <f>'Données projet'!A69</f>
        <v>50</v>
      </c>
      <c r="B61" s="190">
        <f>'Données projet'!D69</f>
        <v>39</v>
      </c>
      <c r="C61" s="201">
        <v>30</v>
      </c>
      <c r="D61" s="188">
        <f t="shared" si="4"/>
        <v>1170</v>
      </c>
      <c r="E61" s="203"/>
      <c r="F61" s="260"/>
      <c r="G61" s="220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9">
        <f>'Données projet'!A70</f>
        <v>55</v>
      </c>
      <c r="B62" s="190">
        <f>'Données projet'!D70</f>
        <v>0</v>
      </c>
      <c r="C62" s="201"/>
      <c r="D62" s="188">
        <f t="shared" si="4"/>
        <v>0</v>
      </c>
      <c r="E62" s="203"/>
      <c r="F62" s="260"/>
      <c r="G62" s="220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9">
        <f>'Données projet'!A71</f>
        <v>60</v>
      </c>
      <c r="B63" s="190">
        <f>'Données projet'!D71</f>
        <v>25</v>
      </c>
      <c r="C63" s="201">
        <v>30</v>
      </c>
      <c r="D63" s="188">
        <f t="shared" si="4"/>
        <v>750</v>
      </c>
      <c r="E63" s="203"/>
      <c r="F63" s="260"/>
      <c r="G63" s="220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9">
        <f>'Données projet'!A72</f>
        <v>65</v>
      </c>
      <c r="B64" s="190">
        <f>'Données projet'!D72</f>
        <v>0</v>
      </c>
      <c r="C64" s="201"/>
      <c r="D64" s="188">
        <f t="shared" si="4"/>
        <v>0</v>
      </c>
      <c r="E64" s="203"/>
      <c r="F64" s="260"/>
      <c r="G64" s="220"/>
      <c r="H64" s="200"/>
      <c r="I64" s="201"/>
      <c r="J64" s="221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9">
        <f>'Données projet'!A73</f>
        <v>70</v>
      </c>
      <c r="B65" s="190">
        <f>'Données projet'!D73</f>
        <v>21</v>
      </c>
      <c r="C65" s="201">
        <v>40</v>
      </c>
      <c r="D65" s="188">
        <f t="shared" si="4"/>
        <v>840</v>
      </c>
      <c r="E65" s="203"/>
      <c r="F65" s="260"/>
      <c r="G65" s="220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9">
        <f>'Données projet'!A74</f>
        <v>75</v>
      </c>
      <c r="B66" s="190">
        <f>'Données projet'!D74</f>
        <v>9</v>
      </c>
      <c r="C66" s="201">
        <v>50</v>
      </c>
      <c r="D66" s="188">
        <f t="shared" si="4"/>
        <v>450</v>
      </c>
      <c r="E66" s="203"/>
      <c r="F66" s="260"/>
      <c r="G66" s="220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9">
        <f>'Données projet'!A75</f>
        <v>80</v>
      </c>
      <c r="B67" s="190">
        <f>'Données projet'!D75</f>
        <v>276</v>
      </c>
      <c r="C67" s="201">
        <v>50</v>
      </c>
      <c r="D67" s="188">
        <f t="shared" si="4"/>
        <v>13800</v>
      </c>
      <c r="E67" s="203"/>
      <c r="F67" s="260"/>
      <c r="G67" s="220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9">
        <f>'Données projet'!A76</f>
        <v>0</v>
      </c>
      <c r="B68" s="190">
        <f>'Données projet'!D76</f>
        <v>0</v>
      </c>
      <c r="C68" s="203">
        <v>50</v>
      </c>
      <c r="D68" s="188">
        <f t="shared" si="4"/>
        <v>0</v>
      </c>
      <c r="E68" s="203"/>
      <c r="F68" s="260"/>
      <c r="G68" s="220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9">
        <f>'Données projet'!A77</f>
        <v>0</v>
      </c>
      <c r="B69" s="190">
        <f>'Données projet'!D77</f>
        <v>0</v>
      </c>
      <c r="C69" s="203"/>
      <c r="D69" s="188">
        <f t="shared" si="4"/>
        <v>0</v>
      </c>
      <c r="E69" s="203"/>
      <c r="F69" s="260"/>
      <c r="G69" s="220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9">
        <f>'Données projet'!A78</f>
        <v>0</v>
      </c>
      <c r="B70" s="190">
        <f>'Données projet'!D78</f>
        <v>0</v>
      </c>
      <c r="C70" s="203"/>
      <c r="D70" s="188">
        <f t="shared" si="4"/>
        <v>0</v>
      </c>
      <c r="E70" s="203"/>
      <c r="F70" s="260"/>
      <c r="G70" s="220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9">
        <f>'Données projet'!A79</f>
        <v>0</v>
      </c>
      <c r="B71" s="190">
        <f>'Données projet'!D79</f>
        <v>0</v>
      </c>
      <c r="C71" s="203"/>
      <c r="D71" s="188">
        <f t="shared" si="4"/>
        <v>0</v>
      </c>
      <c r="E71" s="203"/>
      <c r="F71" s="260"/>
      <c r="G71" s="220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9">
        <f>'Données projet'!A80</f>
        <v>0</v>
      </c>
      <c r="B72" s="190">
        <f>'Données projet'!D80</f>
        <v>0</v>
      </c>
      <c r="C72" s="203"/>
      <c r="D72" s="188">
        <f t="shared" si="4"/>
        <v>0</v>
      </c>
      <c r="E72" s="203"/>
      <c r="F72" s="260"/>
      <c r="G72" s="220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9">
        <f>'Données projet'!A81</f>
        <v>0</v>
      </c>
      <c r="B73" s="190">
        <f>'Données projet'!D81</f>
        <v>0</v>
      </c>
      <c r="C73" s="203"/>
      <c r="D73" s="188">
        <f t="shared" si="4"/>
        <v>0</v>
      </c>
      <c r="E73" s="203"/>
      <c r="F73" s="260"/>
      <c r="G73" s="220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3" t="str">
        <f>IF('Données projet'!B11="","",'Données projet'!B11)</f>
        <v>Châtaignier</v>
      </c>
      <c r="C76" s="5"/>
      <c r="D76" s="5"/>
      <c r="E76" s="5"/>
      <c r="F76" s="258"/>
      <c r="G76" s="220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3"/>
      <c r="F79" s="259"/>
      <c r="G79" s="220"/>
      <c r="H79" s="200"/>
      <c r="I79" s="201"/>
      <c r="J79" s="5"/>
      <c r="K79" s="180"/>
      <c r="L79" s="5"/>
      <c r="M79" s="5"/>
      <c r="N79" s="5"/>
      <c r="O79" s="204">
        <f>IF(O78+1&lt;=MIN('Données projet'!$E$9:$E$18),O78+1,"STOP")</f>
        <v>46</v>
      </c>
      <c r="P79" s="194">
        <f t="shared" si="5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3"/>
      <c r="F80" s="259"/>
      <c r="G80" s="218"/>
      <c r="H80" s="200"/>
      <c r="I80" s="201"/>
      <c r="J80" s="5"/>
      <c r="K80" s="180"/>
      <c r="L80" s="5"/>
      <c r="M80" s="5"/>
      <c r="N80" s="5"/>
      <c r="O80" s="204">
        <f>IF(O79+1&lt;=MIN('Données projet'!$E$9:$E$18),O79+1,"STOP")</f>
        <v>47</v>
      </c>
      <c r="P80" s="194">
        <f t="shared" si="5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3"/>
      <c r="F81" s="259"/>
      <c r="G81" s="218"/>
      <c r="H81" s="200"/>
      <c r="I81" s="201"/>
      <c r="J81" s="5"/>
      <c r="K81" s="180"/>
      <c r="L81" s="5"/>
      <c r="M81" s="5"/>
      <c r="N81" s="5"/>
      <c r="O81" s="204">
        <f>IF(O80+1&lt;=MIN('Données projet'!$E$9:$E$18),O80+1,"STOP")</f>
        <v>48</v>
      </c>
      <c r="P81" s="194">
        <f t="shared" si="5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 t="s">
        <v>132</v>
      </c>
      <c r="D82" s="208" t="s">
        <v>132</v>
      </c>
      <c r="E82" s="203"/>
      <c r="F82" s="259"/>
      <c r="G82" s="218"/>
      <c r="H82" s="200"/>
      <c r="I82" s="201"/>
      <c r="J82" s="5"/>
      <c r="K82" s="180"/>
      <c r="L82" s="5"/>
      <c r="M82" s="5"/>
      <c r="N82" s="5"/>
      <c r="O82" s="204">
        <f>IF(O81+1&lt;=MIN('Données projet'!$E$9:$E$18),O81+1,"STOP")</f>
        <v>49</v>
      </c>
      <c r="P82" s="194">
        <f t="shared" si="5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 t="s">
        <v>132</v>
      </c>
      <c r="D83" s="208" t="s">
        <v>132</v>
      </c>
      <c r="E83" s="203"/>
      <c r="F83" s="259"/>
      <c r="G83" s="218"/>
      <c r="H83" s="200"/>
      <c r="I83" s="201"/>
      <c r="J83" s="5"/>
      <c r="K83" s="180"/>
      <c r="L83" s="5"/>
      <c r="M83" s="5"/>
      <c r="N83" s="5"/>
      <c r="O83" s="204">
        <f>IF(O82+1&lt;=MIN('Données projet'!$E$9:$E$18),O82+1,"STOP")</f>
        <v>50</v>
      </c>
      <c r="P83" s="194">
        <f t="shared" si="5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 t="s">
        <v>132</v>
      </c>
      <c r="D84" s="208" t="s">
        <v>132</v>
      </c>
      <c r="E84" s="203"/>
      <c r="F84" s="259"/>
      <c r="G84" s="219"/>
      <c r="H84" s="200"/>
      <c r="I84" s="201"/>
      <c r="J84" s="5"/>
      <c r="K84" s="180"/>
      <c r="L84" s="5"/>
      <c r="M84" s="5"/>
      <c r="N84" s="5"/>
      <c r="O84" s="204">
        <f>IF(O83+1&lt;=MIN('Données projet'!$E$9:$E$18),O83+1,"STOP")</f>
        <v>51</v>
      </c>
      <c r="P84" s="194">
        <f t="shared" si="5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9">
        <f>'Données projet'!A88</f>
        <v>15</v>
      </c>
      <c r="B85" s="190">
        <f>'Données projet'!D88</f>
        <v>0</v>
      </c>
      <c r="C85" s="203"/>
      <c r="D85" s="188">
        <f>B85*C85</f>
        <v>0</v>
      </c>
      <c r="E85" s="203"/>
      <c r="F85" s="260"/>
      <c r="G85" s="219"/>
      <c r="H85" s="200"/>
      <c r="I85" s="201"/>
      <c r="J85" s="5"/>
      <c r="K85" s="180"/>
      <c r="L85" s="5"/>
      <c r="M85" s="5"/>
      <c r="N85" s="5"/>
      <c r="O85" s="204">
        <f>IF(O84+1&lt;=MIN('Données projet'!$E$9:$E$18),O84+1,"STOP")</f>
        <v>52</v>
      </c>
      <c r="P85" s="194">
        <f t="shared" si="5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9">
        <f>'Données projet'!A89</f>
        <v>20</v>
      </c>
      <c r="B86" s="190">
        <f>'Données projet'!D89</f>
        <v>43</v>
      </c>
      <c r="C86" s="201">
        <v>10</v>
      </c>
      <c r="D86" s="188">
        <f t="shared" ref="D86:D104" si="6">B86*C86</f>
        <v>430</v>
      </c>
      <c r="E86" s="203"/>
      <c r="F86" s="260"/>
      <c r="G86" s="219"/>
      <c r="H86" s="200"/>
      <c r="I86" s="201"/>
      <c r="J86" s="5"/>
      <c r="K86" s="180"/>
      <c r="L86" s="5"/>
      <c r="M86" s="5"/>
      <c r="N86" s="5"/>
      <c r="O86" s="204">
        <f>IF(O85+1&lt;=MIN('Données projet'!$E$9:$E$18),O85+1,"STOP")</f>
        <v>53</v>
      </c>
      <c r="P86" s="194">
        <f t="shared" si="5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9">
        <f>'Données projet'!A90</f>
        <v>25</v>
      </c>
      <c r="B87" s="190">
        <f>'Données projet'!D90</f>
        <v>0</v>
      </c>
      <c r="C87" s="201"/>
      <c r="D87" s="188">
        <f t="shared" si="6"/>
        <v>0</v>
      </c>
      <c r="E87" s="203"/>
      <c r="F87" s="260"/>
      <c r="G87" s="219"/>
      <c r="H87" s="200"/>
      <c r="I87" s="201"/>
      <c r="J87" s="5"/>
      <c r="K87" s="180"/>
      <c r="L87" s="5"/>
      <c r="M87" s="5"/>
      <c r="N87" s="5"/>
      <c r="O87" s="204">
        <f>IF(O86+1&lt;=MIN('Données projet'!$E$9:$E$18),O86+1,"STOP")</f>
        <v>54</v>
      </c>
      <c r="P87" s="194">
        <f t="shared" si="5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9">
        <f>'Données projet'!A91</f>
        <v>30</v>
      </c>
      <c r="B88" s="190">
        <f>'Données projet'!D91</f>
        <v>56</v>
      </c>
      <c r="C88" s="201">
        <v>10</v>
      </c>
      <c r="D88" s="188">
        <f t="shared" si="6"/>
        <v>560</v>
      </c>
      <c r="E88" s="203"/>
      <c r="F88" s="260"/>
      <c r="G88" s="219"/>
      <c r="H88" s="200"/>
      <c r="I88" s="201"/>
      <c r="J88" s="5"/>
      <c r="K88" s="180"/>
      <c r="L88" s="5"/>
      <c r="M88" s="5"/>
      <c r="N88" s="5"/>
      <c r="O88" s="204">
        <f>IF(O87+1&lt;=MIN('Données projet'!$E$9:$E$18),O87+1,"STOP")</f>
        <v>55</v>
      </c>
      <c r="P88" s="194">
        <f t="shared" si="5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9">
        <f>'Données projet'!A92</f>
        <v>35</v>
      </c>
      <c r="B89" s="190">
        <f>'Données projet'!D92</f>
        <v>0</v>
      </c>
      <c r="C89" s="201"/>
      <c r="D89" s="188">
        <f t="shared" si="6"/>
        <v>0</v>
      </c>
      <c r="E89" s="203"/>
      <c r="F89" s="260"/>
      <c r="G89" s="219"/>
      <c r="H89" s="200"/>
      <c r="I89" s="201"/>
      <c r="J89" s="5"/>
      <c r="K89" s="180"/>
      <c r="L89" s="5"/>
      <c r="M89" s="5"/>
      <c r="N89" s="5"/>
      <c r="O89" s="204">
        <f>IF(O88+1&lt;=MIN('Données projet'!$E$9:$E$18),O88+1,"STOP")</f>
        <v>56</v>
      </c>
      <c r="P89" s="194">
        <f t="shared" si="5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9">
        <f>'Données projet'!A93</f>
        <v>40</v>
      </c>
      <c r="B90" s="190">
        <f>'Données projet'!D93</f>
        <v>56</v>
      </c>
      <c r="C90" s="201">
        <v>20</v>
      </c>
      <c r="D90" s="188">
        <f t="shared" si="6"/>
        <v>1120</v>
      </c>
      <c r="E90" s="203"/>
      <c r="F90" s="260"/>
      <c r="G90" s="219"/>
      <c r="H90" s="200"/>
      <c r="I90" s="201"/>
      <c r="J90" s="5"/>
      <c r="K90" s="180"/>
      <c r="L90" s="5"/>
      <c r="M90" s="5"/>
      <c r="N90" s="5"/>
      <c r="O90" s="204">
        <f>IF(O89+1&lt;=MIN('Données projet'!$E$9:$E$18),O89+1,"STOP")</f>
        <v>57</v>
      </c>
      <c r="P90" s="194">
        <f t="shared" si="5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9">
        <f>'Données projet'!A94</f>
        <v>45</v>
      </c>
      <c r="B91" s="190">
        <f>'Données projet'!D94</f>
        <v>0</v>
      </c>
      <c r="C91" s="201"/>
      <c r="D91" s="188">
        <f t="shared" si="6"/>
        <v>0</v>
      </c>
      <c r="E91" s="203"/>
      <c r="F91" s="260"/>
      <c r="G91" s="220"/>
      <c r="H91" s="200"/>
      <c r="I91" s="201"/>
      <c r="J91" s="5"/>
      <c r="K91" s="180"/>
      <c r="L91" s="5"/>
      <c r="M91" s="5"/>
      <c r="N91" s="5"/>
      <c r="O91" s="204">
        <f>IF(O90+1&lt;=MIN('Données projet'!$E$9:$E$18),O90+1,"STOP")</f>
        <v>58</v>
      </c>
      <c r="P91" s="194">
        <f t="shared" si="5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9">
        <f>'Données projet'!A95</f>
        <v>50</v>
      </c>
      <c r="B92" s="190">
        <f>'Données projet'!D95</f>
        <v>39</v>
      </c>
      <c r="C92" s="201">
        <v>30</v>
      </c>
      <c r="D92" s="188">
        <f t="shared" si="6"/>
        <v>1170</v>
      </c>
      <c r="E92" s="203"/>
      <c r="F92" s="260"/>
      <c r="G92" s="220"/>
      <c r="H92" s="200"/>
      <c r="I92" s="201"/>
      <c r="J92" s="5"/>
      <c r="K92" s="180"/>
      <c r="L92" s="5"/>
      <c r="M92" s="5"/>
      <c r="N92" s="5"/>
      <c r="O92" s="204">
        <f>IF(O91+1&lt;=MIN('Données projet'!$E$9:$E$18),O91+1,"STOP")</f>
        <v>59</v>
      </c>
      <c r="P92" s="194">
        <f t="shared" si="5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9">
        <f>'Données projet'!A96</f>
        <v>55</v>
      </c>
      <c r="B93" s="190">
        <f>'Données projet'!D96</f>
        <v>0</v>
      </c>
      <c r="C93" s="201"/>
      <c r="D93" s="188">
        <f t="shared" si="6"/>
        <v>0</v>
      </c>
      <c r="E93" s="203"/>
      <c r="F93" s="260"/>
      <c r="G93" s="220"/>
      <c r="H93" s="200"/>
      <c r="I93" s="201"/>
      <c r="J93" s="5"/>
      <c r="K93" s="180"/>
      <c r="L93" s="5"/>
      <c r="M93" s="5"/>
      <c r="N93" s="5"/>
      <c r="O93" s="204">
        <f>IF(O92+1&lt;=MIN('Données projet'!$E$9:$E$18),O92+1,"STOP")</f>
        <v>60</v>
      </c>
      <c r="P93" s="194">
        <f t="shared" si="5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9">
        <f>'Données projet'!A97</f>
        <v>60</v>
      </c>
      <c r="B94" s="190">
        <f>'Données projet'!D97</f>
        <v>25</v>
      </c>
      <c r="C94" s="201">
        <v>30</v>
      </c>
      <c r="D94" s="188">
        <f t="shared" si="6"/>
        <v>750</v>
      </c>
      <c r="E94" s="203"/>
      <c r="F94" s="260"/>
      <c r="G94" s="220"/>
      <c r="H94" s="200"/>
      <c r="I94" s="201"/>
      <c r="J94" s="5"/>
      <c r="K94" s="180"/>
      <c r="L94" s="5"/>
      <c r="M94" s="5"/>
      <c r="N94" s="5"/>
      <c r="O94" s="204">
        <f>IF(O93+1&lt;=MIN('Données projet'!$E$9:$E$18),O93+1,"STOP")</f>
        <v>61</v>
      </c>
      <c r="P94" s="194">
        <f t="shared" si="5"/>
        <v>0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9">
        <f>'Données projet'!A98</f>
        <v>65</v>
      </c>
      <c r="B95" s="190">
        <f>'Données projet'!D98</f>
        <v>0</v>
      </c>
      <c r="C95" s="201"/>
      <c r="D95" s="188">
        <f t="shared" si="6"/>
        <v>0</v>
      </c>
      <c r="E95" s="203"/>
      <c r="F95" s="260"/>
      <c r="G95" s="220"/>
      <c r="H95" s="200"/>
      <c r="I95" s="201"/>
      <c r="J95" s="5"/>
      <c r="K95" s="180"/>
      <c r="L95" s="5"/>
      <c r="M95" s="5"/>
      <c r="N95" s="5"/>
      <c r="O95" s="204">
        <f>IF(O94+1&lt;=MIN('Données projet'!$E$9:$E$18),O94+1,"STOP")</f>
        <v>62</v>
      </c>
      <c r="P95" s="194">
        <f t="shared" si="5"/>
        <v>0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9">
        <f>'Données projet'!A99</f>
        <v>70</v>
      </c>
      <c r="B96" s="190">
        <f>'Données projet'!D99</f>
        <v>21</v>
      </c>
      <c r="C96" s="201">
        <v>40</v>
      </c>
      <c r="D96" s="188">
        <f t="shared" si="6"/>
        <v>840</v>
      </c>
      <c r="E96" s="203"/>
      <c r="F96" s="260"/>
      <c r="G96" s="220"/>
      <c r="H96" s="200"/>
      <c r="I96" s="201"/>
      <c r="J96" s="5"/>
      <c r="K96" s="180"/>
      <c r="L96" s="5"/>
      <c r="M96" s="5"/>
      <c r="N96" s="5"/>
      <c r="O96" s="204">
        <f>IF(O95+1&lt;=MIN('Données projet'!$E$9:$E$18),O95+1,"STOP")</f>
        <v>63</v>
      </c>
      <c r="P96" s="194">
        <f t="shared" si="5"/>
        <v>0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9">
        <f>'Données projet'!A100</f>
        <v>75</v>
      </c>
      <c r="B97" s="190">
        <f>'Données projet'!D100</f>
        <v>9</v>
      </c>
      <c r="C97" s="201">
        <v>50</v>
      </c>
      <c r="D97" s="188">
        <f t="shared" si="6"/>
        <v>450</v>
      </c>
      <c r="E97" s="203"/>
      <c r="F97" s="260"/>
      <c r="G97" s="220"/>
      <c r="H97" s="200"/>
      <c r="I97" s="201"/>
      <c r="J97" s="5"/>
      <c r="K97" s="180"/>
      <c r="L97" s="5"/>
      <c r="M97" s="5"/>
      <c r="N97" s="5"/>
      <c r="O97" s="204">
        <f>IF(O96+1&lt;=MIN('Données projet'!$E$9:$E$18),O96+1,"STOP")</f>
        <v>64</v>
      </c>
      <c r="P97" s="194">
        <f t="shared" ref="P97:P128" si="7">$P$25/(1+$M$4)^O97</f>
        <v>0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9">
        <f>'Données projet'!A101</f>
        <v>80</v>
      </c>
      <c r="B98" s="190">
        <f>'Données projet'!D101</f>
        <v>276</v>
      </c>
      <c r="C98" s="201">
        <v>50</v>
      </c>
      <c r="D98" s="188">
        <f t="shared" si="6"/>
        <v>13800</v>
      </c>
      <c r="E98" s="203"/>
      <c r="F98" s="260"/>
      <c r="G98" s="220"/>
      <c r="H98" s="200"/>
      <c r="I98" s="201"/>
      <c r="J98" s="5"/>
      <c r="K98" s="180"/>
      <c r="L98" s="5"/>
      <c r="M98" s="5"/>
      <c r="N98" s="5"/>
      <c r="O98" s="204">
        <f>IF(O97+1&lt;=MIN('Données projet'!$E$9:$E$18),O97+1,"STOP")</f>
        <v>65</v>
      </c>
      <c r="P98" s="194">
        <f t="shared" si="7"/>
        <v>0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9">
        <f>'Données projet'!A102</f>
        <v>0</v>
      </c>
      <c r="B99" s="190">
        <f>'Données projet'!D102</f>
        <v>0</v>
      </c>
      <c r="C99" s="203">
        <v>50</v>
      </c>
      <c r="D99" s="188">
        <f t="shared" si="6"/>
        <v>0</v>
      </c>
      <c r="E99" s="203"/>
      <c r="F99" s="260"/>
      <c r="G99" s="220"/>
      <c r="H99" s="200"/>
      <c r="I99" s="201"/>
      <c r="J99" s="5"/>
      <c r="K99" s="180"/>
      <c r="L99" s="5"/>
      <c r="M99" s="5"/>
      <c r="N99" s="5"/>
      <c r="O99" s="204">
        <f>IF(O98+1&lt;=MIN('Données projet'!$E$9:$E$18),O98+1,"STOP")</f>
        <v>66</v>
      </c>
      <c r="P99" s="194">
        <f t="shared" si="7"/>
        <v>0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9">
        <f>'Données projet'!A103</f>
        <v>0</v>
      </c>
      <c r="B100" s="190">
        <f>'Données projet'!D103</f>
        <v>0</v>
      </c>
      <c r="C100" s="203"/>
      <c r="D100" s="188">
        <f t="shared" si="6"/>
        <v>0</v>
      </c>
      <c r="E100" s="203"/>
      <c r="F100" s="260"/>
      <c r="G100" s="220"/>
      <c r="H100" s="200"/>
      <c r="I100" s="201"/>
      <c r="J100" s="5"/>
      <c r="K100" s="180"/>
      <c r="L100" s="5"/>
      <c r="M100" s="5"/>
      <c r="N100" s="5"/>
      <c r="O100" s="204">
        <f>IF(O99+1&lt;=MIN('Données projet'!$E$9:$E$18),O99+1,"STOP")</f>
        <v>67</v>
      </c>
      <c r="P100" s="194">
        <f t="shared" si="7"/>
        <v>0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9">
        <f>'Données projet'!A104</f>
        <v>0</v>
      </c>
      <c r="B101" s="190">
        <f>'Données projet'!D104</f>
        <v>0</v>
      </c>
      <c r="C101" s="203"/>
      <c r="D101" s="188">
        <f t="shared" si="6"/>
        <v>0</v>
      </c>
      <c r="E101" s="203"/>
      <c r="F101" s="260"/>
      <c r="G101" s="220"/>
      <c r="H101" s="200"/>
      <c r="I101" s="201"/>
      <c r="J101" s="5"/>
      <c r="K101" s="180"/>
      <c r="L101" s="5"/>
      <c r="M101" s="5"/>
      <c r="N101" s="5"/>
      <c r="O101" s="204">
        <f>IF(O100+1&lt;=MIN('Données projet'!$E$9:$E$18),O100+1,"STOP")</f>
        <v>68</v>
      </c>
      <c r="P101" s="194">
        <f t="shared" si="7"/>
        <v>0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9">
        <f>'Données projet'!A105</f>
        <v>0</v>
      </c>
      <c r="B102" s="190">
        <f>'Données projet'!D105</f>
        <v>0</v>
      </c>
      <c r="C102" s="203"/>
      <c r="D102" s="188">
        <f t="shared" si="6"/>
        <v>0</v>
      </c>
      <c r="E102" s="203"/>
      <c r="F102" s="260"/>
      <c r="G102" s="220"/>
      <c r="H102" s="200"/>
      <c r="I102" s="201"/>
      <c r="J102" s="5"/>
      <c r="K102" s="180"/>
      <c r="L102" s="5"/>
      <c r="M102" s="5"/>
      <c r="N102" s="5"/>
      <c r="O102" s="204">
        <f>IF(O101+1&lt;=MIN('Données projet'!$E$9:$E$18),O101+1,"STOP")</f>
        <v>69</v>
      </c>
      <c r="P102" s="194">
        <f t="shared" si="7"/>
        <v>0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9">
        <f>'Données projet'!A106</f>
        <v>0</v>
      </c>
      <c r="B103" s="190">
        <f>'Données projet'!D106</f>
        <v>0</v>
      </c>
      <c r="C103" s="203"/>
      <c r="D103" s="188">
        <f t="shared" si="6"/>
        <v>0</v>
      </c>
      <c r="E103" s="203"/>
      <c r="F103" s="260"/>
      <c r="G103" s="220"/>
      <c r="H103" s="200"/>
      <c r="I103" s="201"/>
      <c r="J103" s="5"/>
      <c r="K103" s="180"/>
      <c r="L103" s="5"/>
      <c r="M103" s="5"/>
      <c r="N103" s="5"/>
      <c r="O103" s="204">
        <f>IF(O102+1&lt;=MIN('Données projet'!$E$9:$E$18),O102+1,"STOP")</f>
        <v>70</v>
      </c>
      <c r="P103" s="194">
        <f t="shared" si="7"/>
        <v>0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9">
        <f>'Données projet'!A107</f>
        <v>0</v>
      </c>
      <c r="B104" s="190">
        <f>'Données projet'!D107</f>
        <v>0</v>
      </c>
      <c r="C104" s="203"/>
      <c r="D104" s="188">
        <f t="shared" si="6"/>
        <v>0</v>
      </c>
      <c r="E104" s="203"/>
      <c r="F104" s="260"/>
      <c r="G104" s="220"/>
      <c r="H104" s="200"/>
      <c r="I104" s="201"/>
      <c r="J104" s="5"/>
      <c r="K104" s="180"/>
      <c r="L104" s="5"/>
      <c r="M104" s="5"/>
      <c r="N104" s="5"/>
      <c r="O104" s="204">
        <f>IF(O103+1&lt;=MIN('Données projet'!$E$9:$E$18),O103+1,"STOP")</f>
        <v>71</v>
      </c>
      <c r="P104" s="194">
        <f t="shared" si="7"/>
        <v>0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0"/>
      <c r="I105" s="201"/>
      <c r="J105" s="5"/>
      <c r="K105" s="180"/>
      <c r="L105" s="5"/>
      <c r="M105" s="5"/>
      <c r="N105" s="5"/>
      <c r="O105" s="204">
        <f>IF(O104+1&lt;=MIN('Données projet'!$E$9:$E$18),O104+1,"STOP")</f>
        <v>72</v>
      </c>
      <c r="P105" s="194">
        <f t="shared" si="7"/>
        <v>0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0"/>
      <c r="I106" s="201"/>
      <c r="J106" s="5"/>
      <c r="K106" s="180"/>
      <c r="L106" s="5"/>
      <c r="M106" s="5"/>
      <c r="N106" s="5"/>
      <c r="O106" s="204">
        <f>IF(O105+1&lt;=MIN('Données projet'!$E$9:$E$18),O105+1,"STOP")</f>
        <v>73</v>
      </c>
      <c r="P106" s="194">
        <f t="shared" si="7"/>
        <v>0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3" t="str">
        <f>IF('Données projet'!B12="","",'Données projet'!B12)</f>
        <v>Chêne pédonculé</v>
      </c>
      <c r="C107" s="5"/>
      <c r="D107" s="5"/>
      <c r="E107" s="5"/>
      <c r="F107" s="258"/>
      <c r="G107" s="220"/>
      <c r="H107" s="200"/>
      <c r="I107" s="201"/>
      <c r="J107" s="5"/>
      <c r="K107" s="180"/>
      <c r="L107" s="5"/>
      <c r="M107" s="5"/>
      <c r="N107" s="5"/>
      <c r="O107" s="204">
        <f>IF(O106+1&lt;=MIN('Données projet'!$E$9:$E$18),O106+1,"STOP")</f>
        <v>74</v>
      </c>
      <c r="P107" s="194">
        <f t="shared" si="7"/>
        <v>0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0"/>
      <c r="I108" s="201"/>
      <c r="J108" s="5"/>
      <c r="K108" s="180"/>
      <c r="L108" s="5"/>
      <c r="M108" s="5"/>
      <c r="N108" s="5"/>
      <c r="O108" s="204">
        <f>IF(O107+1&lt;=MIN('Données projet'!$E$9:$E$18),O107+1,"STOP")</f>
        <v>75</v>
      </c>
      <c r="P108" s="194">
        <f t="shared" si="7"/>
        <v>0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0"/>
      <c r="I109" s="201"/>
      <c r="J109" s="5"/>
      <c r="K109" s="180"/>
      <c r="L109" s="5"/>
      <c r="M109" s="5"/>
      <c r="N109" s="5"/>
      <c r="O109" s="204">
        <f>IF(O108+1&lt;=MIN('Données projet'!$E$9:$E$18),O108+1,"STOP")</f>
        <v>76</v>
      </c>
      <c r="P109" s="194">
        <f t="shared" si="7"/>
        <v>0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3"/>
      <c r="F110" s="259"/>
      <c r="G110" s="220"/>
      <c r="H110" s="200"/>
      <c r="I110" s="201"/>
      <c r="J110" s="5"/>
      <c r="K110" s="180"/>
      <c r="L110" s="5"/>
      <c r="M110" s="5"/>
      <c r="N110" s="5"/>
      <c r="O110" s="204">
        <f>IF(O109+1&lt;=MIN('Données projet'!$E$9:$E$18),O109+1,"STOP")</f>
        <v>77</v>
      </c>
      <c r="P110" s="194">
        <f t="shared" si="7"/>
        <v>0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3"/>
      <c r="F111" s="259"/>
      <c r="G111" s="218"/>
      <c r="H111" s="200"/>
      <c r="I111" s="201"/>
      <c r="J111" s="5"/>
      <c r="K111" s="180"/>
      <c r="L111" s="5"/>
      <c r="M111" s="5"/>
      <c r="N111" s="5"/>
      <c r="O111" s="204">
        <f>IF(O110+1&lt;=MIN('Données projet'!$E$9:$E$18),O110+1,"STOP")</f>
        <v>78</v>
      </c>
      <c r="P111" s="194">
        <f t="shared" si="7"/>
        <v>0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3"/>
      <c r="F112" s="259"/>
      <c r="G112" s="218"/>
      <c r="H112" s="200"/>
      <c r="I112" s="201"/>
      <c r="J112" s="5"/>
      <c r="K112" s="180"/>
      <c r="L112" s="5"/>
      <c r="M112" s="5"/>
      <c r="N112" s="5"/>
      <c r="O112" s="204">
        <f>IF(O111+1&lt;=MIN('Données projet'!$E$9:$E$18),O111+1,"STOP")</f>
        <v>79</v>
      </c>
      <c r="P112" s="194">
        <f t="shared" si="7"/>
        <v>0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3"/>
      <c r="F113" s="259"/>
      <c r="G113" s="218"/>
      <c r="H113" s="200"/>
      <c r="I113" s="201"/>
      <c r="J113" s="5"/>
      <c r="K113" s="180"/>
      <c r="L113" s="5"/>
      <c r="M113" s="5"/>
      <c r="N113" s="5"/>
      <c r="O113" s="204">
        <f>IF(O112+1&lt;=MIN('Données projet'!$E$9:$E$18),O112+1,"STOP")</f>
        <v>80</v>
      </c>
      <c r="P113" s="194">
        <f t="shared" si="7"/>
        <v>0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3"/>
      <c r="F114" s="259"/>
      <c r="G114" s="218"/>
      <c r="H114" s="200"/>
      <c r="I114" s="201"/>
      <c r="J114" s="5"/>
      <c r="K114" s="180"/>
      <c r="L114" s="5"/>
      <c r="M114" s="5"/>
      <c r="N114" s="5"/>
      <c r="O114" s="204" t="str">
        <f>IF(O113+1&lt;=MIN('Données projet'!$E$9:$E$18),O113+1,"STOP")</f>
        <v>STOP</v>
      </c>
      <c r="P114" s="194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3"/>
      <c r="F115" s="259"/>
      <c r="G115" s="219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9">
        <f>'Données projet'!A114</f>
        <v>20</v>
      </c>
      <c r="B116" s="190">
        <f>'Données projet'!D114</f>
        <v>0</v>
      </c>
      <c r="C116" s="201"/>
      <c r="D116" s="188">
        <f>B116*C116</f>
        <v>0</v>
      </c>
      <c r="E116" s="203"/>
      <c r="F116" s="260"/>
      <c r="G116" s="219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9">
        <f>'Données projet'!A115</f>
        <v>25</v>
      </c>
      <c r="B117" s="190">
        <f>'Données projet'!D115</f>
        <v>0</v>
      </c>
      <c r="C117" s="201"/>
      <c r="D117" s="188">
        <f t="shared" ref="D117:D135" si="8">B117*C117</f>
        <v>0</v>
      </c>
      <c r="E117" s="203"/>
      <c r="F117" s="260"/>
      <c r="G117" s="219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9">
        <f>'Données projet'!A116</f>
        <v>30</v>
      </c>
      <c r="B118" s="190">
        <f>'Données projet'!D116</f>
        <v>29</v>
      </c>
      <c r="C118" s="201">
        <v>10</v>
      </c>
      <c r="D118" s="188">
        <f t="shared" si="8"/>
        <v>290</v>
      </c>
      <c r="E118" s="203"/>
      <c r="F118" s="260"/>
      <c r="G118" s="219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9">
        <f>'Données projet'!A117</f>
        <v>35</v>
      </c>
      <c r="B119" s="190">
        <f>'Données projet'!D117</f>
        <v>0</v>
      </c>
      <c r="C119" s="201"/>
      <c r="D119" s="188">
        <f t="shared" si="8"/>
        <v>0</v>
      </c>
      <c r="E119" s="203"/>
      <c r="F119" s="260"/>
      <c r="G119" s="219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9">
        <f>'Données projet'!A118</f>
        <v>40</v>
      </c>
      <c r="B120" s="190">
        <f>'Données projet'!D118</f>
        <v>42</v>
      </c>
      <c r="C120" s="201">
        <v>10</v>
      </c>
      <c r="D120" s="188">
        <f t="shared" si="8"/>
        <v>420</v>
      </c>
      <c r="E120" s="203"/>
      <c r="F120" s="260"/>
      <c r="G120" s="219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9">
        <f>'Données projet'!A119</f>
        <v>45</v>
      </c>
      <c r="B121" s="190">
        <f>'Données projet'!D119</f>
        <v>0</v>
      </c>
      <c r="C121" s="201"/>
      <c r="D121" s="188">
        <f t="shared" si="8"/>
        <v>0</v>
      </c>
      <c r="E121" s="203"/>
      <c r="F121" s="260"/>
      <c r="G121" s="219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9">
        <f>'Données projet'!A120</f>
        <v>50</v>
      </c>
      <c r="B122" s="190">
        <f>'Données projet'!D120</f>
        <v>42</v>
      </c>
      <c r="C122" s="201">
        <v>15</v>
      </c>
      <c r="D122" s="188">
        <f t="shared" si="8"/>
        <v>630</v>
      </c>
      <c r="E122" s="203"/>
      <c r="F122" s="260"/>
      <c r="G122" s="220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9">
        <f>'Données projet'!A121</f>
        <v>55</v>
      </c>
      <c r="B123" s="190">
        <f>'Données projet'!D121</f>
        <v>0</v>
      </c>
      <c r="C123" s="201"/>
      <c r="D123" s="188">
        <f t="shared" si="8"/>
        <v>0</v>
      </c>
      <c r="E123" s="203"/>
      <c r="F123" s="260"/>
      <c r="G123" s="220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9">
        <f>'Données projet'!A122</f>
        <v>60</v>
      </c>
      <c r="B124" s="190">
        <f>'Données projet'!D122</f>
        <v>42</v>
      </c>
      <c r="C124" s="201">
        <v>20</v>
      </c>
      <c r="D124" s="188">
        <f t="shared" si="8"/>
        <v>840</v>
      </c>
      <c r="E124" s="203"/>
      <c r="F124" s="260"/>
      <c r="G124" s="220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9">
        <f>'Données projet'!A123</f>
        <v>65</v>
      </c>
      <c r="B125" s="190">
        <f>'Données projet'!D123</f>
        <v>0</v>
      </c>
      <c r="C125" s="201"/>
      <c r="D125" s="188">
        <f t="shared" si="8"/>
        <v>0</v>
      </c>
      <c r="E125" s="203"/>
      <c r="F125" s="260"/>
      <c r="G125" s="220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9">
        <f>'Données projet'!A124</f>
        <v>70</v>
      </c>
      <c r="B126" s="190">
        <f>'Données projet'!D124</f>
        <v>42</v>
      </c>
      <c r="C126" s="201">
        <v>40</v>
      </c>
      <c r="D126" s="188">
        <f t="shared" si="8"/>
        <v>1680</v>
      </c>
      <c r="E126" s="203"/>
      <c r="F126" s="260"/>
      <c r="G126" s="220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9">
        <f>'Données projet'!A125</f>
        <v>75</v>
      </c>
      <c r="B127" s="190">
        <f>'Données projet'!D125</f>
        <v>0</v>
      </c>
      <c r="C127" s="201"/>
      <c r="D127" s="188">
        <f t="shared" si="8"/>
        <v>0</v>
      </c>
      <c r="E127" s="203"/>
      <c r="F127" s="260"/>
      <c r="G127" s="220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9">
        <f>'Données projet'!A126</f>
        <v>80</v>
      </c>
      <c r="B128" s="190">
        <f>'Données projet'!D126</f>
        <v>42</v>
      </c>
      <c r="C128" s="201">
        <v>60</v>
      </c>
      <c r="D128" s="188">
        <f t="shared" si="8"/>
        <v>2520</v>
      </c>
      <c r="E128" s="203"/>
      <c r="F128" s="260"/>
      <c r="G128" s="220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9">
        <f>'Données projet'!A127</f>
        <v>90</v>
      </c>
      <c r="B129" s="190">
        <f>'Données projet'!D127</f>
        <v>42</v>
      </c>
      <c r="C129" s="201">
        <v>80</v>
      </c>
      <c r="D129" s="188">
        <f t="shared" si="8"/>
        <v>3360</v>
      </c>
      <c r="E129" s="203"/>
      <c r="F129" s="260"/>
      <c r="G129" s="220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9">
        <f>'Données projet'!A128</f>
        <v>100</v>
      </c>
      <c r="B130" s="190">
        <f>'Données projet'!D128</f>
        <v>42</v>
      </c>
      <c r="C130" s="201">
        <v>100</v>
      </c>
      <c r="D130" s="188">
        <f t="shared" si="8"/>
        <v>4200</v>
      </c>
      <c r="E130" s="203"/>
      <c r="F130" s="260"/>
      <c r="G130" s="220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9">
        <f>'Données projet'!A129</f>
        <v>110</v>
      </c>
      <c r="B131" s="190">
        <f>'Données projet'!D129</f>
        <v>39</v>
      </c>
      <c r="C131" s="201">
        <v>110</v>
      </c>
      <c r="D131" s="188">
        <f t="shared" si="8"/>
        <v>4290</v>
      </c>
      <c r="E131" s="203"/>
      <c r="F131" s="260"/>
      <c r="G131" s="220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9">
        <f>'Données projet'!A130</f>
        <v>120</v>
      </c>
      <c r="B132" s="190">
        <f>'Données projet'!D130</f>
        <v>35</v>
      </c>
      <c r="C132" s="201">
        <v>130</v>
      </c>
      <c r="D132" s="188">
        <f t="shared" si="8"/>
        <v>4550</v>
      </c>
      <c r="E132" s="203"/>
      <c r="F132" s="260"/>
      <c r="G132" s="220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9">
        <f>'Données projet'!A131</f>
        <v>130</v>
      </c>
      <c r="B133" s="190">
        <f>'Données projet'!D131</f>
        <v>31</v>
      </c>
      <c r="C133" s="201">
        <v>150</v>
      </c>
      <c r="D133" s="188">
        <f t="shared" si="8"/>
        <v>4650</v>
      </c>
      <c r="E133" s="203"/>
      <c r="F133" s="260"/>
      <c r="G133" s="220"/>
      <c r="H133" s="200"/>
      <c r="I133" s="201"/>
      <c r="J133" s="5"/>
      <c r="K133" s="180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9">
        <f>'Données projet'!A132</f>
        <v>140</v>
      </c>
      <c r="B134" s="190">
        <f>'Données projet'!D132</f>
        <v>27</v>
      </c>
      <c r="C134" s="201">
        <v>200</v>
      </c>
      <c r="D134" s="188">
        <f t="shared" si="8"/>
        <v>5400</v>
      </c>
      <c r="E134" s="203"/>
      <c r="F134" s="260"/>
      <c r="G134" s="220"/>
      <c r="H134" s="200"/>
      <c r="I134" s="201"/>
      <c r="J134" s="5"/>
      <c r="K134" s="180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9">
        <f>'Données projet'!A133</f>
        <v>150</v>
      </c>
      <c r="B135" s="190">
        <f>'Données projet'!D133</f>
        <v>293</v>
      </c>
      <c r="C135" s="201">
        <v>200</v>
      </c>
      <c r="D135" s="188">
        <f t="shared" si="8"/>
        <v>58600</v>
      </c>
      <c r="E135" s="203"/>
      <c r="F135" s="260"/>
      <c r="G135" s="220"/>
      <c r="H135" s="200"/>
      <c r="I135" s="201"/>
      <c r="J135" s="5"/>
      <c r="K135" s="180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0"/>
      <c r="I136" s="201"/>
      <c r="J136" s="5"/>
      <c r="K136" s="180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0"/>
      <c r="I137" s="201"/>
      <c r="J137" s="5"/>
      <c r="K137" s="180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3" t="str">
        <f>IF('Données projet'!B13="","",'Données projet'!B13)</f>
        <v>Charme</v>
      </c>
      <c r="C138" s="5"/>
      <c r="D138" s="5"/>
      <c r="E138" s="5"/>
      <c r="F138" s="258"/>
      <c r="G138" s="220"/>
      <c r="H138" s="200"/>
      <c r="I138" s="201"/>
      <c r="J138" s="5"/>
      <c r="K138" s="180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0"/>
      <c r="I139" s="201"/>
      <c r="J139" s="5"/>
      <c r="K139" s="180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0"/>
      <c r="I140" s="201"/>
      <c r="J140" s="5"/>
      <c r="K140" s="180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 t="s">
        <v>132</v>
      </c>
      <c r="D141" s="208" t="s">
        <v>132</v>
      </c>
      <c r="E141" s="203"/>
      <c r="F141" s="259"/>
      <c r="G141" s="220"/>
      <c r="H141" s="200"/>
      <c r="I141" s="201"/>
      <c r="J141" s="5"/>
      <c r="K141" s="180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 t="s">
        <v>132</v>
      </c>
      <c r="D142" s="208" t="s">
        <v>132</v>
      </c>
      <c r="E142" s="203"/>
      <c r="F142" s="259"/>
      <c r="G142" s="218"/>
      <c r="H142" s="200"/>
      <c r="I142" s="201"/>
      <c r="J142" s="5"/>
      <c r="K142" s="180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 t="s">
        <v>132</v>
      </c>
      <c r="D143" s="208" t="s">
        <v>132</v>
      </c>
      <c r="E143" s="203"/>
      <c r="F143" s="259"/>
      <c r="G143" s="218"/>
      <c r="H143" s="200"/>
      <c r="I143" s="201"/>
      <c r="J143" s="5"/>
      <c r="K143" s="180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 t="s">
        <v>132</v>
      </c>
      <c r="D144" s="208" t="s">
        <v>132</v>
      </c>
      <c r="E144" s="203"/>
      <c r="F144" s="259"/>
      <c r="G144" s="218"/>
      <c r="H144" s="200"/>
      <c r="I144" s="201"/>
      <c r="J144" s="5"/>
      <c r="K144" s="180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 t="s">
        <v>132</v>
      </c>
      <c r="D145" s="208" t="s">
        <v>132</v>
      </c>
      <c r="E145" s="203"/>
      <c r="F145" s="259"/>
      <c r="G145" s="218"/>
      <c r="H145" s="200"/>
      <c r="I145" s="201"/>
      <c r="J145" s="5"/>
      <c r="K145" s="180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9" t="s">
        <v>132</v>
      </c>
      <c r="D146" s="208" t="s">
        <v>132</v>
      </c>
      <c r="E146" s="203"/>
      <c r="F146" s="259"/>
      <c r="G146" s="219"/>
      <c r="H146" s="200"/>
      <c r="I146" s="201"/>
      <c r="J146" s="5"/>
      <c r="K146" s="180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4">
        <f>'Données projet'!D140</f>
        <v>0</v>
      </c>
      <c r="C147" s="203"/>
      <c r="D147" s="191">
        <f>B147*C147</f>
        <v>0</v>
      </c>
      <c r="E147" s="203"/>
      <c r="F147" s="261"/>
      <c r="G147" s="219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4">
        <f>'Données projet'!D141</f>
        <v>0</v>
      </c>
      <c r="C148" s="203"/>
      <c r="D148" s="191">
        <f t="shared" ref="D148:D166" si="10">B148*C148</f>
        <v>0</v>
      </c>
      <c r="E148" s="203"/>
      <c r="F148" s="261"/>
      <c r="G148" s="219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4">
        <f>'Données projet'!D142</f>
        <v>26.923076923076923</v>
      </c>
      <c r="C149" s="201">
        <v>10</v>
      </c>
      <c r="D149" s="191">
        <f t="shared" si="10"/>
        <v>269.23076923076923</v>
      </c>
      <c r="E149" s="203"/>
      <c r="F149" s="261"/>
      <c r="G149" s="219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4">
        <f>'Données projet'!D143</f>
        <v>0</v>
      </c>
      <c r="C150" s="201"/>
      <c r="D150" s="191">
        <f t="shared" si="10"/>
        <v>0</v>
      </c>
      <c r="E150" s="203"/>
      <c r="F150" s="261"/>
      <c r="G150" s="219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4">
        <f>'Données projet'!D144</f>
        <v>26.282051282051281</v>
      </c>
      <c r="C151" s="201">
        <v>10</v>
      </c>
      <c r="D151" s="191">
        <f t="shared" si="10"/>
        <v>262.82051282051282</v>
      </c>
      <c r="E151" s="203"/>
      <c r="F151" s="261"/>
      <c r="G151" s="219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4">
        <f>'Données projet'!D145</f>
        <v>0</v>
      </c>
      <c r="C152" s="201"/>
      <c r="D152" s="191">
        <f t="shared" si="10"/>
        <v>0</v>
      </c>
      <c r="E152" s="203"/>
      <c r="F152" s="261"/>
      <c r="G152" s="219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4">
        <f>'Données projet'!D146</f>
        <v>28.205128205128204</v>
      </c>
      <c r="C153" s="201">
        <v>15</v>
      </c>
      <c r="D153" s="191">
        <f t="shared" si="10"/>
        <v>423.07692307692309</v>
      </c>
      <c r="E153" s="203"/>
      <c r="F153" s="261"/>
      <c r="G153" s="215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4">
        <f>'Données projet'!D147</f>
        <v>0</v>
      </c>
      <c r="C154" s="201"/>
      <c r="D154" s="191">
        <f t="shared" si="10"/>
        <v>0</v>
      </c>
      <c r="E154" s="203"/>
      <c r="F154" s="261"/>
      <c r="G154" s="215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4">
        <f>'Données projet'!D148</f>
        <v>28.205128205128204</v>
      </c>
      <c r="C155" s="201">
        <v>20</v>
      </c>
      <c r="D155" s="191">
        <f t="shared" si="10"/>
        <v>564.10256410256409</v>
      </c>
      <c r="E155" s="203"/>
      <c r="F155" s="261"/>
      <c r="G155" s="215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4">
        <f>'Données projet'!D149</f>
        <v>0</v>
      </c>
      <c r="C156" s="201"/>
      <c r="D156" s="191">
        <f t="shared" si="10"/>
        <v>0</v>
      </c>
      <c r="E156" s="203"/>
      <c r="F156" s="261"/>
      <c r="G156" s="215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4">
        <f>'Données projet'!D150</f>
        <v>28.205128205128204</v>
      </c>
      <c r="C157" s="201">
        <v>20</v>
      </c>
      <c r="D157" s="191">
        <f t="shared" si="10"/>
        <v>564.10256410256409</v>
      </c>
      <c r="E157" s="203"/>
      <c r="F157" s="261"/>
      <c r="G157" s="215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4">
        <f>'Données projet'!D151</f>
        <v>0</v>
      </c>
      <c r="C158" s="201"/>
      <c r="D158" s="191">
        <f t="shared" si="10"/>
        <v>0</v>
      </c>
      <c r="E158" s="203"/>
      <c r="F158" s="261"/>
      <c r="G158" s="215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4">
        <f>'Données projet'!D152</f>
        <v>26.923076923076923</v>
      </c>
      <c r="C159" s="201">
        <v>25</v>
      </c>
      <c r="D159" s="191">
        <f t="shared" si="10"/>
        <v>673.07692307692309</v>
      </c>
      <c r="E159" s="203"/>
      <c r="F159" s="261"/>
      <c r="G159" s="215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4">
        <f>'Données projet'!D153</f>
        <v>0</v>
      </c>
      <c r="C160" s="201"/>
      <c r="D160" s="191">
        <f t="shared" si="10"/>
        <v>0</v>
      </c>
      <c r="E160" s="203"/>
      <c r="F160" s="261"/>
      <c r="G160" s="215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4">
        <f>'Données projet'!D154</f>
        <v>25.641025641025639</v>
      </c>
      <c r="C161" s="201">
        <v>30</v>
      </c>
      <c r="D161" s="191">
        <f t="shared" si="10"/>
        <v>769.23076923076917</v>
      </c>
      <c r="E161" s="203"/>
      <c r="F161" s="261"/>
      <c r="G161" s="215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4">
        <f>'Données projet'!D155</f>
        <v>0</v>
      </c>
      <c r="C162" s="203"/>
      <c r="D162" s="191">
        <f t="shared" si="10"/>
        <v>0</v>
      </c>
      <c r="E162" s="203"/>
      <c r="F162" s="261"/>
      <c r="G162" s="215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95</v>
      </c>
      <c r="B163" s="184">
        <f>'Données projet'!D156</f>
        <v>23.717948717948715</v>
      </c>
      <c r="C163" s="203">
        <v>35</v>
      </c>
      <c r="D163" s="191">
        <f t="shared" si="10"/>
        <v>830.12820512820508</v>
      </c>
      <c r="E163" s="203"/>
      <c r="F163" s="261"/>
      <c r="G163" s="215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100</v>
      </c>
      <c r="B164" s="184">
        <f>'Données projet'!D157</f>
        <v>0</v>
      </c>
      <c r="C164" s="203"/>
      <c r="D164" s="191">
        <f t="shared" si="10"/>
        <v>0</v>
      </c>
      <c r="E164" s="203"/>
      <c r="F164" s="261"/>
      <c r="G164" s="215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110</v>
      </c>
      <c r="B165" s="184">
        <f>'Données projet'!D158</f>
        <v>33.333333333333336</v>
      </c>
      <c r="C165" s="203">
        <v>40</v>
      </c>
      <c r="D165" s="191">
        <f t="shared" si="10"/>
        <v>1333.3333333333335</v>
      </c>
      <c r="E165" s="203"/>
      <c r="F165" s="261"/>
      <c r="G165" s="215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4">
        <f>'Données projet'!D159</f>
        <v>241.02564102564102</v>
      </c>
      <c r="C166" s="203">
        <v>50</v>
      </c>
      <c r="D166" s="191">
        <f t="shared" si="10"/>
        <v>12051.282051282051</v>
      </c>
      <c r="E166" s="203"/>
      <c r="F166" s="261"/>
      <c r="G166" s="215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3" t="str">
        <f>IF('Données projet'!B14="","",'Données projet'!B14)</f>
        <v/>
      </c>
      <c r="C169" s="5"/>
      <c r="D169" s="5"/>
      <c r="E169" s="5"/>
      <c r="F169" s="258"/>
      <c r="G169" s="215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/>
      <c r="D172" s="208" t="s">
        <v>132</v>
      </c>
      <c r="E172" s="203"/>
      <c r="F172" s="259"/>
      <c r="G172" s="215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/>
      <c r="D173" s="208" t="s">
        <v>132</v>
      </c>
      <c r="E173" s="203"/>
      <c r="F173" s="259"/>
      <c r="G173" s="218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/>
      <c r="D174" s="208" t="s">
        <v>132</v>
      </c>
      <c r="E174" s="203"/>
      <c r="F174" s="259"/>
      <c r="G174" s="218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/>
      <c r="D175" s="208" t="s">
        <v>132</v>
      </c>
      <c r="E175" s="203"/>
      <c r="F175" s="259"/>
      <c r="G175" s="218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/>
      <c r="D176" s="208" t="s">
        <v>132</v>
      </c>
      <c r="E176" s="203"/>
      <c r="F176" s="259"/>
      <c r="G176" s="218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/>
      <c r="D177" s="208" t="s">
        <v>132</v>
      </c>
      <c r="E177" s="203"/>
      <c r="F177" s="259"/>
      <c r="G177" s="219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9">
        <f>'Données projet'!A166</f>
        <v>0</v>
      </c>
      <c r="B178" s="190">
        <f>'Données projet'!D166</f>
        <v>0</v>
      </c>
      <c r="C178" s="201"/>
      <c r="D178" s="188">
        <f>B178*C178</f>
        <v>0</v>
      </c>
      <c r="E178" s="203"/>
      <c r="F178" s="260"/>
      <c r="G178" s="219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9">
        <f>'Données projet'!A167</f>
        <v>0</v>
      </c>
      <c r="B179" s="190">
        <f>'Données projet'!D167</f>
        <v>0</v>
      </c>
      <c r="C179" s="201"/>
      <c r="D179" s="188">
        <f t="shared" ref="D179:D197" si="11">B179*C179</f>
        <v>0</v>
      </c>
      <c r="E179" s="203"/>
      <c r="F179" s="260"/>
      <c r="G179" s="219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9">
        <f>'Données projet'!A168</f>
        <v>0</v>
      </c>
      <c r="B180" s="190">
        <f>'Données projet'!D168</f>
        <v>0</v>
      </c>
      <c r="C180" s="201"/>
      <c r="D180" s="188">
        <f t="shared" si="11"/>
        <v>0</v>
      </c>
      <c r="E180" s="203"/>
      <c r="F180" s="260"/>
      <c r="G180" s="219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9">
        <f>'Données projet'!A169</f>
        <v>0</v>
      </c>
      <c r="B181" s="190">
        <f>'Données projet'!D169</f>
        <v>0</v>
      </c>
      <c r="C181" s="201"/>
      <c r="D181" s="188">
        <f t="shared" si="11"/>
        <v>0</v>
      </c>
      <c r="E181" s="203"/>
      <c r="F181" s="260"/>
      <c r="G181" s="219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9">
        <f>'Données projet'!A170</f>
        <v>0</v>
      </c>
      <c r="B182" s="190">
        <f>'Données projet'!D170</f>
        <v>0</v>
      </c>
      <c r="C182" s="201"/>
      <c r="D182" s="188">
        <f t="shared" si="11"/>
        <v>0</v>
      </c>
      <c r="E182" s="203"/>
      <c r="F182" s="260"/>
      <c r="G182" s="219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9">
        <f>'Données projet'!A171</f>
        <v>0</v>
      </c>
      <c r="B183" s="190">
        <f>'Données projet'!D171</f>
        <v>0</v>
      </c>
      <c r="C183" s="201"/>
      <c r="D183" s="188">
        <f t="shared" si="11"/>
        <v>0</v>
      </c>
      <c r="E183" s="203"/>
      <c r="F183" s="260"/>
      <c r="G183" s="219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9">
        <f>'Données projet'!A172</f>
        <v>0</v>
      </c>
      <c r="B184" s="190">
        <f>'Données projet'!D172</f>
        <v>0</v>
      </c>
      <c r="C184" s="201"/>
      <c r="D184" s="188">
        <f t="shared" si="11"/>
        <v>0</v>
      </c>
      <c r="E184" s="203"/>
      <c r="F184" s="260"/>
      <c r="G184" s="220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9">
        <f>'Données projet'!A173</f>
        <v>0</v>
      </c>
      <c r="B185" s="190">
        <f>'Données projet'!D173</f>
        <v>0</v>
      </c>
      <c r="C185" s="201"/>
      <c r="D185" s="188">
        <f t="shared" si="11"/>
        <v>0</v>
      </c>
      <c r="E185" s="203"/>
      <c r="F185" s="260"/>
      <c r="G185" s="220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9">
        <f>'Données projet'!A174</f>
        <v>0</v>
      </c>
      <c r="B186" s="190">
        <f>'Données projet'!D174</f>
        <v>0</v>
      </c>
      <c r="C186" s="201"/>
      <c r="D186" s="188">
        <f t="shared" si="11"/>
        <v>0</v>
      </c>
      <c r="E186" s="203"/>
      <c r="F186" s="260"/>
      <c r="G186" s="220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9">
        <f>'Données projet'!A175</f>
        <v>0</v>
      </c>
      <c r="B187" s="190">
        <f>'Données projet'!D175</f>
        <v>0</v>
      </c>
      <c r="C187" s="201"/>
      <c r="D187" s="188">
        <f t="shared" si="11"/>
        <v>0</v>
      </c>
      <c r="E187" s="203"/>
      <c r="F187" s="260"/>
      <c r="G187" s="220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9">
        <f>'Données projet'!A176</f>
        <v>0</v>
      </c>
      <c r="B188" s="190">
        <f>'Données projet'!D176</f>
        <v>0</v>
      </c>
      <c r="C188" s="201"/>
      <c r="D188" s="188">
        <f t="shared" si="11"/>
        <v>0</v>
      </c>
      <c r="E188" s="203"/>
      <c r="F188" s="260"/>
      <c r="G188" s="220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9">
        <f>'Données projet'!A177</f>
        <v>0</v>
      </c>
      <c r="B189" s="190">
        <f>'Données projet'!D177</f>
        <v>0</v>
      </c>
      <c r="C189" s="201"/>
      <c r="D189" s="188">
        <f t="shared" si="11"/>
        <v>0</v>
      </c>
      <c r="E189" s="203"/>
      <c r="F189" s="260"/>
      <c r="G189" s="220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9">
        <f>'Données projet'!A178</f>
        <v>0</v>
      </c>
      <c r="B190" s="190">
        <f>'Données projet'!D178</f>
        <v>0</v>
      </c>
      <c r="C190" s="201"/>
      <c r="D190" s="188">
        <f t="shared" si="11"/>
        <v>0</v>
      </c>
      <c r="E190" s="203"/>
      <c r="F190" s="260"/>
      <c r="G190" s="220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9">
        <f>'Données projet'!A179</f>
        <v>0</v>
      </c>
      <c r="B191" s="190">
        <f>'Données projet'!D179</f>
        <v>0</v>
      </c>
      <c r="C191" s="201"/>
      <c r="D191" s="188">
        <f t="shared" si="11"/>
        <v>0</v>
      </c>
      <c r="E191" s="203"/>
      <c r="F191" s="260"/>
      <c r="G191" s="220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9">
        <f>'Données projet'!A180</f>
        <v>0</v>
      </c>
      <c r="B192" s="190">
        <f>'Données projet'!D180</f>
        <v>0</v>
      </c>
      <c r="C192" s="201"/>
      <c r="D192" s="188">
        <f t="shared" si="11"/>
        <v>0</v>
      </c>
      <c r="E192" s="203"/>
      <c r="F192" s="260"/>
      <c r="G192" s="220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9">
        <f>'Données projet'!A181</f>
        <v>0</v>
      </c>
      <c r="B193" s="190">
        <f>'Données projet'!D181</f>
        <v>0</v>
      </c>
      <c r="C193" s="201"/>
      <c r="D193" s="188">
        <f t="shared" si="11"/>
        <v>0</v>
      </c>
      <c r="E193" s="203"/>
      <c r="F193" s="260"/>
      <c r="G193" s="220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9">
        <f>'Données projet'!A182</f>
        <v>0</v>
      </c>
      <c r="B194" s="190">
        <f>'Données projet'!D182</f>
        <v>0</v>
      </c>
      <c r="C194" s="201"/>
      <c r="D194" s="188">
        <f t="shared" si="11"/>
        <v>0</v>
      </c>
      <c r="E194" s="203"/>
      <c r="F194" s="260"/>
      <c r="G194" s="220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9">
        <f>'Données projet'!A183</f>
        <v>0</v>
      </c>
      <c r="B195" s="190">
        <f>'Données projet'!D183</f>
        <v>0</v>
      </c>
      <c r="C195" s="201"/>
      <c r="D195" s="188">
        <f t="shared" si="11"/>
        <v>0</v>
      </c>
      <c r="E195" s="203"/>
      <c r="F195" s="260"/>
      <c r="G195" s="220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9">
        <f>'Données projet'!A184</f>
        <v>0</v>
      </c>
      <c r="B196" s="190">
        <f>'Données projet'!D184</f>
        <v>0</v>
      </c>
      <c r="C196" s="201"/>
      <c r="D196" s="188">
        <f t="shared" si="11"/>
        <v>0</v>
      </c>
      <c r="E196" s="203"/>
      <c r="F196" s="260"/>
      <c r="G196" s="220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9">
        <f>'Données projet'!A185</f>
        <v>0</v>
      </c>
      <c r="B197" s="190">
        <f>'Données projet'!D185</f>
        <v>0</v>
      </c>
      <c r="C197" s="201"/>
      <c r="D197" s="188">
        <f t="shared" si="11"/>
        <v>0</v>
      </c>
      <c r="E197" s="203"/>
      <c r="F197" s="260"/>
      <c r="G197" s="220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3" t="str">
        <f>IF('Données projet'!$B$15="","",'Données projet'!$B$15)</f>
        <v/>
      </c>
      <c r="C200" s="5"/>
      <c r="D200" s="5"/>
      <c r="E200" s="5"/>
      <c r="F200" s="258"/>
      <c r="G200" s="220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8"/>
      <c r="G201" s="220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3"/>
      <c r="F203" s="259"/>
      <c r="G203" s="220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3"/>
      <c r="F204" s="259"/>
      <c r="G204" s="218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3"/>
      <c r="F205" s="259"/>
      <c r="G205" s="218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3"/>
      <c r="F206" s="259"/>
      <c r="G206" s="218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3"/>
      <c r="F207" s="259"/>
      <c r="G207" s="218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3"/>
      <c r="F208" s="259"/>
      <c r="G208" s="219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9">
        <f>'Données projet'!A192</f>
        <v>0</v>
      </c>
      <c r="B209" s="190">
        <f>'Données projet'!D192</f>
        <v>0</v>
      </c>
      <c r="C209" s="203"/>
      <c r="D209" s="188">
        <f>B209*C209</f>
        <v>0</v>
      </c>
      <c r="E209" s="203"/>
      <c r="F209" s="260"/>
      <c r="G209" s="219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9">
        <f>'Données projet'!A193</f>
        <v>0</v>
      </c>
      <c r="B210" s="190">
        <f>'Données projet'!D193</f>
        <v>0</v>
      </c>
      <c r="C210" s="203"/>
      <c r="D210" s="188">
        <f t="shared" ref="D210:D228" si="12">B210*C210</f>
        <v>0</v>
      </c>
      <c r="E210" s="203"/>
      <c r="F210" s="260"/>
      <c r="G210" s="219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9">
        <f>'Données projet'!A194</f>
        <v>0</v>
      </c>
      <c r="B211" s="190">
        <f>'Données projet'!D194</f>
        <v>0</v>
      </c>
      <c r="C211" s="203"/>
      <c r="D211" s="188">
        <f t="shared" si="12"/>
        <v>0</v>
      </c>
      <c r="E211" s="203"/>
      <c r="F211" s="260"/>
      <c r="G211" s="219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9">
        <f>'Données projet'!A195</f>
        <v>0</v>
      </c>
      <c r="B212" s="190">
        <f>'Données projet'!D195</f>
        <v>0</v>
      </c>
      <c r="C212" s="203"/>
      <c r="D212" s="188">
        <f t="shared" si="12"/>
        <v>0</v>
      </c>
      <c r="E212" s="203"/>
      <c r="F212" s="260"/>
      <c r="G212" s="219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9">
        <f>'Données projet'!A196</f>
        <v>0</v>
      </c>
      <c r="B213" s="190">
        <f>'Données projet'!D196</f>
        <v>0</v>
      </c>
      <c r="C213" s="203"/>
      <c r="D213" s="188">
        <f t="shared" si="12"/>
        <v>0</v>
      </c>
      <c r="E213" s="203"/>
      <c r="F213" s="260"/>
      <c r="G213" s="219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9">
        <f>'Données projet'!A197</f>
        <v>0</v>
      </c>
      <c r="B214" s="190">
        <f>'Données projet'!D197</f>
        <v>0</v>
      </c>
      <c r="C214" s="203"/>
      <c r="D214" s="188">
        <f t="shared" si="12"/>
        <v>0</v>
      </c>
      <c r="E214" s="203"/>
      <c r="F214" s="260"/>
      <c r="G214" s="219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9">
        <f>'Données projet'!A198</f>
        <v>0</v>
      </c>
      <c r="B215" s="190">
        <f>'Données projet'!D198</f>
        <v>0</v>
      </c>
      <c r="C215" s="203"/>
      <c r="D215" s="188">
        <f t="shared" si="12"/>
        <v>0</v>
      </c>
      <c r="E215" s="203"/>
      <c r="F215" s="260"/>
      <c r="G215" s="220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9">
        <f>'Données projet'!A199</f>
        <v>0</v>
      </c>
      <c r="B216" s="190">
        <f>'Données projet'!D199</f>
        <v>0</v>
      </c>
      <c r="C216" s="203"/>
      <c r="D216" s="188">
        <f t="shared" si="12"/>
        <v>0</v>
      </c>
      <c r="E216" s="203"/>
      <c r="F216" s="260"/>
      <c r="G216" s="220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9">
        <f>'Données projet'!A200</f>
        <v>0</v>
      </c>
      <c r="B217" s="190">
        <f>'Données projet'!D200</f>
        <v>0</v>
      </c>
      <c r="C217" s="203"/>
      <c r="D217" s="188">
        <f t="shared" si="12"/>
        <v>0</v>
      </c>
      <c r="E217" s="203"/>
      <c r="F217" s="260"/>
      <c r="G217" s="220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9">
        <f>'Données projet'!A201</f>
        <v>0</v>
      </c>
      <c r="B218" s="190">
        <f>'Données projet'!D201</f>
        <v>0</v>
      </c>
      <c r="C218" s="203"/>
      <c r="D218" s="188">
        <f t="shared" si="12"/>
        <v>0</v>
      </c>
      <c r="E218" s="203"/>
      <c r="F218" s="260"/>
      <c r="G218" s="220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9">
        <f>'Données projet'!A202</f>
        <v>0</v>
      </c>
      <c r="B219" s="190">
        <f>'Données projet'!D202</f>
        <v>0</v>
      </c>
      <c r="C219" s="203"/>
      <c r="D219" s="188">
        <f t="shared" si="12"/>
        <v>0</v>
      </c>
      <c r="E219" s="203"/>
      <c r="F219" s="260"/>
      <c r="G219" s="220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9">
        <f>'Données projet'!A203</f>
        <v>0</v>
      </c>
      <c r="B220" s="190">
        <f>'Données projet'!D203</f>
        <v>0</v>
      </c>
      <c r="C220" s="203"/>
      <c r="D220" s="188">
        <f t="shared" si="12"/>
        <v>0</v>
      </c>
      <c r="E220" s="203"/>
      <c r="F220" s="260"/>
      <c r="G220" s="220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9">
        <f>'Données projet'!A204</f>
        <v>0</v>
      </c>
      <c r="B221" s="190">
        <f>'Données projet'!D204</f>
        <v>0</v>
      </c>
      <c r="C221" s="203"/>
      <c r="D221" s="188">
        <f t="shared" si="12"/>
        <v>0</v>
      </c>
      <c r="E221" s="203"/>
      <c r="F221" s="260"/>
      <c r="G221" s="220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9">
        <f>'Données projet'!A205</f>
        <v>0</v>
      </c>
      <c r="B222" s="190">
        <f>'Données projet'!D205</f>
        <v>0</v>
      </c>
      <c r="C222" s="203"/>
      <c r="D222" s="188">
        <f t="shared" si="12"/>
        <v>0</v>
      </c>
      <c r="E222" s="203"/>
      <c r="F222" s="260"/>
      <c r="G222" s="220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9">
        <f>'Données projet'!A206</f>
        <v>0</v>
      </c>
      <c r="B223" s="190">
        <f>'Données projet'!D206</f>
        <v>0</v>
      </c>
      <c r="C223" s="203"/>
      <c r="D223" s="188">
        <f t="shared" si="12"/>
        <v>0</v>
      </c>
      <c r="E223" s="203"/>
      <c r="F223" s="260"/>
      <c r="G223" s="220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9">
        <f>'Données projet'!A207</f>
        <v>0</v>
      </c>
      <c r="B224" s="190">
        <f>'Données projet'!D207</f>
        <v>0</v>
      </c>
      <c r="C224" s="203"/>
      <c r="D224" s="188">
        <f t="shared" si="12"/>
        <v>0</v>
      </c>
      <c r="E224" s="203"/>
      <c r="F224" s="260"/>
      <c r="G224" s="220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9">
        <f>'Données projet'!A208</f>
        <v>0</v>
      </c>
      <c r="B225" s="190">
        <f>'Données projet'!D208</f>
        <v>0</v>
      </c>
      <c r="C225" s="203"/>
      <c r="D225" s="188">
        <f t="shared" si="12"/>
        <v>0</v>
      </c>
      <c r="E225" s="203"/>
      <c r="F225" s="260"/>
      <c r="G225" s="220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9">
        <f>'Données projet'!A209</f>
        <v>0</v>
      </c>
      <c r="B226" s="190">
        <f>'Données projet'!D209</f>
        <v>0</v>
      </c>
      <c r="C226" s="203"/>
      <c r="D226" s="188">
        <f t="shared" si="12"/>
        <v>0</v>
      </c>
      <c r="E226" s="203"/>
      <c r="F226" s="260"/>
      <c r="G226" s="220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9">
        <f>'Données projet'!A210</f>
        <v>0</v>
      </c>
      <c r="B227" s="190">
        <f>'Données projet'!D210</f>
        <v>0</v>
      </c>
      <c r="C227" s="203"/>
      <c r="D227" s="188">
        <f t="shared" si="12"/>
        <v>0</v>
      </c>
      <c r="E227" s="203"/>
      <c r="F227" s="260"/>
      <c r="G227" s="220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9">
        <f>'Données projet'!A211</f>
        <v>0</v>
      </c>
      <c r="B228" s="190">
        <f>'Données projet'!D211</f>
        <v>0</v>
      </c>
      <c r="C228" s="203"/>
      <c r="D228" s="188">
        <f t="shared" si="12"/>
        <v>0</v>
      </c>
      <c r="E228" s="203"/>
      <c r="F228" s="260"/>
      <c r="G228" s="220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3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3"/>
      <c r="F234" s="259"/>
      <c r="G234" s="220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3"/>
      <c r="F235" s="259"/>
      <c r="G235" s="218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3"/>
      <c r="F236" s="259"/>
      <c r="G236" s="218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3"/>
      <c r="F237" s="259"/>
      <c r="G237" s="218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 t="s">
        <v>132</v>
      </c>
      <c r="D238" s="208" t="s">
        <v>132</v>
      </c>
      <c r="E238" s="203"/>
      <c r="F238" s="259"/>
      <c r="G238" s="218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 t="s">
        <v>132</v>
      </c>
      <c r="D239" s="208" t="s">
        <v>132</v>
      </c>
      <c r="E239" s="203"/>
      <c r="F239" s="259"/>
      <c r="G239" s="219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9">
        <f>'Données projet'!A218</f>
        <v>0</v>
      </c>
      <c r="B240" s="190">
        <f>'Données projet'!D218</f>
        <v>0</v>
      </c>
      <c r="C240" s="203"/>
      <c r="D240" s="188">
        <f>B240*C240</f>
        <v>0</v>
      </c>
      <c r="E240" s="203"/>
      <c r="F240" s="260"/>
      <c r="G240" s="219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9">
        <f>'Données projet'!A219</f>
        <v>0</v>
      </c>
      <c r="B241" s="190">
        <f>'Données projet'!D219</f>
        <v>0</v>
      </c>
      <c r="C241" s="203"/>
      <c r="D241" s="188">
        <f t="shared" ref="D241:D259" si="13">B241*C241</f>
        <v>0</v>
      </c>
      <c r="E241" s="203"/>
      <c r="F241" s="260"/>
      <c r="G241" s="219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9">
        <f>'Données projet'!A220</f>
        <v>0</v>
      </c>
      <c r="B242" s="190">
        <f>'Données projet'!D220</f>
        <v>0</v>
      </c>
      <c r="C242" s="203"/>
      <c r="D242" s="188">
        <f t="shared" si="13"/>
        <v>0</v>
      </c>
      <c r="E242" s="203"/>
      <c r="F242" s="260"/>
      <c r="G242" s="219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9">
        <f>'Données projet'!A221</f>
        <v>0</v>
      </c>
      <c r="B243" s="190">
        <f>'Données projet'!D221</f>
        <v>0</v>
      </c>
      <c r="C243" s="203"/>
      <c r="D243" s="188">
        <f t="shared" si="13"/>
        <v>0</v>
      </c>
      <c r="E243" s="203"/>
      <c r="F243" s="260"/>
      <c r="G243" s="219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9">
        <f>'Données projet'!A222</f>
        <v>0</v>
      </c>
      <c r="B244" s="190">
        <f>'Données projet'!D222</f>
        <v>0</v>
      </c>
      <c r="C244" s="203"/>
      <c r="D244" s="188">
        <f t="shared" si="13"/>
        <v>0</v>
      </c>
      <c r="E244" s="203"/>
      <c r="F244" s="260"/>
      <c r="G244" s="219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9">
        <f>'Données projet'!A223</f>
        <v>0</v>
      </c>
      <c r="B245" s="190">
        <f>'Données projet'!D223</f>
        <v>0</v>
      </c>
      <c r="C245" s="203"/>
      <c r="D245" s="188">
        <f t="shared" si="13"/>
        <v>0</v>
      </c>
      <c r="E245" s="203"/>
      <c r="F245" s="260"/>
      <c r="G245" s="219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9">
        <f>'Données projet'!A224</f>
        <v>0</v>
      </c>
      <c r="B246" s="190">
        <f>'Données projet'!D224</f>
        <v>0</v>
      </c>
      <c r="C246" s="203"/>
      <c r="D246" s="188">
        <f t="shared" si="13"/>
        <v>0</v>
      </c>
      <c r="E246" s="203"/>
      <c r="F246" s="260"/>
      <c r="G246" s="220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9">
        <f>'Données projet'!A225</f>
        <v>0</v>
      </c>
      <c r="B247" s="190">
        <f>'Données projet'!D225</f>
        <v>0</v>
      </c>
      <c r="C247" s="203"/>
      <c r="D247" s="188">
        <f t="shared" si="13"/>
        <v>0</v>
      </c>
      <c r="E247" s="203"/>
      <c r="F247" s="260"/>
      <c r="G247" s="220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9">
        <f>'Données projet'!A226</f>
        <v>0</v>
      </c>
      <c r="B248" s="190">
        <f>'Données projet'!D226</f>
        <v>0</v>
      </c>
      <c r="C248" s="203"/>
      <c r="D248" s="188">
        <f t="shared" si="13"/>
        <v>0</v>
      </c>
      <c r="E248" s="203"/>
      <c r="F248" s="260"/>
      <c r="G248" s="220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9">
        <f>'Données projet'!A227</f>
        <v>0</v>
      </c>
      <c r="B249" s="190">
        <f>'Données projet'!D227</f>
        <v>0</v>
      </c>
      <c r="C249" s="203"/>
      <c r="D249" s="188">
        <f t="shared" si="13"/>
        <v>0</v>
      </c>
      <c r="E249" s="203"/>
      <c r="F249" s="260"/>
      <c r="G249" s="220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9">
        <f>'Données projet'!A228</f>
        <v>0</v>
      </c>
      <c r="B250" s="190">
        <f>'Données projet'!D228</f>
        <v>0</v>
      </c>
      <c r="C250" s="203"/>
      <c r="D250" s="188">
        <f t="shared" si="13"/>
        <v>0</v>
      </c>
      <c r="E250" s="203"/>
      <c r="F250" s="260"/>
      <c r="G250" s="220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9">
        <f>'Données projet'!A229</f>
        <v>0</v>
      </c>
      <c r="B251" s="190">
        <f>'Données projet'!D229</f>
        <v>0</v>
      </c>
      <c r="C251" s="203"/>
      <c r="D251" s="188">
        <f t="shared" si="13"/>
        <v>0</v>
      </c>
      <c r="E251" s="203"/>
      <c r="F251" s="260"/>
      <c r="G251" s="220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9">
        <f>'Données projet'!A230</f>
        <v>0</v>
      </c>
      <c r="B252" s="190">
        <f>'Données projet'!D230</f>
        <v>0</v>
      </c>
      <c r="C252" s="203"/>
      <c r="D252" s="188">
        <f t="shared" si="13"/>
        <v>0</v>
      </c>
      <c r="E252" s="203"/>
      <c r="F252" s="260"/>
      <c r="G252" s="220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9">
        <f>'Données projet'!A231</f>
        <v>0</v>
      </c>
      <c r="B253" s="190">
        <f>'Données projet'!D231</f>
        <v>0</v>
      </c>
      <c r="C253" s="203"/>
      <c r="D253" s="188">
        <f t="shared" si="13"/>
        <v>0</v>
      </c>
      <c r="E253" s="203"/>
      <c r="F253" s="260"/>
      <c r="G253" s="220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9">
        <f>'Données projet'!A232</f>
        <v>0</v>
      </c>
      <c r="B254" s="190">
        <f>'Données projet'!D232</f>
        <v>0</v>
      </c>
      <c r="C254" s="203"/>
      <c r="D254" s="188">
        <f t="shared" si="13"/>
        <v>0</v>
      </c>
      <c r="E254" s="203"/>
      <c r="F254" s="260"/>
      <c r="G254" s="220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9">
        <f>'Données projet'!A233</f>
        <v>0</v>
      </c>
      <c r="B255" s="190">
        <f>'Données projet'!D233</f>
        <v>0</v>
      </c>
      <c r="C255" s="203"/>
      <c r="D255" s="188">
        <f t="shared" si="13"/>
        <v>0</v>
      </c>
      <c r="E255" s="203"/>
      <c r="F255" s="260"/>
      <c r="G255" s="220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9">
        <f>'Données projet'!A234</f>
        <v>0</v>
      </c>
      <c r="B256" s="190">
        <f>'Données projet'!D234</f>
        <v>0</v>
      </c>
      <c r="C256" s="203"/>
      <c r="D256" s="188">
        <f t="shared" si="13"/>
        <v>0</v>
      </c>
      <c r="E256" s="203"/>
      <c r="F256" s="260"/>
      <c r="G256" s="220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9">
        <f>'Données projet'!A235</f>
        <v>0</v>
      </c>
      <c r="B257" s="190">
        <f>'Données projet'!D235</f>
        <v>0</v>
      </c>
      <c r="C257" s="203"/>
      <c r="D257" s="188">
        <f t="shared" si="13"/>
        <v>0</v>
      </c>
      <c r="E257" s="203"/>
      <c r="F257" s="260"/>
      <c r="G257" s="220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9">
        <f>'Données projet'!A236</f>
        <v>0</v>
      </c>
      <c r="B258" s="190">
        <f>'Données projet'!D236</f>
        <v>0</v>
      </c>
      <c r="C258" s="203"/>
      <c r="D258" s="188">
        <f t="shared" si="13"/>
        <v>0</v>
      </c>
      <c r="E258" s="203"/>
      <c r="F258" s="260"/>
      <c r="G258" s="220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9">
        <f>'Données projet'!A237</f>
        <v>0</v>
      </c>
      <c r="B259" s="190">
        <f>'Données projet'!D237</f>
        <v>0</v>
      </c>
      <c r="C259" s="203"/>
      <c r="D259" s="188">
        <f t="shared" si="13"/>
        <v>0</v>
      </c>
      <c r="E259" s="203"/>
      <c r="F259" s="260"/>
      <c r="G259" s="220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3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3"/>
      <c r="F265" s="259"/>
      <c r="G265" s="220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3"/>
      <c r="F266" s="259"/>
      <c r="G266" s="218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 t="s">
        <v>132</v>
      </c>
      <c r="D267" s="208" t="s">
        <v>132</v>
      </c>
      <c r="E267" s="203"/>
      <c r="F267" s="259"/>
      <c r="G267" s="218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 t="s">
        <v>132</v>
      </c>
      <c r="D268" s="208" t="s">
        <v>132</v>
      </c>
      <c r="E268" s="203"/>
      <c r="F268" s="259"/>
      <c r="G268" s="218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 t="s">
        <v>132</v>
      </c>
      <c r="D269" s="208" t="s">
        <v>132</v>
      </c>
      <c r="E269" s="203"/>
      <c r="F269" s="259"/>
      <c r="G269" s="218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 t="s">
        <v>132</v>
      </c>
      <c r="D270" s="208" t="s">
        <v>132</v>
      </c>
      <c r="E270" s="203"/>
      <c r="F270" s="259"/>
      <c r="G270" s="219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9">
        <f>'Données projet'!A244</f>
        <v>0</v>
      </c>
      <c r="B271" s="190">
        <f>'Données projet'!D244</f>
        <v>0</v>
      </c>
      <c r="C271" s="203"/>
      <c r="D271" s="188">
        <f>B271*C271</f>
        <v>0</v>
      </c>
      <c r="E271" s="203"/>
      <c r="F271" s="260"/>
      <c r="G271" s="219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9">
        <f>'Données projet'!A245</f>
        <v>0</v>
      </c>
      <c r="B272" s="190">
        <f>'Données projet'!D245</f>
        <v>0</v>
      </c>
      <c r="C272" s="203"/>
      <c r="D272" s="188">
        <f t="shared" ref="D272:D290" si="14">B272*C272</f>
        <v>0</v>
      </c>
      <c r="E272" s="203"/>
      <c r="F272" s="260"/>
      <c r="G272" s="219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9">
        <f>'Données projet'!A246</f>
        <v>0</v>
      </c>
      <c r="B273" s="190">
        <f>'Données projet'!D246</f>
        <v>0</v>
      </c>
      <c r="C273" s="203"/>
      <c r="D273" s="188">
        <f t="shared" si="14"/>
        <v>0</v>
      </c>
      <c r="E273" s="203"/>
      <c r="F273" s="260"/>
      <c r="G273" s="219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9">
        <f>'Données projet'!A247</f>
        <v>0</v>
      </c>
      <c r="B274" s="190">
        <f>'Données projet'!D247</f>
        <v>0</v>
      </c>
      <c r="C274" s="203"/>
      <c r="D274" s="188">
        <f t="shared" si="14"/>
        <v>0</v>
      </c>
      <c r="E274" s="203"/>
      <c r="F274" s="260"/>
      <c r="G274" s="219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9">
        <f>'Données projet'!A248</f>
        <v>0</v>
      </c>
      <c r="B275" s="190">
        <f>'Données projet'!D248</f>
        <v>0</v>
      </c>
      <c r="C275" s="203"/>
      <c r="D275" s="188">
        <f t="shared" si="14"/>
        <v>0</v>
      </c>
      <c r="E275" s="203"/>
      <c r="F275" s="260"/>
      <c r="G275" s="219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9">
        <f>'Données projet'!A249</f>
        <v>0</v>
      </c>
      <c r="B276" s="190">
        <f>'Données projet'!D249</f>
        <v>0</v>
      </c>
      <c r="C276" s="203"/>
      <c r="D276" s="188">
        <f t="shared" si="14"/>
        <v>0</v>
      </c>
      <c r="E276" s="203"/>
      <c r="F276" s="260"/>
      <c r="G276" s="219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9">
        <f>'Données projet'!A250</f>
        <v>0</v>
      </c>
      <c r="B277" s="190">
        <f>'Données projet'!D250</f>
        <v>0</v>
      </c>
      <c r="C277" s="203"/>
      <c r="D277" s="188">
        <f t="shared" si="14"/>
        <v>0</v>
      </c>
      <c r="E277" s="203"/>
      <c r="F277" s="260"/>
      <c r="G277" s="220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9">
        <f>'Données projet'!A251</f>
        <v>0</v>
      </c>
      <c r="B278" s="190">
        <f>'Données projet'!D251</f>
        <v>0</v>
      </c>
      <c r="C278" s="203"/>
      <c r="D278" s="188">
        <f t="shared" si="14"/>
        <v>0</v>
      </c>
      <c r="E278" s="203"/>
      <c r="F278" s="260"/>
      <c r="G278" s="220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9">
        <f>'Données projet'!A252</f>
        <v>0</v>
      </c>
      <c r="B279" s="190">
        <f>'Données projet'!D252</f>
        <v>0</v>
      </c>
      <c r="C279" s="203"/>
      <c r="D279" s="188">
        <f t="shared" si="14"/>
        <v>0</v>
      </c>
      <c r="E279" s="203"/>
      <c r="F279" s="260"/>
      <c r="G279" s="220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9">
        <f>'Données projet'!A253</f>
        <v>0</v>
      </c>
      <c r="B280" s="190">
        <f>'Données projet'!D253</f>
        <v>0</v>
      </c>
      <c r="C280" s="203"/>
      <c r="D280" s="188">
        <f t="shared" si="14"/>
        <v>0</v>
      </c>
      <c r="E280" s="203"/>
      <c r="F280" s="260"/>
      <c r="G280" s="220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9">
        <f>'Données projet'!A254</f>
        <v>0</v>
      </c>
      <c r="B281" s="190">
        <f>'Données projet'!D254</f>
        <v>0</v>
      </c>
      <c r="C281" s="203"/>
      <c r="D281" s="188">
        <f t="shared" si="14"/>
        <v>0</v>
      </c>
      <c r="E281" s="203"/>
      <c r="F281" s="260"/>
      <c r="G281" s="220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9">
        <f>'Données projet'!A255</f>
        <v>0</v>
      </c>
      <c r="B282" s="190">
        <f>'Données projet'!D255</f>
        <v>0</v>
      </c>
      <c r="C282" s="203"/>
      <c r="D282" s="188">
        <f t="shared" si="14"/>
        <v>0</v>
      </c>
      <c r="E282" s="203"/>
      <c r="F282" s="260"/>
      <c r="G282" s="220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9">
        <f>'Données projet'!A256</f>
        <v>0</v>
      </c>
      <c r="B283" s="190">
        <f>'Données projet'!D256</f>
        <v>0</v>
      </c>
      <c r="C283" s="203"/>
      <c r="D283" s="188">
        <f t="shared" si="14"/>
        <v>0</v>
      </c>
      <c r="E283" s="203"/>
      <c r="F283" s="260"/>
      <c r="G283" s="220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9">
        <f>'Données projet'!A257</f>
        <v>0</v>
      </c>
      <c r="B284" s="190">
        <f>'Données projet'!D257</f>
        <v>0</v>
      </c>
      <c r="C284" s="203"/>
      <c r="D284" s="188">
        <f t="shared" si="14"/>
        <v>0</v>
      </c>
      <c r="E284" s="203"/>
      <c r="F284" s="260"/>
      <c r="G284" s="220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9">
        <f>'Données projet'!A258</f>
        <v>0</v>
      </c>
      <c r="B285" s="190">
        <f>'Données projet'!D258</f>
        <v>0</v>
      </c>
      <c r="C285" s="203"/>
      <c r="D285" s="188">
        <f t="shared" si="14"/>
        <v>0</v>
      </c>
      <c r="E285" s="203"/>
      <c r="F285" s="260"/>
      <c r="G285" s="220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9">
        <f>'Données projet'!A259</f>
        <v>0</v>
      </c>
      <c r="B286" s="190">
        <f>'Données projet'!D259</f>
        <v>0</v>
      </c>
      <c r="C286" s="203"/>
      <c r="D286" s="188">
        <f t="shared" si="14"/>
        <v>0</v>
      </c>
      <c r="E286" s="203"/>
      <c r="F286" s="260"/>
      <c r="G286" s="220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9">
        <f>'Données projet'!A260</f>
        <v>0</v>
      </c>
      <c r="B287" s="190">
        <f>'Données projet'!D260</f>
        <v>0</v>
      </c>
      <c r="C287" s="203"/>
      <c r="D287" s="188">
        <f t="shared" si="14"/>
        <v>0</v>
      </c>
      <c r="E287" s="203"/>
      <c r="F287" s="260"/>
      <c r="G287" s="220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9">
        <f>'Données projet'!A261</f>
        <v>0</v>
      </c>
      <c r="B288" s="190">
        <f>'Données projet'!D261</f>
        <v>0</v>
      </c>
      <c r="C288" s="203"/>
      <c r="D288" s="188">
        <f t="shared" si="14"/>
        <v>0</v>
      </c>
      <c r="E288" s="203"/>
      <c r="F288" s="260"/>
      <c r="G288" s="220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9">
        <f>'Données projet'!A262</f>
        <v>0</v>
      </c>
      <c r="B289" s="190">
        <f>'Données projet'!D262</f>
        <v>0</v>
      </c>
      <c r="C289" s="203"/>
      <c r="D289" s="188">
        <f t="shared" si="14"/>
        <v>0</v>
      </c>
      <c r="E289" s="203"/>
      <c r="F289" s="260"/>
      <c r="G289" s="220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9">
        <f>'Données projet'!A263</f>
        <v>0</v>
      </c>
      <c r="B290" s="190">
        <f>'Données projet'!D263</f>
        <v>0</v>
      </c>
      <c r="C290" s="203"/>
      <c r="D290" s="188">
        <f t="shared" si="14"/>
        <v>0</v>
      </c>
      <c r="E290" s="203"/>
      <c r="F290" s="260"/>
      <c r="G290" s="220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3"/>
      <c r="F296" s="259"/>
      <c r="G296" s="220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3"/>
      <c r="F297" s="259"/>
      <c r="G297" s="218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3"/>
      <c r="F298" s="259"/>
      <c r="G298" s="218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3"/>
      <c r="F299" s="259"/>
      <c r="G299" s="218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3"/>
      <c r="F300" s="259"/>
      <c r="G300" s="218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3"/>
      <c r="F301" s="259"/>
      <c r="G301" s="219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9">
        <f>'Données projet'!A270</f>
        <v>0</v>
      </c>
      <c r="B302" s="190">
        <f>'Données projet'!D270</f>
        <v>0</v>
      </c>
      <c r="C302" s="201"/>
      <c r="D302" s="191">
        <f>B302*C302</f>
        <v>0</v>
      </c>
      <c r="E302" s="203"/>
      <c r="F302" s="261"/>
      <c r="G302" s="219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9">
        <f>'Données projet'!A271</f>
        <v>0</v>
      </c>
      <c r="B303" s="190">
        <f>'Données projet'!D271</f>
        <v>0</v>
      </c>
      <c r="C303" s="201"/>
      <c r="D303" s="191">
        <f t="shared" ref="D303:D321" si="15">B303*C303</f>
        <v>0</v>
      </c>
      <c r="E303" s="203"/>
      <c r="F303" s="261"/>
      <c r="G303" s="219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9">
        <f>'Données projet'!A272</f>
        <v>0</v>
      </c>
      <c r="B304" s="190">
        <f>'Données projet'!D272</f>
        <v>0</v>
      </c>
      <c r="C304" s="201"/>
      <c r="D304" s="191">
        <f t="shared" si="15"/>
        <v>0</v>
      </c>
      <c r="E304" s="203"/>
      <c r="F304" s="261"/>
      <c r="G304" s="219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9">
        <f>'Données projet'!A273</f>
        <v>0</v>
      </c>
      <c r="B305" s="190">
        <f>'Données projet'!D273</f>
        <v>0</v>
      </c>
      <c r="C305" s="201"/>
      <c r="D305" s="191">
        <f t="shared" si="15"/>
        <v>0</v>
      </c>
      <c r="E305" s="203"/>
      <c r="F305" s="261"/>
      <c r="G305" s="219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9">
        <f>'Données projet'!A274</f>
        <v>0</v>
      </c>
      <c r="B306" s="190">
        <f>'Données projet'!D274</f>
        <v>0</v>
      </c>
      <c r="C306" s="201"/>
      <c r="D306" s="191">
        <f t="shared" si="15"/>
        <v>0</v>
      </c>
      <c r="E306" s="203"/>
      <c r="F306" s="261"/>
      <c r="G306" s="219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9">
        <f>'Données projet'!A275</f>
        <v>0</v>
      </c>
      <c r="B307" s="190">
        <f>'Données projet'!D275</f>
        <v>0</v>
      </c>
      <c r="C307" s="201"/>
      <c r="D307" s="191">
        <f t="shared" si="15"/>
        <v>0</v>
      </c>
      <c r="E307" s="203"/>
      <c r="F307" s="261"/>
      <c r="G307" s="219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9">
        <f>'Données projet'!A276</f>
        <v>0</v>
      </c>
      <c r="B308" s="190">
        <f>'Données projet'!D276</f>
        <v>0</v>
      </c>
      <c r="C308" s="201"/>
      <c r="D308" s="191">
        <f t="shared" si="15"/>
        <v>0</v>
      </c>
      <c r="E308" s="203"/>
      <c r="F308" s="261"/>
      <c r="G308" s="215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9">
        <f>'Données projet'!A277</f>
        <v>0</v>
      </c>
      <c r="B309" s="190">
        <f>'Données projet'!D277</f>
        <v>0</v>
      </c>
      <c r="C309" s="201"/>
      <c r="D309" s="191">
        <f t="shared" si="15"/>
        <v>0</v>
      </c>
      <c r="E309" s="203"/>
      <c r="F309" s="261"/>
      <c r="G309" s="215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9">
        <f>'Données projet'!A278</f>
        <v>0</v>
      </c>
      <c r="B310" s="190">
        <f>'Données projet'!D278</f>
        <v>0</v>
      </c>
      <c r="C310" s="201"/>
      <c r="D310" s="191">
        <f t="shared" si="15"/>
        <v>0</v>
      </c>
      <c r="E310" s="203"/>
      <c r="F310" s="261"/>
      <c r="G310" s="215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9">
        <f>'Données projet'!A279</f>
        <v>0</v>
      </c>
      <c r="B311" s="190">
        <f>'Données projet'!D279</f>
        <v>0</v>
      </c>
      <c r="C311" s="201"/>
      <c r="D311" s="191">
        <f t="shared" si="15"/>
        <v>0</v>
      </c>
      <c r="E311" s="203"/>
      <c r="F311" s="261"/>
      <c r="G311" s="215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9">
        <f>'Données projet'!A280</f>
        <v>0</v>
      </c>
      <c r="B312" s="190">
        <f>'Données projet'!D280</f>
        <v>0</v>
      </c>
      <c r="C312" s="201"/>
      <c r="D312" s="191">
        <f t="shared" si="15"/>
        <v>0</v>
      </c>
      <c r="E312" s="203"/>
      <c r="F312" s="261"/>
      <c r="G312" s="215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9">
        <f>'Données projet'!A281</f>
        <v>0</v>
      </c>
      <c r="B313" s="190">
        <f>'Données projet'!D281</f>
        <v>0</v>
      </c>
      <c r="C313" s="201"/>
      <c r="D313" s="191">
        <f t="shared" si="15"/>
        <v>0</v>
      </c>
      <c r="E313" s="203"/>
      <c r="F313" s="261"/>
      <c r="G313" s="215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9">
        <f>'Données projet'!A282</f>
        <v>0</v>
      </c>
      <c r="B314" s="190">
        <f>'Données projet'!D282</f>
        <v>0</v>
      </c>
      <c r="C314" s="201"/>
      <c r="D314" s="191">
        <f t="shared" si="15"/>
        <v>0</v>
      </c>
      <c r="E314" s="203"/>
      <c r="F314" s="261"/>
      <c r="G314" s="215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9">
        <f>'Données projet'!A283</f>
        <v>0</v>
      </c>
      <c r="B315" s="190">
        <f>'Données projet'!D283</f>
        <v>0</v>
      </c>
      <c r="C315" s="201"/>
      <c r="D315" s="191">
        <f t="shared" si="15"/>
        <v>0</v>
      </c>
      <c r="E315" s="203"/>
      <c r="F315" s="261"/>
      <c r="G315" s="215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9">
        <f>'Données projet'!A284</f>
        <v>0</v>
      </c>
      <c r="B316" s="190">
        <f>'Données projet'!D284</f>
        <v>0</v>
      </c>
      <c r="C316" s="201"/>
      <c r="D316" s="191">
        <f t="shared" si="15"/>
        <v>0</v>
      </c>
      <c r="E316" s="203"/>
      <c r="F316" s="261"/>
      <c r="G316" s="215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9">
        <f>'Données projet'!A285</f>
        <v>0</v>
      </c>
      <c r="B317" s="190">
        <f>'Données projet'!D285</f>
        <v>0</v>
      </c>
      <c r="C317" s="201"/>
      <c r="D317" s="191">
        <f t="shared" si="15"/>
        <v>0</v>
      </c>
      <c r="E317" s="203"/>
      <c r="F317" s="261"/>
      <c r="G317" s="215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9">
        <f>'Données projet'!A286</f>
        <v>0</v>
      </c>
      <c r="B318" s="190">
        <f>'Données projet'!D286</f>
        <v>0</v>
      </c>
      <c r="C318" s="201"/>
      <c r="D318" s="191">
        <f t="shared" si="15"/>
        <v>0</v>
      </c>
      <c r="E318" s="203"/>
      <c r="F318" s="261"/>
      <c r="G318" s="215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9">
        <f>'Données projet'!A287</f>
        <v>0</v>
      </c>
      <c r="B319" s="190">
        <f>'Données projet'!D287</f>
        <v>0</v>
      </c>
      <c r="C319" s="201"/>
      <c r="D319" s="191">
        <f t="shared" si="15"/>
        <v>0</v>
      </c>
      <c r="E319" s="203"/>
      <c r="F319" s="261"/>
      <c r="G319" s="215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9">
        <f>'Données projet'!A288</f>
        <v>0</v>
      </c>
      <c r="B320" s="190">
        <f>'Données projet'!D288</f>
        <v>0</v>
      </c>
      <c r="C320" s="201"/>
      <c r="D320" s="191">
        <f t="shared" si="15"/>
        <v>0</v>
      </c>
      <c r="E320" s="203"/>
      <c r="F320" s="261"/>
      <c r="G320" s="215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9">
        <f>'Données projet'!A289</f>
        <v>0</v>
      </c>
      <c r="B321" s="190">
        <f>'Données projet'!D289</f>
        <v>0</v>
      </c>
      <c r="C321" s="206"/>
      <c r="D321" s="191">
        <f t="shared" si="15"/>
        <v>0</v>
      </c>
      <c r="E321" s="203"/>
      <c r="F321" s="261"/>
      <c r="G321" s="215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2024-04-12T14:42:35Z</dcterms:modified>
</cp:coreProperties>
</file>