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F89FFC7D-5BCE-477B-87C7-B17C1EA39E44}" xr6:coauthVersionLast="47" xr6:coauthVersionMax="47" xr10:uidLastSave="{00000000-0000-0000-0000-000000000000}"/>
  <bookViews>
    <workbookView xWindow="7305" yWindow="5010" windowWidth="21600" windowHeight="1129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1" i="6" l="1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1" i="6"/>
  <c r="C212" i="6"/>
  <c r="C213" i="6"/>
  <c r="C214" i="6"/>
  <c r="C215" i="6"/>
  <c r="C216" i="6"/>
  <c r="C217" i="6"/>
  <c r="C218" i="6"/>
  <c r="C219" i="6"/>
  <c r="C220" i="6"/>
  <c r="C21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E17" i="6"/>
  <c r="I20" i="6"/>
  <c r="C194" i="6"/>
  <c r="C195" i="6"/>
  <c r="C196" i="6"/>
  <c r="C197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21" i="6"/>
  <c r="C222" i="6"/>
  <c r="C223" i="6"/>
  <c r="C224" i="6"/>
  <c r="C225" i="6"/>
  <c r="C226" i="6"/>
  <c r="C227" i="6"/>
  <c r="C228" i="6"/>
  <c r="C209" i="6"/>
  <c r="C159" i="6"/>
  <c r="C160" i="6"/>
  <c r="C161" i="6"/>
  <c r="C162" i="6"/>
  <c r="C163" i="6"/>
  <c r="C164" i="6"/>
  <c r="C165" i="6"/>
  <c r="C166" i="6"/>
  <c r="C13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HI113" i="2"/>
  <c r="EW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J154" i="2"/>
  <c r="ED154" i="2"/>
  <c r="HG155" i="2"/>
  <c r="EX155" i="2"/>
  <c r="EY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HI156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EX157" i="2"/>
  <c r="EC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HH160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EB161" i="2"/>
  <c r="HG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D161" i="2"/>
  <c r="HH162" i="2"/>
  <c r="HG162" i="2"/>
  <c r="DI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HG163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V164" i="2"/>
  <c r="FS164" i="2"/>
  <c r="ED163" i="2"/>
  <c r="HG164" i="2"/>
  <c r="HH164" i="2"/>
  <c r="EA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EY166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B168" i="2"/>
  <c r="HH168" i="2"/>
  <c r="EV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Y171" i="2"/>
  <c r="EA172" i="2"/>
  <c r="ED171" i="2"/>
  <c r="HI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J172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D174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HG178" i="2"/>
  <c r="EA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HH179" i="2"/>
  <c r="HG179" i="2"/>
  <c r="HI179" i="2"/>
  <c r="EV179" i="2"/>
  <c r="DF179" i="2"/>
  <c r="EB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FS183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H185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H187" i="2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HG190" i="2"/>
  <c r="HH190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EV192" i="2"/>
  <c r="HI192" i="2"/>
  <c r="HH192" i="2"/>
  <c r="HG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X193" i="2"/>
  <c r="FQ193" i="2"/>
  <c r="HI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FQ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D194" i="2"/>
  <c r="EY194" i="2"/>
  <c r="EB195" i="2"/>
  <c r="EA195" i="2"/>
  <c r="HG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 l="1"/>
  <c r="HJ200" i="2"/>
  <c r="FS201" i="2"/>
  <c r="EB201" i="2"/>
  <c r="DI200" i="2"/>
  <c r="HG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ED201" i="2"/>
  <c r="EY201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29" i="2" a="1"/>
  <c r="EI29" i="2" s="1"/>
  <c r="EI150" i="2" a="1"/>
  <c r="EI150" i="2" s="1"/>
  <c r="EI145" i="2" a="1"/>
  <c r="EI145" i="2" s="1"/>
  <c r="EI178" i="2" a="1"/>
  <c r="EI178" i="2" s="1"/>
  <c r="EI142" i="2" a="1"/>
  <c r="EI142" i="2" s="1"/>
  <c r="CS116" i="2" a="1"/>
  <c r="CS116" i="2" s="1"/>
  <c r="EI195" i="2" a="1"/>
  <c r="EI195" i="2" s="1"/>
  <c r="AH151" i="2" a="1"/>
  <c r="AH151" i="2" s="1"/>
  <c r="CS77" i="2" a="1"/>
  <c r="CS77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32" i="2" a="1"/>
  <c r="BC32" i="2" s="1"/>
  <c r="BC185" i="2" a="1"/>
  <c r="BC185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DN70" i="2" a="1"/>
  <c r="DN70" i="2" s="1"/>
  <c r="DN6" i="2" a="1"/>
  <c r="DN6" i="2" s="1"/>
  <c r="DO6" i="2" s="1"/>
  <c r="BX107" i="2" a="1"/>
  <c r="BX107" i="2" s="1"/>
  <c r="FD82" i="2" a="1"/>
  <c r="FD82" i="2" s="1"/>
  <c r="HJ202" i="2"/>
  <c r="AX200" i="2"/>
  <c r="GT181" i="2" l="1" a="1"/>
  <c r="GT181" i="2" s="1"/>
  <c r="HG203" i="2"/>
  <c r="EI162" i="2" a="1"/>
  <c r="EI162" i="2" s="1"/>
  <c r="EI153" i="2" a="1"/>
  <c r="EI153" i="2" s="1"/>
  <c r="EI198" i="2" a="1"/>
  <c r="EI198" i="2" s="1"/>
  <c r="CS105" i="2" a="1"/>
  <c r="CS105" i="2" s="1"/>
  <c r="CS24" i="2" a="1"/>
  <c r="CS24" i="2" s="1"/>
  <c r="CS134" i="2" a="1"/>
  <c r="CS134" i="2" s="1"/>
  <c r="CS114" i="2" a="1"/>
  <c r="CS114" i="2" s="1"/>
  <c r="CS38" i="2" a="1"/>
  <c r="CS38" i="2" s="1"/>
  <c r="CS66" i="2" a="1"/>
  <c r="CS66" i="2" s="1"/>
  <c r="CS185" i="2" a="1"/>
  <c r="CS185" i="2" s="1"/>
  <c r="CS120" i="2" a="1"/>
  <c r="CS120" i="2" s="1"/>
  <c r="CS161" i="2" a="1"/>
  <c r="CS161" i="2" s="1"/>
  <c r="CS129" i="2" a="1"/>
  <c r="CS129" i="2" s="1"/>
  <c r="CS72" i="2" a="1"/>
  <c r="CS72" i="2" s="1"/>
  <c r="CS137" i="2" a="1"/>
  <c r="CS137" i="2" s="1"/>
  <c r="CS52" i="2" a="1"/>
  <c r="CS52" i="2" s="1"/>
  <c r="BC38" i="2" a="1"/>
  <c r="BC38" i="2" s="1"/>
  <c r="BC65" i="2" a="1"/>
  <c r="BC65" i="2" s="1"/>
  <c r="BC47" i="2" a="1"/>
  <c r="BC47" i="2" s="1"/>
  <c r="DN132" i="2" a="1"/>
  <c r="DN132" i="2" s="1"/>
  <c r="DN80" i="2" a="1"/>
  <c r="DN80" i="2" s="1"/>
  <c r="DN135" i="2" a="1"/>
  <c r="DN135" i="2" s="1"/>
  <c r="DN16" i="2" a="1"/>
  <c r="DN16" i="2" s="1"/>
  <c r="DN176" i="2" a="1"/>
  <c r="DN176" i="2" s="1"/>
  <c r="DN177" i="2" a="1"/>
  <c r="DN177" i="2" s="1"/>
  <c r="DN45" i="2" a="1"/>
  <c r="DN45" i="2" s="1"/>
  <c r="DN30" i="2" a="1"/>
  <c r="DN30" i="2" s="1"/>
  <c r="DN190" i="2" a="1"/>
  <c r="DN190" i="2" s="1"/>
  <c r="DN55" i="2" a="1"/>
  <c r="DN55" i="2" s="1"/>
  <c r="DN162" i="2" a="1"/>
  <c r="DN162" i="2" s="1"/>
  <c r="DN38" i="2" a="1"/>
  <c r="DN38" i="2" s="1"/>
  <c r="DN115" i="2" a="1"/>
  <c r="DN115" i="2" s="1"/>
  <c r="DN187" i="2" a="1"/>
  <c r="DN187" i="2" s="1"/>
  <c r="DN46" i="2" a="1"/>
  <c r="DN46" i="2" s="1"/>
  <c r="DN133" i="2" a="1"/>
  <c r="DN133" i="2" s="1"/>
  <c r="DN31" i="2" a="1"/>
  <c r="DN31" i="2" s="1"/>
  <c r="DN49" i="2" a="1"/>
  <c r="DN49" i="2" s="1"/>
  <c r="DN168" i="2" a="1"/>
  <c r="DN168" i="2" s="1"/>
  <c r="DN29" i="2" a="1"/>
  <c r="DN29" i="2" s="1"/>
  <c r="DN65" i="2" a="1"/>
  <c r="DN65" i="2" s="1"/>
  <c r="DN167" i="2" a="1"/>
  <c r="DN167" i="2" s="1"/>
  <c r="DN164" i="2" a="1"/>
  <c r="DN164" i="2" s="1"/>
  <c r="DN63" i="2" a="1"/>
  <c r="DN63" i="2" s="1"/>
  <c r="DN41" i="2" a="1"/>
  <c r="DN41" i="2" s="1"/>
  <c r="BC83" i="2" a="1"/>
  <c r="BC83" i="2" s="1"/>
  <c r="BC143" i="2" a="1"/>
  <c r="BC143" i="2" s="1"/>
  <c r="BC164" i="2" a="1"/>
  <c r="BC164" i="2" s="1"/>
  <c r="BC114" i="2" a="1"/>
  <c r="BC114" i="2" s="1"/>
  <c r="BC68" i="2" a="1"/>
  <c r="BC68" i="2" s="1"/>
  <c r="BC151" i="2" a="1"/>
  <c r="BC151" i="2" s="1"/>
  <c r="BC31" i="2" a="1"/>
  <c r="BC31" i="2" s="1"/>
  <c r="BC192" i="2" a="1"/>
  <c r="BC192" i="2" s="1"/>
  <c r="BC117" i="2" a="1"/>
  <c r="BC117" i="2" s="1"/>
  <c r="BC126" i="2" a="1"/>
  <c r="BC126" i="2" s="1"/>
  <c r="BC58" i="2" a="1"/>
  <c r="BC58" i="2" s="1"/>
  <c r="BC7" i="2" a="1"/>
  <c r="BC7" i="2" s="1"/>
  <c r="BC84" i="2" a="1"/>
  <c r="BC84" i="2" s="1"/>
  <c r="BC55" i="2" a="1"/>
  <c r="BC55" i="2" s="1"/>
  <c r="BC181" i="2" a="1"/>
  <c r="BC181" i="2" s="1"/>
  <c r="BC82" i="2" a="1"/>
  <c r="BC82" i="2" s="1"/>
  <c r="BC34" i="2" a="1"/>
  <c r="BC34" i="2" s="1"/>
  <c r="EY202" i="2"/>
  <c r="AH166" i="2" a="1"/>
  <c r="AH166" i="2" s="1"/>
  <c r="FD144" i="2" a="1"/>
  <c r="FD144" i="2" s="1"/>
  <c r="FD21" i="2" a="1"/>
  <c r="FD21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EY203" i="2"/>
  <c r="CN203" i="2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88" i="2"/>
  <c r="GE65" i="2"/>
  <c r="GE197" i="2"/>
  <c r="GE13" i="2"/>
  <c r="GE46" i="2"/>
  <c r="GE60" i="2"/>
  <c r="GE83" i="2"/>
  <c r="GE180" i="2"/>
  <c r="GE27" i="2"/>
  <c r="GE14" i="2"/>
  <c r="GE147" i="2"/>
  <c r="GE22" i="2"/>
  <c r="GE160" i="2"/>
  <c r="GE145" i="2"/>
  <c r="GE142" i="2"/>
  <c r="GE95" i="2"/>
  <c r="GE169" i="2"/>
  <c r="GE35" i="2"/>
  <c r="GE78" i="2"/>
  <c r="GE43" i="2"/>
  <c r="GE118" i="2"/>
  <c r="GE57" i="2"/>
  <c r="GE17" i="2"/>
  <c r="GE52" i="2"/>
  <c r="GE18" i="2"/>
  <c r="GE48" i="2"/>
  <c r="GE164" i="2"/>
  <c r="GE53" i="2"/>
  <c r="GE64" i="2"/>
  <c r="GE149" i="2"/>
  <c r="GE168" i="2"/>
  <c r="GE106" i="2"/>
  <c r="GE103" i="2"/>
  <c r="GE33" i="2"/>
  <c r="GE30" i="2"/>
  <c r="GE36" i="2"/>
  <c r="GE69" i="2"/>
  <c r="GE161" i="2"/>
  <c r="GE186" i="2"/>
  <c r="GE175" i="2"/>
  <c r="GE107" i="2"/>
  <c r="GE97" i="2"/>
  <c r="GE190" i="2"/>
  <c r="GE72" i="2"/>
  <c r="GE150" i="2"/>
  <c r="GE148" i="2"/>
  <c r="GE166" i="2"/>
  <c r="GE93" i="2"/>
  <c r="GE44" i="2"/>
  <c r="GE63" i="2"/>
  <c r="GE143" i="2"/>
  <c r="GE154" i="2"/>
  <c r="GE39" i="2"/>
  <c r="GE201" i="2"/>
  <c r="GE192" i="2"/>
  <c r="GE56" i="2"/>
  <c r="GE49" i="2"/>
  <c r="GE159" i="2"/>
  <c r="GE130" i="2"/>
  <c r="GE19" i="2"/>
  <c r="GE179" i="2"/>
  <c r="GE32" i="2"/>
  <c r="GE193" i="2"/>
  <c r="GE194" i="2"/>
  <c r="GE203" i="2"/>
  <c r="GE119" i="2"/>
  <c r="GE178" i="2"/>
  <c r="GE71" i="2"/>
  <c r="GE84" i="2"/>
  <c r="GE157" i="2"/>
  <c r="GE162" i="2"/>
  <c r="GE127" i="2"/>
  <c r="GE59" i="2"/>
  <c r="GE37" i="2"/>
  <c r="GE98" i="2"/>
  <c r="GE3" i="2"/>
  <c r="C14" i="4" s="1"/>
  <c r="E14" i="4" s="1"/>
  <c r="F14" i="4" s="1"/>
  <c r="G14" i="4" s="1"/>
  <c r="L14" i="4" s="1"/>
  <c r="GE47" i="2"/>
  <c r="GE42" i="2"/>
  <c r="GE28" i="2"/>
  <c r="GE38" i="2"/>
  <c r="GE189" i="2"/>
  <c r="GE21" i="2"/>
  <c r="GE96" i="2"/>
  <c r="GE55" i="2"/>
  <c r="GE86" i="2"/>
  <c r="GE4" i="2"/>
  <c r="GE137" i="2"/>
  <c r="GE188" i="2"/>
  <c r="GE70" i="2"/>
  <c r="GE183" i="2"/>
  <c r="GE87" i="2"/>
  <c r="GE26" i="2"/>
  <c r="GE82" i="2"/>
  <c r="GE8" i="2"/>
  <c r="GE45" i="2"/>
  <c r="GE155" i="2"/>
  <c r="GE92" i="2"/>
  <c r="GE135" i="2"/>
  <c r="GE100" i="2"/>
  <c r="GE12" i="2"/>
  <c r="GE81" i="2"/>
  <c r="GE110" i="2"/>
  <c r="GE152" i="2"/>
  <c r="GE73" i="2"/>
  <c r="GE196" i="2"/>
  <c r="GE104" i="2"/>
  <c r="GE16" i="2"/>
  <c r="GE122" i="2"/>
  <c r="GE167" i="2"/>
  <c r="GE34" i="2"/>
  <c r="GE124" i="2"/>
  <c r="GE94" i="2"/>
  <c r="GE41" i="2"/>
  <c r="GE139" i="2"/>
  <c r="GE115" i="2"/>
  <c r="GE90" i="2"/>
  <c r="GE151" i="2"/>
  <c r="GE171" i="2"/>
  <c r="GE185" i="2"/>
  <c r="GE184" i="2"/>
  <c r="GE77" i="2"/>
  <c r="GE141" i="2"/>
  <c r="GE99" i="2"/>
  <c r="GE131" i="2"/>
  <c r="GE176" i="2"/>
  <c r="GE61" i="2"/>
  <c r="GE140" i="2"/>
  <c r="GE158" i="2"/>
  <c r="GE101" i="2"/>
  <c r="GE165" i="2"/>
  <c r="GE123" i="2"/>
  <c r="GE126" i="2"/>
  <c r="GE153" i="2"/>
  <c r="GE10" i="2"/>
  <c r="GE202" i="2"/>
  <c r="GE144" i="2"/>
  <c r="GE156" i="2"/>
  <c r="GE109" i="2"/>
  <c r="GE174" i="2"/>
  <c r="GE112" i="2"/>
  <c r="GE24" i="2"/>
  <c r="GE23" i="2"/>
  <c r="GE62" i="2"/>
  <c r="GE6" i="2"/>
  <c r="GE66" i="2"/>
  <c r="GE9" i="2"/>
  <c r="GE105" i="2"/>
  <c r="GE40" i="2"/>
  <c r="GE191" i="2"/>
  <c r="GE138" i="2"/>
  <c r="GE200" i="2"/>
  <c r="GE85" i="2"/>
  <c r="GE134" i="2"/>
  <c r="GE198" i="2"/>
  <c r="GE172" i="2"/>
  <c r="GE199" i="2"/>
  <c r="GE128" i="2"/>
  <c r="GE116" i="2"/>
  <c r="GE20" i="2"/>
  <c r="GE114" i="2"/>
  <c r="GE170" i="2"/>
  <c r="GE58" i="2"/>
  <c r="GE117" i="2"/>
  <c r="GE195" i="2"/>
  <c r="GE29" i="2"/>
  <c r="GE54" i="2"/>
  <c r="GE76" i="2"/>
  <c r="GE173" i="2"/>
  <c r="GE5" i="2"/>
  <c r="GE79" i="2"/>
  <c r="GE91" i="2"/>
  <c r="GE111" i="2"/>
  <c r="GE133" i="2"/>
  <c r="GE74" i="2"/>
  <c r="GE51" i="2"/>
  <c r="GE187" i="2"/>
  <c r="GE120" i="2"/>
  <c r="GE67" i="2"/>
  <c r="GE31" i="2"/>
  <c r="GE121" i="2"/>
  <c r="GE75" i="2"/>
  <c r="GE7" i="2"/>
  <c r="GE136" i="2"/>
  <c r="GE68" i="2"/>
  <c r="GE146" i="2"/>
  <c r="GE163" i="2"/>
  <c r="GE80" i="2"/>
  <c r="GE50" i="2"/>
  <c r="GE15" i="2"/>
  <c r="GE182" i="2"/>
  <c r="GE129" i="2"/>
  <c r="GE102" i="2"/>
  <c r="GE177" i="2"/>
  <c r="GE25" i="2"/>
  <c r="GE108" i="2"/>
  <c r="GE125" i="2"/>
  <c r="GE89" i="2"/>
  <c r="GE132" i="2"/>
  <c r="GE181" i="2"/>
  <c r="GE113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97" i="2"/>
  <c r="CY182" i="2"/>
  <c r="CY37" i="2"/>
  <c r="CY64" i="2"/>
  <c r="CY5" i="2"/>
  <c r="CY179" i="2"/>
  <c r="CY65" i="2"/>
  <c r="CY85" i="2"/>
  <c r="CY34" i="2"/>
  <c r="CY174" i="2"/>
  <c r="CY9" i="2"/>
  <c r="CY196" i="2"/>
  <c r="CY87" i="2"/>
  <c r="CY58" i="2"/>
  <c r="CY10" i="2"/>
  <c r="CY4" i="2"/>
  <c r="CY15" i="2"/>
  <c r="CY86" i="2"/>
  <c r="CY95" i="2"/>
  <c r="CY172" i="2"/>
  <c r="CY89" i="2"/>
  <c r="CY106" i="2"/>
  <c r="CY20" i="2"/>
  <c r="CY156" i="2"/>
  <c r="CY114" i="2"/>
  <c r="CY31" i="2"/>
  <c r="CY101" i="2"/>
  <c r="CY123" i="2"/>
  <c r="CY73" i="2"/>
  <c r="CY178" i="2"/>
  <c r="CY56" i="2"/>
  <c r="CY71" i="2"/>
  <c r="CY3" i="2"/>
  <c r="C10" i="4" s="1"/>
  <c r="E10" i="4" s="1"/>
  <c r="F10" i="4" s="1"/>
  <c r="G10" i="4" s="1"/>
  <c r="L10" i="4" s="1"/>
  <c r="CY159" i="2"/>
  <c r="CY23" i="2"/>
  <c r="CY128" i="2"/>
  <c r="CY126" i="2"/>
  <c r="CY125" i="2"/>
  <c r="CY16" i="2"/>
  <c r="CY25" i="2"/>
  <c r="CY194" i="2"/>
  <c r="CY90" i="2"/>
  <c r="CY51" i="2"/>
  <c r="CY165" i="2"/>
  <c r="CY161" i="2"/>
  <c r="CY33" i="2"/>
  <c r="CY79" i="2"/>
  <c r="CY192" i="2"/>
  <c r="CY138" i="2"/>
  <c r="CY167" i="2"/>
  <c r="CY110" i="2"/>
  <c r="CY88" i="2"/>
  <c r="CY17" i="2"/>
  <c r="CY108" i="2"/>
  <c r="CY130" i="2"/>
  <c r="CY149" i="2"/>
  <c r="CY155" i="2"/>
  <c r="CY116" i="2"/>
  <c r="CY72" i="2"/>
  <c r="CY70" i="2"/>
  <c r="CY92" i="2"/>
  <c r="CY50" i="2"/>
  <c r="CY41" i="2"/>
  <c r="CY158" i="2"/>
  <c r="CY32" i="2"/>
  <c r="CY62" i="2"/>
  <c r="CY142" i="2"/>
  <c r="CY6" i="2"/>
  <c r="CY150" i="2"/>
  <c r="CY135" i="2"/>
  <c r="CY109" i="2"/>
  <c r="CY173" i="2"/>
  <c r="CY143" i="2"/>
  <c r="CY137" i="2"/>
  <c r="CY60" i="2"/>
  <c r="CY111" i="2"/>
  <c r="CY55" i="2"/>
  <c r="CY44" i="2"/>
  <c r="CY13" i="2"/>
  <c r="CY141" i="2"/>
  <c r="CY188" i="2"/>
  <c r="CY27" i="2"/>
  <c r="CY91" i="2"/>
  <c r="CY82" i="2"/>
  <c r="CY12" i="2"/>
  <c r="CY40" i="2"/>
  <c r="CY183" i="2"/>
  <c r="CY84" i="2"/>
  <c r="CY67" i="2"/>
  <c r="CY187" i="2"/>
  <c r="CY144" i="2"/>
  <c r="CY163" i="2"/>
  <c r="CY28" i="2"/>
  <c r="CY8" i="2"/>
  <c r="CY147" i="2"/>
  <c r="CY180" i="2"/>
  <c r="CY66" i="2"/>
  <c r="CY96" i="2"/>
  <c r="CY181" i="2"/>
  <c r="CY133" i="2"/>
  <c r="CY113" i="2"/>
  <c r="CY45" i="2"/>
  <c r="CY202" i="2"/>
  <c r="CY22" i="2"/>
  <c r="CY134" i="2"/>
  <c r="CY39" i="2"/>
  <c r="CY35" i="2"/>
  <c r="CY46" i="2"/>
  <c r="CY145" i="2"/>
  <c r="CY201" i="2"/>
  <c r="CY122" i="2"/>
  <c r="CY75" i="2"/>
  <c r="CY171" i="2"/>
  <c r="CY115" i="2"/>
  <c r="CY200" i="2"/>
  <c r="CY127" i="2"/>
  <c r="CY154" i="2"/>
  <c r="CY63" i="2"/>
  <c r="CY97" i="2"/>
  <c r="CY112" i="2"/>
  <c r="CY131" i="2"/>
  <c r="CY68" i="2"/>
  <c r="CY132" i="2"/>
  <c r="CY19" i="2"/>
  <c r="CY59" i="2"/>
  <c r="CY47" i="2"/>
  <c r="CY99" i="2"/>
  <c r="CY185" i="2"/>
  <c r="CY104" i="2"/>
  <c r="CY98" i="2"/>
  <c r="CY203" i="2"/>
  <c r="CY69" i="2"/>
  <c r="CY18" i="2"/>
  <c r="CY74" i="2"/>
  <c r="CY168" i="2"/>
  <c r="CY157" i="2"/>
  <c r="CY29" i="2"/>
  <c r="CY164" i="2"/>
  <c r="CY100" i="2"/>
  <c r="CY148" i="2"/>
  <c r="CY80" i="2"/>
  <c r="CY177" i="2"/>
  <c r="CY14" i="2"/>
  <c r="CY103" i="2"/>
  <c r="CY49" i="2"/>
  <c r="CY38" i="2"/>
  <c r="CY153" i="2"/>
  <c r="CY152" i="2"/>
  <c r="CY7" i="2"/>
  <c r="CY52" i="2"/>
  <c r="CY53" i="2"/>
  <c r="CY139" i="2"/>
  <c r="CY30" i="2"/>
  <c r="CY54" i="2"/>
  <c r="CY107" i="2"/>
  <c r="CY43" i="2"/>
  <c r="CY151" i="2"/>
  <c r="CY78" i="2"/>
  <c r="CY129" i="2"/>
  <c r="CY102" i="2"/>
  <c r="CY190" i="2"/>
  <c r="CY118" i="2"/>
  <c r="CY11" i="2"/>
  <c r="CY198" i="2"/>
  <c r="CY175" i="2"/>
  <c r="CY124" i="2"/>
  <c r="CY160" i="2"/>
  <c r="CY93" i="2"/>
  <c r="CY21" i="2"/>
  <c r="CY105" i="2"/>
  <c r="CY169" i="2"/>
  <c r="CY199" i="2"/>
  <c r="CY76" i="2"/>
  <c r="CY117" i="2"/>
  <c r="CY81" i="2"/>
  <c r="CY57" i="2"/>
  <c r="CY162" i="2"/>
  <c r="CY186" i="2"/>
  <c r="CY77" i="2"/>
  <c r="CY121" i="2"/>
  <c r="CY136" i="2"/>
  <c r="CY36" i="2"/>
  <c r="CY166" i="2"/>
  <c r="CY184" i="2"/>
  <c r="CY193" i="2"/>
  <c r="CY48" i="2"/>
  <c r="CY83" i="2"/>
  <c r="CY26" i="2"/>
  <c r="CY119" i="2"/>
  <c r="CY170" i="2"/>
  <c r="CY61" i="2"/>
  <c r="CY146" i="2"/>
  <c r="CY120" i="2"/>
  <c r="CY140" i="2"/>
  <c r="CY42" i="2"/>
  <c r="CY195" i="2"/>
  <c r="CY189" i="2"/>
  <c r="CY191" i="2"/>
  <c r="CY176" i="2"/>
  <c r="CY94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39" i="2" l="1"/>
  <c r="GZ141" i="2"/>
  <c r="GZ151" i="2"/>
  <c r="GZ118" i="2"/>
  <c r="GZ24" i="2"/>
  <c r="GZ179" i="2"/>
  <c r="GZ197" i="2"/>
  <c r="GZ51" i="2"/>
  <c r="GZ69" i="2"/>
  <c r="GZ92" i="2"/>
  <c r="GZ171" i="2"/>
  <c r="GZ37" i="2"/>
  <c r="GZ71" i="2"/>
  <c r="GZ31" i="2"/>
  <c r="GZ9" i="2"/>
  <c r="GZ203" i="2"/>
  <c r="GZ200" i="2"/>
  <c r="GZ169" i="2"/>
  <c r="GZ45" i="2"/>
  <c r="GZ194" i="2"/>
  <c r="GZ130" i="2"/>
  <c r="GZ42" i="2"/>
  <c r="GZ36" i="2"/>
  <c r="GZ68" i="2"/>
  <c r="GZ120" i="2"/>
  <c r="GZ87" i="2"/>
  <c r="GZ131" i="2"/>
  <c r="GZ27" i="2"/>
  <c r="GZ48" i="2"/>
  <c r="GZ167" i="2"/>
  <c r="GZ77" i="2"/>
  <c r="GZ145" i="2"/>
  <c r="GZ11" i="2"/>
  <c r="GZ6" i="2"/>
  <c r="GZ133" i="2"/>
  <c r="GZ157" i="2"/>
  <c r="GZ186" i="2"/>
  <c r="GZ113" i="2"/>
  <c r="GZ35" i="2"/>
  <c r="GZ104" i="2"/>
  <c r="GZ34" i="2"/>
  <c r="GZ165" i="2"/>
  <c r="GZ188" i="2"/>
  <c r="GZ13" i="2"/>
  <c r="GZ96" i="2"/>
  <c r="GZ97" i="2"/>
  <c r="GZ56" i="2"/>
  <c r="GZ148" i="2"/>
  <c r="GZ135" i="2"/>
  <c r="GZ140" i="2"/>
  <c r="GZ107" i="2"/>
  <c r="GZ55" i="2"/>
  <c r="GZ26" i="2"/>
  <c r="GZ178" i="2"/>
  <c r="GZ50" i="2"/>
  <c r="GZ199" i="2"/>
  <c r="GZ154" i="2"/>
  <c r="GZ160" i="2"/>
  <c r="GZ142" i="2"/>
  <c r="GZ159" i="2"/>
  <c r="GZ10" i="2"/>
  <c r="GZ172" i="2"/>
  <c r="GZ43" i="2"/>
  <c r="GZ144" i="2"/>
  <c r="GZ124" i="2"/>
  <c r="GZ109" i="2"/>
  <c r="GZ146" i="2"/>
  <c r="GZ46" i="2"/>
  <c r="GZ75" i="2"/>
  <c r="GZ115" i="2"/>
  <c r="GZ139" i="2"/>
  <c r="GZ161" i="2"/>
  <c r="GZ16" i="2"/>
  <c r="GZ22" i="2"/>
  <c r="GZ184" i="2"/>
  <c r="GZ63" i="2"/>
  <c r="GZ202" i="2"/>
  <c r="GZ93" i="2"/>
  <c r="GZ30" i="2"/>
  <c r="GZ41" i="2"/>
  <c r="GZ85" i="2"/>
  <c r="GZ102" i="2"/>
  <c r="GZ64" i="2"/>
  <c r="GZ86" i="2"/>
  <c r="GZ112" i="2"/>
  <c r="GZ53" i="2"/>
  <c r="GZ59" i="2"/>
  <c r="GZ91" i="2"/>
  <c r="GZ182" i="2"/>
  <c r="GZ166" i="2"/>
  <c r="GZ82" i="2"/>
  <c r="GZ38" i="2"/>
  <c r="GZ190" i="2"/>
  <c r="GZ28" i="2"/>
  <c r="GZ187" i="2"/>
  <c r="GZ74" i="2"/>
  <c r="GZ15" i="2"/>
  <c r="GZ170" i="2"/>
  <c r="GZ54" i="2"/>
  <c r="GZ164" i="2"/>
  <c r="GZ20" i="2"/>
  <c r="GZ84" i="2"/>
  <c r="GZ122" i="2"/>
  <c r="GZ70" i="2"/>
  <c r="GZ80" i="2"/>
  <c r="GZ174" i="2"/>
  <c r="GZ121" i="2"/>
  <c r="GZ8" i="2"/>
  <c r="GZ132" i="2"/>
  <c r="GZ81" i="2"/>
  <c r="GZ106" i="2"/>
  <c r="GZ101" i="2"/>
  <c r="GZ73" i="2"/>
  <c r="GZ114" i="2"/>
  <c r="GZ185" i="2"/>
  <c r="GZ67" i="2"/>
  <c r="GZ100" i="2"/>
  <c r="GZ90" i="2"/>
  <c r="GZ176" i="2"/>
  <c r="GZ52" i="2"/>
  <c r="GZ95" i="2"/>
  <c r="GZ126" i="2"/>
  <c r="GZ49" i="2"/>
  <c r="GZ134" i="2"/>
  <c r="GZ76" i="2"/>
  <c r="GZ88" i="2"/>
  <c r="GZ183" i="2"/>
  <c r="GZ180" i="2"/>
  <c r="GZ89" i="2"/>
  <c r="GZ14" i="2"/>
  <c r="GZ72" i="2"/>
  <c r="GZ12" i="2"/>
  <c r="GZ98" i="2"/>
  <c r="GZ198" i="2"/>
  <c r="GZ158" i="2"/>
  <c r="GZ29" i="2"/>
  <c r="GZ138" i="2"/>
  <c r="GZ40" i="2"/>
  <c r="GZ155" i="2"/>
  <c r="GZ4" i="2"/>
  <c r="GZ119" i="2"/>
  <c r="GZ173" i="2"/>
  <c r="GZ66" i="2"/>
  <c r="GZ143" i="2"/>
  <c r="GZ162" i="2"/>
  <c r="GZ111" i="2"/>
  <c r="GZ195" i="2"/>
  <c r="GZ44" i="2"/>
  <c r="GZ21" i="2"/>
  <c r="GZ153" i="2"/>
  <c r="GZ128" i="2"/>
  <c r="GZ79" i="2"/>
  <c r="GZ57" i="2"/>
  <c r="GZ150" i="2"/>
  <c r="GZ105" i="2"/>
  <c r="GZ125" i="2"/>
  <c r="GZ58" i="2"/>
  <c r="GZ177" i="2"/>
  <c r="GZ192" i="2"/>
  <c r="GZ201" i="2"/>
  <c r="GZ25" i="2"/>
  <c r="GZ47" i="2"/>
  <c r="GZ127" i="2"/>
  <c r="GZ60" i="2"/>
  <c r="GZ19" i="2"/>
  <c r="GZ191" i="2"/>
  <c r="GZ156" i="2"/>
  <c r="GZ65" i="2"/>
  <c r="GZ83" i="2"/>
  <c r="GZ189" i="2"/>
  <c r="GZ175" i="2"/>
  <c r="GZ168" i="2"/>
  <c r="GZ196" i="2"/>
  <c r="GZ136" i="2"/>
  <c r="GZ23" i="2"/>
  <c r="GZ108" i="2"/>
  <c r="GZ110" i="2"/>
  <c r="GZ117" i="2"/>
  <c r="GZ181" i="2"/>
  <c r="GZ94" i="2"/>
  <c r="GZ3" i="2"/>
  <c r="C15" i="4" s="1"/>
  <c r="E15" i="4" s="1"/>
  <c r="F15" i="4" s="1"/>
  <c r="G15" i="4" s="1"/>
  <c r="L15" i="4" s="1"/>
  <c r="GZ147" i="2"/>
  <c r="GZ116" i="2"/>
  <c r="GZ152" i="2"/>
  <c r="GZ163" i="2"/>
  <c r="GZ61" i="2"/>
  <c r="GZ32" i="2"/>
  <c r="GZ103" i="2"/>
  <c r="GZ17" i="2"/>
  <c r="GZ5" i="2"/>
  <c r="GZ99" i="2"/>
  <c r="GZ149" i="2"/>
  <c r="GZ129" i="2"/>
  <c r="GZ137" i="2"/>
  <c r="GZ193" i="2"/>
  <c r="GZ78" i="2"/>
  <c r="GZ123" i="2"/>
  <c r="GZ62" i="2"/>
  <c r="GZ33" i="2"/>
  <c r="GZ18" i="2"/>
  <c r="GZ7" i="2"/>
  <c r="FJ121" i="2"/>
  <c r="FJ64" i="2"/>
  <c r="FJ57" i="2"/>
  <c r="FJ181" i="2"/>
  <c r="FJ55" i="2"/>
  <c r="FJ94" i="2"/>
  <c r="FJ122" i="2"/>
  <c r="FJ50" i="2"/>
  <c r="FJ163" i="2"/>
  <c r="FJ178" i="2"/>
  <c r="FJ88" i="2"/>
  <c r="FJ9" i="2"/>
  <c r="FJ194" i="2"/>
  <c r="FJ173" i="2"/>
  <c r="FJ31" i="2"/>
  <c r="FJ172" i="2"/>
  <c r="FJ124" i="2"/>
  <c r="FJ170" i="2"/>
  <c r="FJ126" i="2"/>
  <c r="FJ160" i="2"/>
  <c r="FJ202" i="2"/>
  <c r="FJ127" i="2"/>
  <c r="FJ17" i="2"/>
  <c r="FJ87" i="2"/>
  <c r="FJ69" i="2"/>
  <c r="FJ186" i="2"/>
  <c r="FJ96" i="2"/>
  <c r="FJ52" i="2"/>
  <c r="FJ200" i="2"/>
  <c r="FJ51" i="2"/>
  <c r="FJ116" i="2"/>
  <c r="FJ6" i="2"/>
  <c r="FJ82" i="2"/>
  <c r="FJ21" i="2"/>
  <c r="FJ156" i="2"/>
  <c r="FJ183" i="2"/>
  <c r="FJ114" i="2"/>
  <c r="FJ28" i="2"/>
  <c r="FJ12" i="2"/>
  <c r="FJ74" i="2"/>
  <c r="FJ38" i="2"/>
  <c r="FJ30" i="2"/>
  <c r="FJ167" i="2"/>
  <c r="FJ112" i="2"/>
  <c r="FJ78" i="2"/>
  <c r="FJ165" i="2"/>
  <c r="FJ90" i="2"/>
  <c r="FJ159" i="2"/>
  <c r="FJ146" i="2"/>
  <c r="FJ171" i="2"/>
  <c r="FJ148" i="2"/>
  <c r="FJ145" i="2"/>
  <c r="FJ153" i="2"/>
  <c r="FJ49" i="2"/>
  <c r="FJ22" i="2"/>
  <c r="FJ65" i="2"/>
  <c r="FJ110" i="2"/>
  <c r="FJ73" i="2"/>
  <c r="FJ123" i="2"/>
  <c r="FJ58" i="2"/>
  <c r="FJ150" i="2"/>
  <c r="FJ176" i="2"/>
  <c r="FJ47" i="2"/>
  <c r="FJ198" i="2"/>
  <c r="FJ84" i="2"/>
  <c r="FJ40" i="2"/>
  <c r="FJ113" i="2"/>
  <c r="FJ120" i="2"/>
  <c r="FJ187" i="2"/>
  <c r="FJ180" i="2"/>
  <c r="FJ188" i="2"/>
  <c r="FJ20" i="2"/>
  <c r="FJ179" i="2"/>
  <c r="FJ174" i="2"/>
  <c r="FJ29" i="2"/>
  <c r="FJ39" i="2"/>
  <c r="FJ80" i="2"/>
  <c r="FJ132" i="2"/>
  <c r="FJ203" i="2"/>
  <c r="FJ141" i="2"/>
  <c r="FJ152" i="2"/>
  <c r="FJ27" i="2"/>
  <c r="FJ10" i="2"/>
  <c r="FJ109" i="2"/>
  <c r="FJ32" i="2"/>
  <c r="FJ95" i="2"/>
  <c r="FJ11" i="2"/>
  <c r="FJ67" i="2"/>
  <c r="FJ142" i="2"/>
  <c r="FJ26" i="2"/>
  <c r="FJ149" i="2"/>
  <c r="FJ104" i="2"/>
  <c r="FJ62" i="2"/>
  <c r="FJ196" i="2"/>
  <c r="FJ24" i="2"/>
  <c r="FJ85" i="2"/>
  <c r="FJ139" i="2"/>
  <c r="FJ106" i="2"/>
  <c r="FJ175" i="2"/>
  <c r="FJ77" i="2"/>
  <c r="FJ41" i="2"/>
  <c r="FJ66" i="2"/>
  <c r="FJ93" i="2"/>
  <c r="FJ155" i="2"/>
  <c r="FJ128" i="2"/>
  <c r="FJ46" i="2"/>
  <c r="FJ75" i="2"/>
  <c r="FJ61" i="2"/>
  <c r="FJ177" i="2"/>
  <c r="FJ3" i="2"/>
  <c r="C13" i="4" s="1"/>
  <c r="E13" i="4" s="1"/>
  <c r="F13" i="4" s="1"/>
  <c r="G13" i="4" s="1"/>
  <c r="L13" i="4" s="1"/>
  <c r="FJ189" i="2"/>
  <c r="FJ19" i="2"/>
  <c r="FJ72" i="2"/>
  <c r="FJ134" i="2"/>
  <c r="FJ97" i="2"/>
  <c r="FJ190" i="2"/>
  <c r="FJ76" i="2"/>
  <c r="FJ144" i="2"/>
  <c r="FJ99" i="2"/>
  <c r="FJ199" i="2"/>
  <c r="FJ102" i="2"/>
  <c r="FJ130" i="2"/>
  <c r="FJ197" i="2"/>
  <c r="FJ169" i="2"/>
  <c r="FJ37" i="2"/>
  <c r="FJ158" i="2"/>
  <c r="FJ70" i="2"/>
  <c r="FJ117" i="2"/>
  <c r="FJ60" i="2"/>
  <c r="FJ79" i="2"/>
  <c r="FJ34" i="2"/>
  <c r="FJ131" i="2"/>
  <c r="FJ161" i="2"/>
  <c r="FJ191" i="2"/>
  <c r="FJ44" i="2"/>
  <c r="FJ182" i="2"/>
  <c r="FJ25" i="2"/>
  <c r="FJ18" i="2"/>
  <c r="FJ105" i="2"/>
  <c r="FJ137" i="2"/>
  <c r="FJ115" i="2"/>
  <c r="FJ136" i="2"/>
  <c r="FJ168" i="2"/>
  <c r="FJ92" i="2"/>
  <c r="FJ81" i="2"/>
  <c r="FJ8" i="2"/>
  <c r="FJ140" i="2"/>
  <c r="FJ119" i="2"/>
  <c r="FJ54" i="2"/>
  <c r="FJ14" i="2"/>
  <c r="FJ56" i="2"/>
  <c r="FJ154" i="2"/>
  <c r="FJ16" i="2"/>
  <c r="FJ43" i="2"/>
  <c r="FJ166" i="2"/>
  <c r="FJ100" i="2"/>
  <c r="FJ103" i="2"/>
  <c r="FJ5" i="2"/>
  <c r="FJ147" i="2"/>
  <c r="FJ101" i="2"/>
  <c r="FJ184" i="2"/>
  <c r="FJ192" i="2"/>
  <c r="FJ33" i="2"/>
  <c r="FJ133" i="2"/>
  <c r="FJ193" i="2"/>
  <c r="FJ162" i="2"/>
  <c r="FJ98" i="2"/>
  <c r="FJ83" i="2"/>
  <c r="FJ135" i="2"/>
  <c r="FJ48" i="2"/>
  <c r="FJ86" i="2"/>
  <c r="FJ125" i="2"/>
  <c r="FJ89" i="2"/>
  <c r="FJ118" i="2"/>
  <c r="FJ107" i="2"/>
  <c r="FJ151" i="2"/>
  <c r="FJ185" i="2"/>
  <c r="FJ59" i="2"/>
  <c r="FJ35" i="2"/>
  <c r="FJ53" i="2"/>
  <c r="FJ36" i="2"/>
  <c r="FJ164" i="2"/>
  <c r="FJ129" i="2"/>
  <c r="FJ201" i="2"/>
  <c r="FJ195" i="2"/>
  <c r="FJ157" i="2"/>
  <c r="FJ138" i="2"/>
  <c r="FJ91" i="2"/>
  <c r="FJ71" i="2"/>
  <c r="FJ42" i="2"/>
  <c r="FJ7" i="2"/>
  <c r="FJ68" i="2"/>
  <c r="FJ108" i="2"/>
  <c r="FJ23" i="2"/>
  <c r="FJ4" i="2"/>
  <c r="FJ143" i="2"/>
  <c r="FJ45" i="2"/>
  <c r="FJ13" i="2"/>
  <c r="FJ111" i="2"/>
  <c r="FJ63" i="2"/>
  <c r="FJ1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<sst xmlns="http://schemas.openxmlformats.org/spreadsheetml/2006/main" count="1179" uniqueCount="324">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</sst>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236.09675414607662</c:v>
                </c:pt>
                <c:pt idx="27">
                  <c:v>254.00660330882422</c:v>
                </c:pt>
                <c:pt idx="28">
                  <c:v>271.88786690161197</c:v>
                </c:pt>
                <c:pt idx="29">
                  <c:v>289.74268920589344</c:v>
                </c:pt>
                <c:pt idx="30">
                  <c:v>307.57292859760338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259.45164815796988</c:v>
                </c:pt>
                <c:pt idx="37">
                  <c:v>281.20660167429202</c:v>
                </c:pt>
                <c:pt idx="38">
                  <c:v>302.92383728372158</c:v>
                </c:pt>
                <c:pt idx="39">
                  <c:v>324.60643807826494</c:v>
                </c:pt>
                <c:pt idx="40">
                  <c:v>346.25704166537025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369.42119511414558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432.96552861089231</c:v>
                </c:pt>
                <c:pt idx="50">
                  <c:v>454.10078588624373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606.47567200029607</c:v>
                </c:pt>
                <c:pt idx="97">
                  <c:v>617.16268463508504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649.20100677344169</c:v>
                </c:pt>
                <c:pt idx="101">
                  <c:v>607.62089481714168</c:v>
                </c:pt>
                <c:pt idx="102">
                  <c:v>617.5442922766041</c:v>
                </c:pt>
                <c:pt idx="103">
                  <c:v>627.46438526884401</c:v>
                </c:pt>
                <c:pt idx="104">
                  <c:v>637.3812333927383</c:v>
                </c:pt>
                <c:pt idx="105">
                  <c:v>647.29489424172459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677.01730100315024</c:v>
                </c:pt>
                <c:pt idx="109">
                  <c:v>686.91875187459857</c:v>
                </c:pt>
                <c:pt idx="110">
                  <c:v>696.81727657286831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645.38866590218868</c:v>
                </c:pt>
                <c:pt idx="116">
                  <c:v>607.62089481714156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631.66036748923909</c:v>
                </c:pt>
                <c:pt idx="120">
                  <c:v>639.6692821174388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2.0736705930416708</c:v>
                </c:pt>
                <c:pt idx="2">
                  <c:v>2.4825249280482562</c:v>
                </c:pt>
                <c:pt idx="3">
                  <c:v>2.9722948868888355</c:v>
                </c:pt>
                <c:pt idx="4">
                  <c:v>3.5590512286161178</c:v>
                </c:pt>
                <c:pt idx="5">
                  <c:v>4.2620671532813672</c:v>
                </c:pt>
                <c:pt idx="6">
                  <c:v>5.104458426753971</c:v>
                </c:pt>
                <c:pt idx="7">
                  <c:v>6.1139518226557783</c:v>
                </c:pt>
                <c:pt idx="8">
                  <c:v>7.3238076707277555</c:v>
                </c:pt>
                <c:pt idx="9">
                  <c:v>8.773927496504955</c:v>
                </c:pt>
                <c:pt idx="10">
                  <c:v>10.512183981714756</c:v>
                </c:pt>
                <c:pt idx="11">
                  <c:v>12.59601798053852</c:v>
                </c:pt>
                <c:pt idx="12">
                  <c:v>15.094356348997385</c:v>
                </c:pt>
                <c:pt idx="13">
                  <c:v>18.089915190183103</c:v>
                </c:pt>
                <c:pt idx="14">
                  <c:v>21.681966156034065</c:v>
                </c:pt>
                <c:pt idx="15">
                  <c:v>25.989659120911373</c:v>
                </c:pt>
                <c:pt idx="16">
                  <c:v>31.156013387500014</c:v>
                </c:pt>
                <c:pt idx="17">
                  <c:v>37.352712244073444</c:v>
                </c:pt>
                <c:pt idx="18">
                  <c:v>44.785862936855693</c:v>
                </c:pt>
                <c:pt idx="19">
                  <c:v>53.702916881953875</c:v>
                </c:pt>
                <c:pt idx="20">
                  <c:v>64.400984336797691</c:v>
                </c:pt>
                <c:pt idx="21">
                  <c:v>72.736463361162052</c:v>
                </c:pt>
                <c:pt idx="22">
                  <c:v>81.047497498362148</c:v>
                </c:pt>
                <c:pt idx="23">
                  <c:v>89.336953064344087</c:v>
                </c:pt>
                <c:pt idx="24">
                  <c:v>97.607118971069283</c:v>
                </c:pt>
                <c:pt idx="25">
                  <c:v>105.85986329993615</c:v>
                </c:pt>
                <c:pt idx="26">
                  <c:v>116.15363531799953</c:v>
                </c:pt>
                <c:pt idx="27">
                  <c:v>126.42510605145075</c:v>
                </c:pt>
                <c:pt idx="28">
                  <c:v>136.67634522884143</c:v>
                </c:pt>
                <c:pt idx="29">
                  <c:v>146.90908607065367</c:v>
                </c:pt>
                <c:pt idx="30">
                  <c:v>157.12480016409424</c:v>
                </c:pt>
                <c:pt idx="31">
                  <c:v>126.42510605145075</c:v>
                </c:pt>
                <c:pt idx="32">
                  <c:v>138.13926103387723</c:v>
                </c:pt>
                <c:pt idx="33">
                  <c:v>149.82954016541169</c:v>
                </c:pt>
                <c:pt idx="34">
                  <c:v>161.49807067148291</c:v>
                </c:pt>
                <c:pt idx="35">
                  <c:v>173.14664675554297</c:v>
                </c:pt>
                <c:pt idx="36">
                  <c:v>154.791212197665</c:v>
                </c:pt>
                <c:pt idx="37">
                  <c:v>167.03353298741314</c:v>
                </c:pt>
                <c:pt idx="38">
                  <c:v>179.25468649117639</c:v>
                </c:pt>
                <c:pt idx="39">
                  <c:v>191.45632021479813</c:v>
                </c:pt>
                <c:pt idx="40">
                  <c:v>203.63985426583091</c:v>
                </c:pt>
                <c:pt idx="41">
                  <c:v>185.3578498069385</c:v>
                </c:pt>
                <c:pt idx="42">
                  <c:v>197.5502685595452</c:v>
                </c:pt>
                <c:pt idx="43">
                  <c:v>209.72522642799001</c:v>
                </c:pt>
                <c:pt idx="44">
                  <c:v>221.88388047112767</c:v>
                </c:pt>
                <c:pt idx="45">
                  <c:v>234.02725047186388</c:v>
                </c:pt>
                <c:pt idx="46">
                  <c:v>215.5170295411389</c:v>
                </c:pt>
                <c:pt idx="47">
                  <c:v>227.37914621653621</c:v>
                </c:pt>
                <c:pt idx="48">
                  <c:v>239.2271010331298</c:v>
                </c:pt>
                <c:pt idx="49">
                  <c:v>251.06169458557397</c:v>
                </c:pt>
                <c:pt idx="50">
                  <c:v>262.8836457748352</c:v>
                </c:pt>
                <c:pt idx="51">
                  <c:v>244.13570624979195</c:v>
                </c:pt>
                <c:pt idx="52">
                  <c:v>255.67660587898322</c:v>
                </c:pt>
                <c:pt idx="53">
                  <c:v>267.20572099343701</c:v>
                </c:pt>
                <c:pt idx="54">
                  <c:v>278.723631976729</c:v>
                </c:pt>
                <c:pt idx="55">
                  <c:v>290.23086730017536</c:v>
                </c:pt>
                <c:pt idx="56">
                  <c:v>270.95024442791089</c:v>
                </c:pt>
                <c:pt idx="57">
                  <c:v>281.88916467282769</c:v>
                </c:pt>
                <c:pt idx="58">
                  <c:v>292.81857421305534</c:v>
                </c:pt>
                <c:pt idx="59">
                  <c:v>303.73887825775086</c:v>
                </c:pt>
                <c:pt idx="60">
                  <c:v>314.65045048417016</c:v>
                </c:pt>
                <c:pt idx="61">
                  <c:v>294.83088185618146</c:v>
                </c:pt>
                <c:pt idx="62">
                  <c:v>305.17510260314924</c:v>
                </c:pt>
                <c:pt idx="63">
                  <c:v>315.51152888688659</c:v>
                </c:pt>
                <c:pt idx="64">
                  <c:v>325.8404521993736</c:v>
                </c:pt>
                <c:pt idx="65">
                  <c:v>336.16214403365615</c:v>
                </c:pt>
                <c:pt idx="66">
                  <c:v>315.79854343698958</c:v>
                </c:pt>
                <c:pt idx="67">
                  <c:v>325.55363652329186</c:v>
                </c:pt>
                <c:pt idx="68">
                  <c:v>335.30227295269918</c:v>
                </c:pt>
                <c:pt idx="69">
                  <c:v>345.04466702322998</c:v>
                </c:pt>
                <c:pt idx="70">
                  <c:v>354.78101993685891</c:v>
                </c:pt>
                <c:pt idx="71">
                  <c:v>333.58238487409534</c:v>
                </c:pt>
                <c:pt idx="72">
                  <c:v>342.46639395307403</c:v>
                </c:pt>
                <c:pt idx="73">
                  <c:v>351.34533779988072</c:v>
                </c:pt>
                <c:pt idx="74">
                  <c:v>360.21936255423617</c:v>
                </c:pt>
                <c:pt idx="75">
                  <c:v>369.08860656335196</c:v>
                </c:pt>
                <c:pt idx="76">
                  <c:v>347.62251685912901</c:v>
                </c:pt>
                <c:pt idx="77">
                  <c:v>356.21233858420209</c:v>
                </c:pt>
                <c:pt idx="78">
                  <c:v>364.7976254144935</c:v>
                </c:pt>
                <c:pt idx="79">
                  <c:v>373.37849919705491</c:v>
                </c:pt>
                <c:pt idx="80">
                  <c:v>381.95507571785947</c:v>
                </c:pt>
                <c:pt idx="81">
                  <c:v>360.21936255423617</c:v>
                </c:pt>
                <c:pt idx="82">
                  <c:v>368.51653895153339</c:v>
                </c:pt>
                <c:pt idx="83">
                  <c:v>376.80963918625883</c:v>
                </c:pt>
                <c:pt idx="84">
                  <c:v>385.09876568097229</c:v>
                </c:pt>
                <c:pt idx="85">
                  <c:v>393.38401608641078</c:v>
                </c:pt>
                <c:pt idx="86">
                  <c:v>371.09069104114747</c:v>
                </c:pt>
                <c:pt idx="87">
                  <c:v>378.81082287270925</c:v>
                </c:pt>
                <c:pt idx="88">
                  <c:v>386.5275310109509</c:v>
                </c:pt>
                <c:pt idx="89">
                  <c:v>394.24089349639394</c:v>
                </c:pt>
                <c:pt idx="90">
                  <c:v>401.95098506454946</c:v>
                </c:pt>
                <c:pt idx="91">
                  <c:v>381.95507571785942</c:v>
                </c:pt>
                <c:pt idx="92">
                  <c:v>391.95579706633157</c:v>
                </c:pt>
                <c:pt idx="93">
                  <c:v>401.95098506454946</c:v>
                </c:pt>
                <c:pt idx="94">
                  <c:v>411.940796757839</c:v>
                </c:pt>
                <c:pt idx="95">
                  <c:v>421.92538095054562</c:v>
                </c:pt>
                <c:pt idx="96">
                  <c:v>395.95452728081585</c:v>
                </c:pt>
                <c:pt idx="97">
                  <c:v>399.95238247192287</c:v>
                </c:pt>
                <c:pt idx="98">
                  <c:v>403.94937263132101</c:v>
                </c:pt>
                <c:pt idx="99">
                  <c:v>407.94550753657609</c:v>
                </c:pt>
                <c:pt idx="100">
                  <c:v>411.94079675783911</c:v>
                </c:pt>
                <c:pt idx="101">
                  <c:v>388.24189801221178</c:v>
                </c:pt>
                <c:pt idx="102">
                  <c:v>394.52651032175959</c:v>
                </c:pt>
                <c:pt idx="103">
                  <c:v>400.80895284839431</c:v>
                </c:pt>
                <c:pt idx="104">
                  <c:v>407.08926442980305</c:v>
                </c:pt>
                <c:pt idx="105">
                  <c:v>413.3674826065606</c:v>
                </c:pt>
                <c:pt idx="106">
                  <c:v>419.64364368493187</c:v>
                </c:pt>
                <c:pt idx="107">
                  <c:v>425.91778279571855</c:v>
                </c:pt>
                <c:pt idx="108">
                  <c:v>432.18993394945642</c:v>
                </c:pt>
                <c:pt idx="109">
                  <c:v>438.46013008823849</c:v>
                </c:pt>
                <c:pt idx="110">
                  <c:v>444.72840313441935</c:v>
                </c:pt>
                <c:pt idx="111">
                  <c:v>394.5265103217593</c:v>
                </c:pt>
                <c:pt idx="112">
                  <c:v>399.9523824719227</c:v>
                </c:pt>
                <c:pt idx="113">
                  <c:v>405.37666134724623</c:v>
                </c:pt>
                <c:pt idx="114">
                  <c:v>410.79937129603883</c:v>
                </c:pt>
                <c:pt idx="115">
                  <c:v>416.22053597073165</c:v>
                </c:pt>
                <c:pt idx="116">
                  <c:v>395.66893283237999</c:v>
                </c:pt>
                <c:pt idx="117">
                  <c:v>400.80895284839431</c:v>
                </c:pt>
                <c:pt idx="118">
                  <c:v>405.9475463877971</c:v>
                </c:pt>
                <c:pt idx="119">
                  <c:v>411.08473407358116</c:v>
                </c:pt>
                <c:pt idx="120">
                  <c:v>416.22053597073187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263.85541384215668</c:v>
                </c:pt>
                <c:pt idx="27">
                  <c:v>283.87641689700024</c:v>
                </c:pt>
                <c:pt idx="28">
                  <c:v>303.86580648514382</c:v>
                </c:pt>
                <c:pt idx="29">
                  <c:v>323.82595401882173</c:v>
                </c:pt>
                <c:pt idx="30">
                  <c:v>343.75891472050535</c:v>
                </c:pt>
                <c:pt idx="31">
                  <c:v>232.44796515158802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</c:v>
                </c:pt>
                <c:pt idx="35">
                  <c:v>326.42740643086177</c:v>
                </c:pt>
                <c:pt idx="36">
                  <c:v>289.96337472940417</c:v>
                </c:pt>
                <c:pt idx="37">
                  <c:v>314.28330815365297</c:v>
                </c:pt>
                <c:pt idx="38">
                  <c:v>338.56152844098659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351.11892985232765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424.97612632602937</c:v>
                </c:pt>
                <c:pt idx="45">
                  <c:v>449.53102985794368</c:v>
                </c:pt>
                <c:pt idx="46">
                  <c:v>412.90299192267594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507.57600167435936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652.75001250200091</c:v>
                </c:pt>
                <c:pt idx="82">
                  <c:v>667.27052872062904</c:v>
                </c:pt>
                <c:pt idx="83">
                  <c:v>681.78454819307171</c:v>
                </c:pt>
                <c:pt idx="84">
                  <c:v>696.29222861974165</c:v>
                </c:pt>
                <c:pt idx="85">
                  <c:v>710.79372059813102</c:v>
                </c:pt>
                <c:pt idx="86">
                  <c:v>664.70856137271744</c:v>
                </c:pt>
                <c:pt idx="87">
                  <c:v>678.37006080489357</c:v>
                </c:pt>
                <c:pt idx="88">
                  <c:v>692.02591280075649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699.27833097368693</c:v>
                </c:pt>
                <c:pt idx="94">
                  <c:v>712.49937837079085</c:v>
                </c:pt>
                <c:pt idx="95">
                  <c:v>725.71541469625163</c:v>
                </c:pt>
                <c:pt idx="96">
                  <c:v>677.94322510709105</c:v>
                </c:pt>
                <c:pt idx="97">
                  <c:v>689.89255298185071</c:v>
                </c:pt>
                <c:pt idx="98">
                  <c:v>701.8376394844596</c:v>
                </c:pt>
                <c:pt idx="99">
                  <c:v>713.77856694008221</c:v>
                </c:pt>
                <c:pt idx="100">
                  <c:v>725.71541469625197</c:v>
                </c:pt>
                <c:pt idx="101">
                  <c:v>679.22371566061372</c:v>
                </c:pt>
                <c:pt idx="102">
                  <c:v>690.31923574953726</c:v>
                </c:pt>
                <c:pt idx="103">
                  <c:v>701.41110134898747</c:v>
                </c:pt>
                <c:pt idx="104">
                  <c:v>712.49937837079085</c:v>
                </c:pt>
                <c:pt idx="105">
                  <c:v>723.58413050890942</c:v>
                </c:pt>
                <c:pt idx="106">
                  <c:v>734.66541934761574</c:v>
                </c:pt>
                <c:pt idx="107">
                  <c:v>745.74330446280692</c:v>
                </c:pt>
                <c:pt idx="108">
                  <c:v>756.81784351698707</c:v>
                </c:pt>
                <c:pt idx="109">
                  <c:v>767.8890923484081</c:v>
                </c:pt>
                <c:pt idx="110">
                  <c:v>778.95710505480247</c:v>
                </c:pt>
                <c:pt idx="111">
                  <c:v>680.50415665378739</c:v>
                </c:pt>
                <c:pt idx="112">
                  <c:v>690.74591311146139</c:v>
                </c:pt>
                <c:pt idx="113">
                  <c:v>700.9845579052411</c:v>
                </c:pt>
                <c:pt idx="114">
                  <c:v>711.22014287488298</c:v>
                </c:pt>
                <c:pt idx="115">
                  <c:v>721.45271824692566</c:v>
                </c:pt>
                <c:pt idx="116">
                  <c:v>679.22371566061349</c:v>
                </c:pt>
                <c:pt idx="117">
                  <c:v>688.1857677770563</c:v>
                </c:pt>
                <c:pt idx="118">
                  <c:v>697.14542742909498</c:v>
                </c:pt>
                <c:pt idx="119">
                  <c:v>706.10272969198616</c:v>
                </c:pt>
                <c:pt idx="120">
                  <c:v>715.05770867875617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2.2296966124090321</c:v>
                </c:pt>
                <c:pt idx="2">
                  <c:v>2.6346850083871081</c:v>
                </c:pt>
                <c:pt idx="3">
                  <c:v>3.1135061147146348</c:v>
                </c:pt>
                <c:pt idx="4">
                  <c:v>3.6796673131459503</c:v>
                </c:pt>
                <c:pt idx="5">
                  <c:v>4.3491551870835119</c:v>
                </c:pt>
                <c:pt idx="6">
                  <c:v>5.1408919479228485</c:v>
                </c:pt>
                <c:pt idx="7">
                  <c:v>6.077276126401709</c:v>
                </c:pt>
                <c:pt idx="8">
                  <c:v>7.1848231259998316</c:v>
                </c:pt>
                <c:pt idx="9">
                  <c:v>8.4949241291771731</c:v>
                </c:pt>
                <c:pt idx="10">
                  <c:v>10.044745279010474</c:v>
                </c:pt>
                <c:pt idx="11">
                  <c:v>11.878293128820088</c:v>
                </c:pt>
                <c:pt idx="12">
                  <c:v>14.047677179605477</c:v>
                </c:pt>
                <c:pt idx="13">
                  <c:v>16.614606050663038</c:v>
                </c:pt>
                <c:pt idx="14">
                  <c:v>19.65216062012971</c:v>
                </c:pt>
                <c:pt idx="15">
                  <c:v>23.246895528143956</c:v>
                </c:pt>
                <c:pt idx="16">
                  <c:v>27.501329991734437</c:v>
                </c:pt>
                <c:pt idx="17">
                  <c:v>32.536900217402561</c:v>
                </c:pt>
                <c:pt idx="18">
                  <c:v>38.497459146945268</c:v>
                </c:pt>
                <c:pt idx="19">
                  <c:v>45.553425228768447</c:v>
                </c:pt>
                <c:pt idx="20">
                  <c:v>53.906700838909053</c:v>
                </c:pt>
                <c:pt idx="21">
                  <c:v>68.267356266852531</c:v>
                </c:pt>
                <c:pt idx="22">
                  <c:v>82.549938652648208</c:v>
                </c:pt>
                <c:pt idx="23">
                  <c:v>96.769933773134412</c:v>
                </c:pt>
                <c:pt idx="24">
                  <c:v>110.93786523534799</c:v>
                </c:pt>
                <c:pt idx="25">
                  <c:v>125.06133342992787</c:v>
                </c:pt>
                <c:pt idx="26">
                  <c:v>128.90625964991725</c:v>
                </c:pt>
                <c:pt idx="27">
                  <c:v>143.93966677446883</c:v>
                </c:pt>
                <c:pt idx="28">
                  <c:v>158.93547642720694</c:v>
                </c:pt>
                <c:pt idx="29">
                  <c:v>173.89773831059935</c:v>
                </c:pt>
                <c:pt idx="30">
                  <c:v>188.82974704850503</c:v>
                </c:pt>
                <c:pt idx="31">
                  <c:v>160.52873780727222</c:v>
                </c:pt>
                <c:pt idx="32">
                  <c:v>176.75931019759392</c:v>
                </c:pt>
                <c:pt idx="33">
                  <c:v>192.95491309455588</c:v>
                </c:pt>
                <c:pt idx="34">
                  <c:v>209.11889593919318</c:v>
                </c:pt>
                <c:pt idx="35">
                  <c:v>225.25404749767389</c:v>
                </c:pt>
                <c:pt idx="36">
                  <c:v>197.39510651187899</c:v>
                </c:pt>
                <c:pt idx="37">
                  <c:v>213.86740876914379</c:v>
                </c:pt>
                <c:pt idx="38">
                  <c:v>230.31049891241477</c:v>
                </c:pt>
                <c:pt idx="39">
                  <c:v>246.72675637125698</c:v>
                </c:pt>
                <c:pt idx="40">
                  <c:v>263.11821789263303</c:v>
                </c:pt>
                <c:pt idx="41">
                  <c:v>236.3117437149856</c:v>
                </c:pt>
                <c:pt idx="42">
                  <c:v>253.66452396110128</c:v>
                </c:pt>
                <c:pt idx="43">
                  <c:v>270.99042974399345</c:v>
                </c:pt>
                <c:pt idx="44">
                  <c:v>288.29142094764018</c:v>
                </c:pt>
                <c:pt idx="45">
                  <c:v>305.5692029643111</c:v>
                </c:pt>
                <c:pt idx="46">
                  <c:v>278.85749740718308</c:v>
                </c:pt>
                <c:pt idx="47">
                  <c:v>296.14774103899623</c:v>
                </c:pt>
                <c:pt idx="48">
                  <c:v>313.41547935665466</c:v>
                </c:pt>
                <c:pt idx="49">
                  <c:v>330.66212656242288</c:v>
                </c:pt>
                <c:pt idx="50">
                  <c:v>347.88893729723378</c:v>
                </c:pt>
                <c:pt idx="51">
                  <c:v>321.25740024962448</c:v>
                </c:pt>
                <c:pt idx="52">
                  <c:v>338.49488394193031</c:v>
                </c:pt>
                <c:pt idx="53">
                  <c:v>355.7130557164939</c:v>
                </c:pt>
                <c:pt idx="54">
                  <c:v>372.91298167145311</c:v>
                </c:pt>
                <c:pt idx="55">
                  <c:v>390.09562155502164</c:v>
                </c:pt>
                <c:pt idx="56">
                  <c:v>363.2206629596339</c:v>
                </c:pt>
                <c:pt idx="57">
                  <c:v>380.10050029057857</c:v>
                </c:pt>
                <c:pt idx="58">
                  <c:v>396.96403469017793</c:v>
                </c:pt>
                <c:pt idx="59">
                  <c:v>413.81205599750405</c:v>
                </c:pt>
                <c:pt idx="60">
                  <c:v>430.64528450788242</c:v>
                </c:pt>
                <c:pt idx="61">
                  <c:v>1.2800215959791691E-12</c:v>
                </c:pt>
                <c:pt idx="62">
                  <c:v>1.2800215959791691E-12</c:v>
                </c:pt>
                <c:pt idx="63">
                  <c:v>1.2800215959791691E-12</c:v>
                </c:pt>
                <c:pt idx="64">
                  <c:v>1.2800215959791691E-12</c:v>
                </c:pt>
                <c:pt idx="65">
                  <c:v>1.2800215959791691E-12</c:v>
                </c:pt>
                <c:pt idx="66">
                  <c:v>1.2800215959791691E-12</c:v>
                </c:pt>
                <c:pt idx="67">
                  <c:v>1.2800215959791691E-12</c:v>
                </c:pt>
                <c:pt idx="68">
                  <c:v>1.2800215959791691E-12</c:v>
                </c:pt>
                <c:pt idx="69">
                  <c:v>1.2800215959791691E-12</c:v>
                </c:pt>
                <c:pt idx="70">
                  <c:v>1.2800215959791691E-12</c:v>
                </c:pt>
                <c:pt idx="71">
                  <c:v>1.2800215959791691E-12</c:v>
                </c:pt>
                <c:pt idx="72">
                  <c:v>1.2800215959791691E-12</c:v>
                </c:pt>
                <c:pt idx="73">
                  <c:v>1.2800215959791691E-12</c:v>
                </c:pt>
                <c:pt idx="74">
                  <c:v>1.2800215959791691E-12</c:v>
                </c:pt>
                <c:pt idx="75">
                  <c:v>1.2800215959791691E-12</c:v>
                </c:pt>
                <c:pt idx="76">
                  <c:v>1.2800215959791691E-12</c:v>
                </c:pt>
                <c:pt idx="77">
                  <c:v>1.2800215959791691E-12</c:v>
                </c:pt>
                <c:pt idx="78">
                  <c:v>1.2800215959791691E-12</c:v>
                </c:pt>
                <c:pt idx="79">
                  <c:v>1.2800215959791691E-12</c:v>
                </c:pt>
                <c:pt idx="80">
                  <c:v>1.2800215959791691E-12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44.93372094876522</c:v>
                </c:pt>
                <c:pt idx="12">
                  <c:v>63.406874283033325</c:v>
                </c:pt>
                <c:pt idx="13">
                  <c:v>81.73907477867921</c:v>
                </c:pt>
                <c:pt idx="14">
                  <c:v>99.966750557114111</c:v>
                </c:pt>
                <c:pt idx="15">
                  <c:v>118.11175661352546</c:v>
                </c:pt>
                <c:pt idx="16">
                  <c:v>117.13279597479369</c:v>
                </c:pt>
                <c:pt idx="17">
                  <c:v>141.79493055314137</c:v>
                </c:pt>
                <c:pt idx="18">
                  <c:v>166.35397580705441</c:v>
                </c:pt>
                <c:pt idx="19">
                  <c:v>190.82732497329735</c:v>
                </c:pt>
                <c:pt idx="20">
                  <c:v>215.22752536323196</c:v>
                </c:pt>
                <c:pt idx="21">
                  <c:v>168.29539484533774</c:v>
                </c:pt>
                <c:pt idx="22">
                  <c:v>197.5986155757555</c:v>
                </c:pt>
                <c:pt idx="23">
                  <c:v>226.8008418073662</c:v>
                </c:pt>
                <c:pt idx="24">
                  <c:v>255.91691386411901</c:v>
                </c:pt>
                <c:pt idx="25">
                  <c:v>284.95801116402532</c:v>
                </c:pt>
                <c:pt idx="26">
                  <c:v>240.04535990166366</c:v>
                </c:pt>
                <c:pt idx="27">
                  <c:v>270.80624594363144</c:v>
                </c:pt>
                <c:pt idx="28">
                  <c:v>301.48848927400905</c:v>
                </c:pt>
                <c:pt idx="29">
                  <c:v>332.10121351633137</c:v>
                </c:pt>
                <c:pt idx="30">
                  <c:v>362.65172208269746</c:v>
                </c:pt>
                <c:pt idx="31">
                  <c:v>317.5205095246979</c:v>
                </c:pt>
                <c:pt idx="32">
                  <c:v>347.62251685912906</c:v>
                </c:pt>
                <c:pt idx="33">
                  <c:v>377.66731760316696</c:v>
                </c:pt>
                <c:pt idx="34">
                  <c:v>407.66009748688685</c:v>
                </c:pt>
                <c:pt idx="35">
                  <c:v>437.60521728369696</c:v>
                </c:pt>
                <c:pt idx="36">
                  <c:v>390.52746513559896</c:v>
                </c:pt>
                <c:pt idx="37">
                  <c:v>418.36004908886474</c:v>
                </c:pt>
                <c:pt idx="38">
                  <c:v>446.15274566834938</c:v>
                </c:pt>
                <c:pt idx="39">
                  <c:v>473.90838604148939</c:v>
                </c:pt>
                <c:pt idx="40">
                  <c:v>501.62944299248062</c:v>
                </c:pt>
                <c:pt idx="41">
                  <c:v>452.79839568226049</c:v>
                </c:pt>
                <c:pt idx="42">
                  <c:v>478.649415173107</c:v>
                </c:pt>
                <c:pt idx="43">
                  <c:v>504.47076153541065</c:v>
                </c:pt>
                <c:pt idx="44">
                  <c:v>530.2641654355466</c:v>
                </c:pt>
                <c:pt idx="45">
                  <c:v>556.03117561453917</c:v>
                </c:pt>
                <c:pt idx="46">
                  <c:v>505.41779238953194</c:v>
                </c:pt>
                <c:pt idx="47">
                  <c:v>529.3180939851303</c:v>
                </c:pt>
                <c:pt idx="48">
                  <c:v>553.19568924579823</c:v>
                </c:pt>
                <c:pt idx="49">
                  <c:v>577.05169504779667</c:v>
                </c:pt>
                <c:pt idx="50">
                  <c:v>600.88712848882722</c:v>
                </c:pt>
                <c:pt idx="51">
                  <c:v>556.97627034526056</c:v>
                </c:pt>
                <c:pt idx="52">
                  <c:v>579.17646519542279</c:v>
                </c:pt>
                <c:pt idx="53">
                  <c:v>601.35891600527782</c:v>
                </c:pt>
                <c:pt idx="54">
                  <c:v>623.52436872319936</c:v>
                </c:pt>
                <c:pt idx="55">
                  <c:v>645.67351199431118</c:v>
                </c:pt>
                <c:pt idx="56">
                  <c:v>609.37813237514899</c:v>
                </c:pt>
                <c:pt idx="57">
                  <c:v>629.65233115086357</c:v>
                </c:pt>
                <c:pt idx="58">
                  <c:v>649.9130306730475</c:v>
                </c:pt>
                <c:pt idx="59">
                  <c:v>670.16071059778085</c:v>
                </c:pt>
                <c:pt idx="60">
                  <c:v>690.39581926372693</c:v>
                </c:pt>
                <c:pt idx="61">
                  <c:v>658.8612581282116</c:v>
                </c:pt>
                <c:pt idx="62">
                  <c:v>676.75024477613954</c:v>
                </c:pt>
                <c:pt idx="63">
                  <c:v>694.62952324154924</c:v>
                </c:pt>
                <c:pt idx="64">
                  <c:v>712.49937837079108</c:v>
                </c:pt>
                <c:pt idx="65">
                  <c:v>730.36007957049458</c:v>
                </c:pt>
                <c:pt idx="66">
                  <c:v>700.74394131174984</c:v>
                </c:pt>
                <c:pt idx="67">
                  <c:v>716.96540164947612</c:v>
                </c:pt>
                <c:pt idx="68">
                  <c:v>733.1793704658827</c:v>
                </c:pt>
                <c:pt idx="69">
                  <c:v>749.38603662874266</c:v>
                </c:pt>
                <c:pt idx="70">
                  <c:v>765.58558017790494</c:v>
                </c:pt>
                <c:pt idx="71">
                  <c:v>738.11259868718582</c:v>
                </c:pt>
                <c:pt idx="72">
                  <c:v>752.90827637065695</c:v>
                </c:pt>
                <c:pt idx="73">
                  <c:v>767.69804809608661</c:v>
                </c:pt>
                <c:pt idx="74">
                  <c:v>782.48204358004807</c:v>
                </c:pt>
                <c:pt idx="75">
                  <c:v>797.26038724195962</c:v>
                </c:pt>
                <c:pt idx="76">
                  <c:v>771.21856620063147</c:v>
                </c:pt>
                <c:pt idx="77">
                  <c:v>783.88974646873032</c:v>
                </c:pt>
                <c:pt idx="78">
                  <c:v>796.55678296950703</c:v>
                </c:pt>
                <c:pt idx="79">
                  <c:v>809.21975083705502</c:v>
                </c:pt>
                <c:pt idx="80">
                  <c:v>821.87872266404372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449.53102985794368</c:v>
                </c:pt>
                <c:pt idx="62">
                  <c:v>461.45007488733671</c:v>
                </c:pt>
                <c:pt idx="63">
                  <c:v>473.36255181121783</c:v>
                </c:pt>
                <c:pt idx="64">
                  <c:v>485.26864921222455</c:v>
                </c:pt>
                <c:pt idx="65">
                  <c:v>497.16854566479356</c:v>
                </c:pt>
                <c:pt idx="66">
                  <c:v>509.06241049820727</c:v>
                </c:pt>
                <c:pt idx="67">
                  <c:v>520.9504044846235</c:v>
                </c:pt>
                <c:pt idx="68">
                  <c:v>532.83268046104365</c:v>
                </c:pt>
                <c:pt idx="69">
                  <c:v>544.7093838929228</c:v>
                </c:pt>
                <c:pt idx="70">
                  <c:v>556.58065338607753</c:v>
                </c:pt>
                <c:pt idx="71">
                  <c:v>526.89224796595806</c:v>
                </c:pt>
                <c:pt idx="72">
                  <c:v>536.792193795402</c:v>
                </c:pt>
                <c:pt idx="73">
                  <c:v>546.68830251799864</c:v>
                </c:pt>
                <c:pt idx="74">
                  <c:v>556.58065338607753</c:v>
                </c:pt>
                <c:pt idx="75">
                  <c:v>566.46932260506071</c:v>
                </c:pt>
                <c:pt idx="76">
                  <c:v>576.35438350288371</c:v>
                </c:pt>
                <c:pt idx="77">
                  <c:v>586.23590668718828</c:v>
                </c:pt>
                <c:pt idx="78">
                  <c:v>596.11396019137055</c:v>
                </c:pt>
                <c:pt idx="79">
                  <c:v>605.98860961044409</c:v>
                </c:pt>
                <c:pt idx="80">
                  <c:v>615.85991822759104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206.35939041736609</c:v>
                </c:pt>
                <c:pt idx="26">
                  <c:v>233.2697466941612</c:v>
                </c:pt>
                <c:pt idx="27">
                  <c:v>260.10919155228936</c:v>
                </c:pt>
                <c:pt idx="28">
                  <c:v>286.8860689751682</c:v>
                </c:pt>
                <c:pt idx="29">
                  <c:v>313.60703674466691</c:v>
                </c:pt>
                <c:pt idx="30">
                  <c:v>340.27752501668795</c:v>
                </c:pt>
                <c:pt idx="31">
                  <c:v>278.36609264736131</c:v>
                </c:pt>
                <c:pt idx="32">
                  <c:v>302.23179355590872</c:v>
                </c:pt>
                <c:pt idx="33">
                  <c:v>329.55032341167646</c:v>
                </c:pt>
                <c:pt idx="34">
                  <c:v>356.81889117361993</c:v>
                </c:pt>
                <c:pt idx="35">
                  <c:v>384.04184826296768</c:v>
                </c:pt>
                <c:pt idx="36">
                  <c:v>411.22287909086322</c:v>
                </c:pt>
                <c:pt idx="37">
                  <c:v>438.36514154393308</c:v>
                </c:pt>
                <c:pt idx="38">
                  <c:v>394.20159315580548</c:v>
                </c:pt>
                <c:pt idx="39">
                  <c:v>419.98968010727327</c:v>
                </c:pt>
                <c:pt idx="40">
                  <c:v>445.74367122576996</c:v>
                </c:pt>
                <c:pt idx="41">
                  <c:v>471.46581141120981</c:v>
                </c:pt>
                <c:pt idx="42">
                  <c:v>497.59132076910754</c:v>
                </c:pt>
                <c:pt idx="43">
                  <c:v>523.68779015923326</c:v>
                </c:pt>
                <c:pt idx="44">
                  <c:v>549.75686849194506</c:v>
                </c:pt>
                <c:pt idx="45">
                  <c:v>575.80003571503119</c:v>
                </c:pt>
                <c:pt idx="46">
                  <c:v>601.81862713859357</c:v>
                </c:pt>
                <c:pt idx="47">
                  <c:v>506.5400029007132</c:v>
                </c:pt>
                <c:pt idx="48">
                  <c:v>528.83871919819615</c:v>
                </c:pt>
                <c:pt idx="49">
                  <c:v>551.11765041685078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632.23999168627631</c:v>
                </c:pt>
                <c:pt idx="58">
                  <c:v>652.00154138490313</c:v>
                </c:pt>
                <c:pt idx="59">
                  <c:v>671.75074866286002</c:v>
                </c:pt>
                <c:pt idx="60">
                  <c:v>691.27714232149219</c:v>
                </c:pt>
                <c:pt idx="61">
                  <c:v>710.79223670196086</c:v>
                </c:pt>
                <c:pt idx="62">
                  <c:v>730.2963853903326</c:v>
                </c:pt>
                <c:pt idx="63">
                  <c:v>749.78992156646348</c:v>
                </c:pt>
                <c:pt idx="64">
                  <c:v>769.2731596922963</c:v>
                </c:pt>
                <c:pt idx="65">
                  <c:v>788.74639702040906</c:v>
                </c:pt>
                <c:pt idx="66">
                  <c:v>808.20991494600241</c:v>
                </c:pt>
                <c:pt idx="67">
                  <c:v>714.72590161821392</c:v>
                </c:pt>
                <c:pt idx="68">
                  <c:v>730.5010493755093</c:v>
                </c:pt>
                <c:pt idx="69">
                  <c:v>746.69477779915371</c:v>
                </c:pt>
                <c:pt idx="70">
                  <c:v>762.88136676195211</c:v>
                </c:pt>
                <c:pt idx="71">
                  <c:v>779.06098894972001</c:v>
                </c:pt>
                <c:pt idx="72">
                  <c:v>795.23380929745065</c:v>
                </c:pt>
                <c:pt idx="73">
                  <c:v>811.39998549097754</c:v>
                </c:pt>
                <c:pt idx="74">
                  <c:v>827.55966842661417</c:v>
                </c:pt>
                <c:pt idx="75">
                  <c:v>843.71300263306648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3.2377312819313766</c:v>
                </c:pt>
                <c:pt idx="2">
                  <c:v>4.5385075346536299</c:v>
                </c:pt>
                <c:pt idx="3">
                  <c:v>6.3640998229330767</c:v>
                </c:pt>
                <c:pt idx="4">
                  <c:v>8.927093248400638</c:v>
                </c:pt>
                <c:pt idx="5">
                  <c:v>12.526500749216984</c:v>
                </c:pt>
                <c:pt idx="6">
                  <c:v>17.583019813952781</c:v>
                </c:pt>
                <c:pt idx="7">
                  <c:v>24.688716022035525</c:v>
                </c:pt>
                <c:pt idx="8">
                  <c:v>34.677053351677117</c:v>
                </c:pt>
                <c:pt idx="9">
                  <c:v>48.721626557713165</c:v>
                </c:pt>
                <c:pt idx="10">
                  <c:v>68.475390430462198</c:v>
                </c:pt>
                <c:pt idx="11">
                  <c:v>96.267039275197746</c:v>
                </c:pt>
                <c:pt idx="12">
                  <c:v>135.37805409210506</c:v>
                </c:pt>
                <c:pt idx="13">
                  <c:v>190.4336341905009</c:v>
                </c:pt>
                <c:pt idx="14">
                  <c:v>267.95443749660615</c:v>
                </c:pt>
                <c:pt idx="15">
                  <c:v>377.13542901347114</c:v>
                </c:pt>
                <c:pt idx="16">
                  <c:v>315.70509747437711</c:v>
                </c:pt>
                <c:pt idx="17">
                  <c:v>348.96123430358392</c:v>
                </c:pt>
                <c:pt idx="18">
                  <c:v>382.14783395214181</c:v>
                </c:pt>
                <c:pt idx="19">
                  <c:v>415.27177681328118</c:v>
                </c:pt>
                <c:pt idx="20">
                  <c:v>448.33875652973478</c:v>
                </c:pt>
                <c:pt idx="21">
                  <c:v>402.56844996817728</c:v>
                </c:pt>
                <c:pt idx="22">
                  <c:v>429.88948992506403</c:v>
                </c:pt>
                <c:pt idx="23">
                  <c:v>457.17322783182249</c:v>
                </c:pt>
                <c:pt idx="24">
                  <c:v>484.42220024821904</c:v>
                </c:pt>
                <c:pt idx="25">
                  <c:v>511.63863535742689</c:v>
                </c:pt>
                <c:pt idx="26">
                  <c:v>475.98243422180258</c:v>
                </c:pt>
                <c:pt idx="27">
                  <c:v>499.75927317637507</c:v>
                </c:pt>
                <c:pt idx="28">
                  <c:v>523.51217342482857</c:v>
                </c:pt>
                <c:pt idx="29">
                  <c:v>547.24237277175052</c:v>
                </c:pt>
                <c:pt idx="30">
                  <c:v>570.95099302329322</c:v>
                </c:pt>
                <c:pt idx="31">
                  <c:v>541.50321514451991</c:v>
                </c:pt>
                <c:pt idx="32">
                  <c:v>561.77595526008247</c:v>
                </c:pt>
                <c:pt idx="33">
                  <c:v>582.03339342401409</c:v>
                </c:pt>
                <c:pt idx="34">
                  <c:v>602.27613670099913</c:v>
                </c:pt>
                <c:pt idx="35">
                  <c:v>622.50474805800354</c:v>
                </c:pt>
                <c:pt idx="36">
                  <c:v>596.54851588925396</c:v>
                </c:pt>
                <c:pt idx="37">
                  <c:v>614.49129398976902</c:v>
                </c:pt>
                <c:pt idx="38">
                  <c:v>632.42321129391973</c:v>
                </c:pt>
                <c:pt idx="39">
                  <c:v>650.3446188663064</c:v>
                </c:pt>
                <c:pt idx="40">
                  <c:v>668.25584686179957</c:v>
                </c:pt>
                <c:pt idx="41">
                  <c:v>646.15117115988789</c:v>
                </c:pt>
                <c:pt idx="42">
                  <c:v>662.15953068851002</c:v>
                </c:pt>
                <c:pt idx="43">
                  <c:v>678.15992699692356</c:v>
                </c:pt>
                <c:pt idx="44">
                  <c:v>694.15257429261646</c:v>
                </c:pt>
                <c:pt idx="45">
                  <c:v>710.13767611573974</c:v>
                </c:pt>
                <c:pt idx="46">
                  <c:v>689.96476121500973</c:v>
                </c:pt>
                <c:pt idx="47">
                  <c:v>704.04899070046156</c:v>
                </c:pt>
                <c:pt idx="48">
                  <c:v>718.12745835411317</c:v>
                </c:pt>
                <c:pt idx="49">
                  <c:v>732.20029297203416</c:v>
                </c:pt>
                <c:pt idx="50">
                  <c:v>746.26761799924327</c:v>
                </c:pt>
                <c:pt idx="51">
                  <c:v>728.77768275140761</c:v>
                </c:pt>
                <c:pt idx="52">
                  <c:v>741.70583864954949</c:v>
                </c:pt>
                <c:pt idx="53">
                  <c:v>754.62941024733345</c:v>
                </c:pt>
                <c:pt idx="54">
                  <c:v>767.54848706574739</c:v>
                </c:pt>
                <c:pt idx="55">
                  <c:v>780.46315536858253</c:v>
                </c:pt>
                <c:pt idx="56">
                  <c:v>765.26897273924317</c:v>
                </c:pt>
                <c:pt idx="57">
                  <c:v>776.66517617918873</c:v>
                </c:pt>
                <c:pt idx="58">
                  <c:v>788.05799337995347</c:v>
                </c:pt>
                <c:pt idx="59">
                  <c:v>799.44748016554638</c:v>
                </c:pt>
                <c:pt idx="60">
                  <c:v>810.8336906406804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328.54825156463437</c:v>
                </c:pt>
                <c:pt idx="62">
                  <c:v>340.96720197828142</c:v>
                </c:pt>
                <c:pt idx="63">
                  <c:v>353.37620745071621</c:v>
                </c:pt>
                <c:pt idx="64">
                  <c:v>365.77566648144415</c:v>
                </c:pt>
                <c:pt idx="65">
                  <c:v>378.1659483420201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382.75268227452915</c:v>
                </c:pt>
                <c:pt idx="72">
                  <c:v>394.21432426135442</c:v>
                </c:pt>
                <c:pt idx="73">
                  <c:v>405.66874423568089</c:v>
                </c:pt>
                <c:pt idx="74">
                  <c:v>417.1161748963454</c:v>
                </c:pt>
                <c:pt idx="75">
                  <c:v>428.55683512546557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427.18430644135782</c:v>
                </c:pt>
                <c:pt idx="82">
                  <c:v>437.24733617095717</c:v>
                </c:pt>
                <c:pt idx="83">
                  <c:v>447.30539808561917</c:v>
                </c:pt>
                <c:pt idx="84">
                  <c:v>457.35861966649367</c:v>
                </c:pt>
                <c:pt idx="85">
                  <c:v>467.40712233198587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460.09958341480302</c:v>
                </c:pt>
                <c:pt idx="92">
                  <c:v>468.77701352901096</c:v>
                </c:pt>
                <c:pt idx="93">
                  <c:v>477.45102185302648</c:v>
                </c:pt>
                <c:pt idx="94">
                  <c:v>486.12167933752761</c:v>
                </c:pt>
                <c:pt idx="95">
                  <c:v>494.78905419497386</c:v>
                </c:pt>
                <c:pt idx="96">
                  <c:v>471.05997610454193</c:v>
                </c:pt>
                <c:pt idx="97">
                  <c:v>479.27669956446061</c:v>
                </c:pt>
                <c:pt idx="98">
                  <c:v>487.49042873157458</c:v>
                </c:pt>
                <c:pt idx="99">
                  <c:v>495.70122118881324</c:v>
                </c:pt>
                <c:pt idx="100">
                  <c:v>503.90913245527832</c:v>
                </c:pt>
                <c:pt idx="101">
                  <c:v>479.27669956446061</c:v>
                </c:pt>
                <c:pt idx="102">
                  <c:v>486.57793821511638</c:v>
                </c:pt>
                <c:pt idx="103">
                  <c:v>493.87685155793497</c:v>
                </c:pt>
                <c:pt idx="104">
                  <c:v>501.17347881997517</c:v>
                </c:pt>
                <c:pt idx="105">
                  <c:v>508.46785799243185</c:v>
                </c:pt>
                <c:pt idx="106">
                  <c:v>483.38393478600648</c:v>
                </c:pt>
                <c:pt idx="107">
                  <c:v>490.22768306866232</c:v>
                </c:pt>
                <c:pt idx="108">
                  <c:v>497.06940501240166</c:v>
                </c:pt>
                <c:pt idx="109">
                  <c:v>503.90913245527832</c:v>
                </c:pt>
                <c:pt idx="110">
                  <c:v>510.74689630015126</c:v>
                </c:pt>
                <c:pt idx="111">
                  <c:v>487.03418800989147</c:v>
                </c:pt>
                <c:pt idx="112">
                  <c:v>492.96461320246772</c:v>
                </c:pt>
                <c:pt idx="113">
                  <c:v>498.89352605617364</c:v>
                </c:pt>
                <c:pt idx="114">
                  <c:v>504.82094708965923</c:v>
                </c:pt>
                <c:pt idx="115">
                  <c:v>510.74689630015109</c:v>
                </c:pt>
                <c:pt idx="116">
                  <c:v>487.94666038986696</c:v>
                </c:pt>
                <c:pt idx="117">
                  <c:v>494.78905419497352</c:v>
                </c:pt>
                <c:pt idx="118">
                  <c:v>501.62944299248062</c:v>
                </c:pt>
                <c:pt idx="119">
                  <c:v>508.46785799243179</c:v>
                </c:pt>
                <c:pt idx="120">
                  <c:v>515.30432949652698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C30" sqref="C3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18.388999999999999</v>
      </c>
      <c r="D5" s="269" t="s">
        <v>229</v>
      </c>
      <c r="E5" s="270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0.1</v>
      </c>
      <c r="D9" s="33">
        <f t="shared" ref="D9:D18" si="0">C9*$C$5</f>
        <v>1.8389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0.1</v>
      </c>
      <c r="D10" s="33">
        <f t="shared" si="0"/>
        <v>1.8389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</v>
      </c>
      <c r="C11" s="32">
        <v>0.1</v>
      </c>
      <c r="D11" s="33">
        <f t="shared" si="0"/>
        <v>1.8389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18</v>
      </c>
      <c r="C12" s="32">
        <v>0.1</v>
      </c>
      <c r="D12" s="33">
        <f t="shared" si="0"/>
        <v>1.8389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164</v>
      </c>
      <c r="C13" s="32">
        <v>0.1</v>
      </c>
      <c r="D13" s="33">
        <f t="shared" si="0"/>
        <v>1.8389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0.2</v>
      </c>
      <c r="D14" s="33">
        <f t="shared" si="0"/>
        <v>3.6778</v>
      </c>
      <c r="E14" s="34">
        <v>76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44</v>
      </c>
      <c r="C15" s="32">
        <v>0.1</v>
      </c>
      <c r="D15" s="33">
        <f t="shared" si="0"/>
        <v>1.8389</v>
      </c>
      <c r="E15" s="34">
        <v>60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52</v>
      </c>
      <c r="C16" s="32">
        <v>0.109846</v>
      </c>
      <c r="D16" s="33">
        <f t="shared" si="0"/>
        <v>2.0199580939999997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21</v>
      </c>
      <c r="C17" s="32">
        <v>4.9666000000000002E-2</v>
      </c>
      <c r="D17" s="33">
        <f t="shared" si="0"/>
        <v>0.91330807400000003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50</v>
      </c>
      <c r="C18" s="256">
        <v>4.0023000000000003E-2</v>
      </c>
      <c r="D18" s="33">
        <f t="shared" si="0"/>
        <v>0.735982947</v>
      </c>
      <c r="E18" s="34">
        <v>120</v>
      </c>
      <c r="F18" s="35" t="str">
        <f t="array" ref="F18">IF(E18="","",IF(INDEX(A:A,MAX(IF(ISNUMBER($A$270:$A$289),ROW($A$270:$A$289),"")))&lt;&gt;E18,"Corrigez : révolution incorrecte","OK"))</f>
        <v>OK</v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0.99953499999999995</v>
      </c>
      <c r="D19" s="38">
        <f>SUM(D9:D18)</f>
        <v>18.380449115000001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109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155</v>
      </c>
      <c r="C38" s="60">
        <v>3</v>
      </c>
      <c r="D38" s="60">
        <v>62</v>
      </c>
      <c r="E38" s="51">
        <v>0</v>
      </c>
      <c r="F38" s="51"/>
      <c r="G38" s="51"/>
      <c r="H38" s="51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85</v>
      </c>
      <c r="B49" s="60">
        <v>326</v>
      </c>
      <c r="C49" s="60">
        <v>14</v>
      </c>
      <c r="D49" s="60">
        <v>28</v>
      </c>
      <c r="E49" s="51">
        <v>0.6</v>
      </c>
      <c r="F49" s="51"/>
      <c r="G49" s="51"/>
      <c r="H49" s="51">
        <v>0.4</v>
      </c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90</v>
      </c>
      <c r="B50" s="50">
        <v>330</v>
      </c>
      <c r="C50" s="50">
        <v>15</v>
      </c>
      <c r="D50" s="50">
        <v>28</v>
      </c>
      <c r="E50" s="51">
        <v>0.7</v>
      </c>
      <c r="F50" s="51"/>
      <c r="G50" s="51"/>
      <c r="H50" s="51">
        <v>0.3</v>
      </c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95</v>
      </c>
      <c r="B51" s="50">
        <v>333</v>
      </c>
      <c r="C51" s="50">
        <v>16</v>
      </c>
      <c r="D51" s="50">
        <v>28</v>
      </c>
      <c r="E51" s="51">
        <v>0.7</v>
      </c>
      <c r="F51" s="51"/>
      <c r="G51" s="51"/>
      <c r="H51" s="51">
        <v>0.3</v>
      </c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100</v>
      </c>
      <c r="B52" s="50">
        <v>333</v>
      </c>
      <c r="C52" s="50">
        <v>17</v>
      </c>
      <c r="D52" s="50">
        <v>27</v>
      </c>
      <c r="E52" s="51">
        <v>0.8</v>
      </c>
      <c r="F52" s="51"/>
      <c r="G52" s="51"/>
      <c r="H52" s="51">
        <v>0.2</v>
      </c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358</v>
      </c>
      <c r="C53" s="50">
        <v>19</v>
      </c>
      <c r="D53" s="50">
        <v>51</v>
      </c>
      <c r="E53" s="51">
        <v>0.8</v>
      </c>
      <c r="F53" s="51"/>
      <c r="G53" s="51"/>
      <c r="H53" s="51">
        <v>0.2</v>
      </c>
      <c r="I53" s="49">
        <f t="shared" si="1"/>
        <v>5.2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331</v>
      </c>
      <c r="C54" s="50">
        <v>20</v>
      </c>
      <c r="D54" s="50">
        <v>24</v>
      </c>
      <c r="E54" s="51">
        <v>0.8</v>
      </c>
      <c r="F54" s="51"/>
      <c r="G54" s="51"/>
      <c r="H54" s="51">
        <v>0.2</v>
      </c>
      <c r="I54" s="49">
        <f t="shared" si="1"/>
        <v>4.8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328</v>
      </c>
      <c r="C55" s="50">
        <v>21</v>
      </c>
      <c r="D55" s="50">
        <v>328</v>
      </c>
      <c r="E55" s="51">
        <v>0.9</v>
      </c>
      <c r="F55" s="51"/>
      <c r="G55" s="51"/>
      <c r="H55" s="51">
        <v>0.1</v>
      </c>
      <c r="I55" s="49">
        <f t="shared" si="1"/>
        <v>4.2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109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155</v>
      </c>
      <c r="C64" s="60">
        <v>3</v>
      </c>
      <c r="D64" s="60">
        <v>62</v>
      </c>
      <c r="E64" s="51">
        <v>0</v>
      </c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326</v>
      </c>
      <c r="C75" s="50">
        <v>14</v>
      </c>
      <c r="D75" s="50">
        <v>28</v>
      </c>
      <c r="E75" s="51">
        <v>0.6</v>
      </c>
      <c r="F75" s="51"/>
      <c r="G75" s="51"/>
      <c r="H75" s="51">
        <v>0.4</v>
      </c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330</v>
      </c>
      <c r="C76" s="50">
        <v>15</v>
      </c>
      <c r="D76" s="50">
        <v>28</v>
      </c>
      <c r="E76" s="51">
        <v>0.7</v>
      </c>
      <c r="F76" s="51"/>
      <c r="G76" s="51"/>
      <c r="H76" s="51">
        <v>0.3</v>
      </c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95</v>
      </c>
      <c r="B77" s="50">
        <v>333</v>
      </c>
      <c r="C77" s="50">
        <v>16</v>
      </c>
      <c r="D77" s="50">
        <v>28</v>
      </c>
      <c r="E77" s="51">
        <v>0.7</v>
      </c>
      <c r="F77" s="51"/>
      <c r="G77" s="51"/>
      <c r="H77" s="51">
        <v>0.3</v>
      </c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100</v>
      </c>
      <c r="B78" s="50">
        <v>333</v>
      </c>
      <c r="C78" s="50">
        <v>17</v>
      </c>
      <c r="D78" s="50">
        <v>27</v>
      </c>
      <c r="E78" s="51">
        <v>0.8</v>
      </c>
      <c r="F78" s="51"/>
      <c r="G78" s="51"/>
      <c r="H78" s="51">
        <v>0.2</v>
      </c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110</v>
      </c>
      <c r="B79" s="50">
        <v>358</v>
      </c>
      <c r="C79" s="50">
        <v>19</v>
      </c>
      <c r="D79" s="50">
        <v>51</v>
      </c>
      <c r="E79" s="51">
        <v>0.8</v>
      </c>
      <c r="F79" s="51"/>
      <c r="G79" s="51"/>
      <c r="H79" s="51">
        <v>0.2</v>
      </c>
      <c r="I79" s="49">
        <f t="shared" si="2"/>
        <v>5.2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115</v>
      </c>
      <c r="B80" s="50">
        <v>331</v>
      </c>
      <c r="C80" s="50">
        <v>20</v>
      </c>
      <c r="D80" s="50">
        <v>24</v>
      </c>
      <c r="E80" s="51">
        <v>0.8</v>
      </c>
      <c r="F80" s="51"/>
      <c r="G80" s="51"/>
      <c r="H80" s="51">
        <v>0.2</v>
      </c>
      <c r="I80" s="49">
        <f t="shared" si="2"/>
        <v>4.8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120</v>
      </c>
      <c r="B81" s="50">
        <v>328</v>
      </c>
      <c r="C81" s="50">
        <v>21</v>
      </c>
      <c r="D81" s="50">
        <v>328</v>
      </c>
      <c r="E81" s="51">
        <v>0.9</v>
      </c>
      <c r="F81" s="51"/>
      <c r="G81" s="51"/>
      <c r="H81" s="51">
        <v>0.1</v>
      </c>
      <c r="I81" s="49">
        <f t="shared" si="2"/>
        <v>4.2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Châtaignier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32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1.6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76</v>
      </c>
      <c r="C89" s="60">
        <v>2</v>
      </c>
      <c r="D89" s="60">
        <v>7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116</v>
      </c>
      <c r="C90" s="60">
        <v>3</v>
      </c>
      <c r="D90" s="60">
        <v>28</v>
      </c>
      <c r="E90" s="87">
        <v>0</v>
      </c>
      <c r="F90" s="87"/>
      <c r="G90" s="87"/>
      <c r="H90" s="87">
        <v>1</v>
      </c>
      <c r="I90" s="53">
        <f t="shared" si="3"/>
        <v>9.4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139</v>
      </c>
      <c r="C91" s="60">
        <v>4</v>
      </c>
      <c r="D91" s="60">
        <v>28</v>
      </c>
      <c r="E91" s="87">
        <v>0.2</v>
      </c>
      <c r="F91" s="87"/>
      <c r="G91" s="87"/>
      <c r="H91" s="87">
        <v>0.8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163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10.4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190</v>
      </c>
      <c r="C93" s="60">
        <v>6</v>
      </c>
      <c r="D93" s="60">
        <v>28</v>
      </c>
      <c r="E93" s="87">
        <v>0.3</v>
      </c>
      <c r="F93" s="87"/>
      <c r="G93" s="87"/>
      <c r="H93" s="87">
        <v>0.7</v>
      </c>
      <c r="I93" s="53">
        <f t="shared" si="3"/>
        <v>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217</v>
      </c>
      <c r="C94" s="60">
        <v>7</v>
      </c>
      <c r="D94" s="60">
        <v>28</v>
      </c>
      <c r="E94" s="87">
        <v>0.3</v>
      </c>
      <c r="F94" s="87"/>
      <c r="G94" s="87"/>
      <c r="H94" s="87">
        <v>0.7</v>
      </c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244</v>
      </c>
      <c r="C95" s="60">
        <v>8</v>
      </c>
      <c r="D95" s="60">
        <v>28</v>
      </c>
      <c r="E95" s="87">
        <v>0.4</v>
      </c>
      <c r="F95" s="87"/>
      <c r="G95" s="87"/>
      <c r="H95" s="87">
        <v>0.6</v>
      </c>
      <c r="I95" s="53">
        <f t="shared" si="3"/>
        <v>11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270</v>
      </c>
      <c r="C96" s="60">
        <v>9</v>
      </c>
      <c r="D96" s="60">
        <v>270</v>
      </c>
      <c r="E96" s="87">
        <v>0.4</v>
      </c>
      <c r="F96" s="87"/>
      <c r="G96" s="87"/>
      <c r="H96" s="87">
        <v>0.6</v>
      </c>
      <c r="I96" s="53">
        <f t="shared" si="3"/>
        <v>10.8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Douglas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20</v>
      </c>
      <c r="C114" s="50">
        <v>1</v>
      </c>
      <c r="D114" s="60">
        <v>0</v>
      </c>
      <c r="E114" s="51">
        <v>0</v>
      </c>
      <c r="F114" s="51">
        <v>0.56000000000000005</v>
      </c>
      <c r="G114" s="51">
        <v>0.44</v>
      </c>
      <c r="H114" s="51"/>
      <c r="I114" s="53">
        <f>IFERROR(B114/A114,"")</f>
        <v>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15</v>
      </c>
      <c r="B115" s="60">
        <v>94</v>
      </c>
      <c r="C115" s="50">
        <v>2</v>
      </c>
      <c r="D115" s="60">
        <v>21</v>
      </c>
      <c r="E115" s="51">
        <v>0.2</v>
      </c>
      <c r="F115" s="51">
        <v>0.45</v>
      </c>
      <c r="G115" s="51">
        <v>0.35</v>
      </c>
      <c r="H115" s="51"/>
      <c r="I115" s="53">
        <f t="shared" ref="I115:I133" si="4">IF(A115&lt;&gt;0,(B115-(B114-D114))/(A115-A114),"")</f>
        <v>14.8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174</v>
      </c>
      <c r="C116" s="50">
        <v>3</v>
      </c>
      <c r="D116" s="60">
        <v>63</v>
      </c>
      <c r="E116" s="51">
        <v>0.4</v>
      </c>
      <c r="F116" s="51">
        <v>0.34</v>
      </c>
      <c r="G116" s="51">
        <v>0.26</v>
      </c>
      <c r="H116" s="51"/>
      <c r="I116" s="53">
        <f t="shared" si="4"/>
        <v>20.2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25</v>
      </c>
      <c r="B117" s="60">
        <v>232</v>
      </c>
      <c r="C117" s="50">
        <v>4</v>
      </c>
      <c r="D117" s="60">
        <v>63</v>
      </c>
      <c r="E117" s="51">
        <v>0.5</v>
      </c>
      <c r="F117" s="51">
        <v>0.28000000000000003</v>
      </c>
      <c r="G117" s="51">
        <v>0.22</v>
      </c>
      <c r="H117" s="51"/>
      <c r="I117" s="53">
        <f t="shared" si="4"/>
        <v>24.2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30</v>
      </c>
      <c r="B118" s="60">
        <v>297</v>
      </c>
      <c r="C118" s="50">
        <v>5</v>
      </c>
      <c r="D118" s="60">
        <v>63</v>
      </c>
      <c r="E118" s="51">
        <v>0.6</v>
      </c>
      <c r="F118" s="51">
        <v>0.22</v>
      </c>
      <c r="G118" s="51">
        <v>0.18</v>
      </c>
      <c r="H118" s="51"/>
      <c r="I118" s="53">
        <f t="shared" si="4"/>
        <v>25.6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35</v>
      </c>
      <c r="B119" s="60">
        <v>360</v>
      </c>
      <c r="C119" s="50">
        <v>6</v>
      </c>
      <c r="D119" s="60">
        <v>63</v>
      </c>
      <c r="E119" s="51">
        <v>0.6</v>
      </c>
      <c r="F119" s="51">
        <v>0.22</v>
      </c>
      <c r="G119" s="51">
        <v>0.18</v>
      </c>
      <c r="H119" s="51"/>
      <c r="I119" s="53">
        <f t="shared" si="4"/>
        <v>25.2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v>414</v>
      </c>
      <c r="C120" s="60">
        <v>7</v>
      </c>
      <c r="D120" s="60">
        <v>63</v>
      </c>
      <c r="E120" s="87">
        <v>0.6</v>
      </c>
      <c r="F120" s="87">
        <v>0.22</v>
      </c>
      <c r="G120" s="87">
        <v>0.18</v>
      </c>
      <c r="H120" s="87"/>
      <c r="I120" s="53">
        <f t="shared" si="4"/>
        <v>23.4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45</v>
      </c>
      <c r="B121" s="60">
        <v>460</v>
      </c>
      <c r="C121" s="60">
        <v>8</v>
      </c>
      <c r="D121" s="60">
        <v>63</v>
      </c>
      <c r="E121" s="87">
        <v>0.6</v>
      </c>
      <c r="F121" s="87">
        <v>0.22</v>
      </c>
      <c r="G121" s="87">
        <v>0.18</v>
      </c>
      <c r="H121" s="87"/>
      <c r="I121" s="53">
        <f t="shared" si="4"/>
        <v>21.8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50</v>
      </c>
      <c r="B122" s="60">
        <v>498</v>
      </c>
      <c r="C122" s="60">
        <v>9</v>
      </c>
      <c r="D122" s="60">
        <v>56</v>
      </c>
      <c r="E122" s="87">
        <v>0.6</v>
      </c>
      <c r="F122" s="87">
        <v>0.22</v>
      </c>
      <c r="G122" s="87">
        <v>0.18</v>
      </c>
      <c r="H122" s="87"/>
      <c r="I122" s="53">
        <f t="shared" si="4"/>
        <v>20.2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55</v>
      </c>
      <c r="B123" s="60">
        <v>536</v>
      </c>
      <c r="C123" s="60">
        <v>10</v>
      </c>
      <c r="D123" s="60">
        <v>48</v>
      </c>
      <c r="E123" s="87">
        <v>0.6</v>
      </c>
      <c r="F123" s="87">
        <v>0.22</v>
      </c>
      <c r="G123" s="87">
        <v>0.18</v>
      </c>
      <c r="H123" s="87"/>
      <c r="I123" s="53">
        <f t="shared" si="4"/>
        <v>18.8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60</v>
      </c>
      <c r="B124" s="60">
        <v>574</v>
      </c>
      <c r="C124" s="60">
        <v>11</v>
      </c>
      <c r="D124" s="60">
        <v>42</v>
      </c>
      <c r="E124" s="87">
        <v>0.9</v>
      </c>
      <c r="F124" s="87">
        <v>0.06</v>
      </c>
      <c r="G124" s="87">
        <v>0.04</v>
      </c>
      <c r="H124" s="87"/>
      <c r="I124" s="53">
        <f t="shared" si="4"/>
        <v>17.2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65</v>
      </c>
      <c r="B125" s="60">
        <v>608</v>
      </c>
      <c r="C125" s="60">
        <v>12</v>
      </c>
      <c r="D125" s="60">
        <v>39</v>
      </c>
      <c r="E125" s="87">
        <v>0.9</v>
      </c>
      <c r="F125" s="87">
        <v>0.06</v>
      </c>
      <c r="G125" s="87">
        <v>0.04</v>
      </c>
      <c r="H125" s="87"/>
      <c r="I125" s="53">
        <f t="shared" si="4"/>
        <v>15.2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v>638</v>
      </c>
      <c r="C126" s="60">
        <v>13</v>
      </c>
      <c r="D126" s="60">
        <v>36</v>
      </c>
      <c r="E126" s="65">
        <v>0.9</v>
      </c>
      <c r="F126" s="65">
        <v>0.06</v>
      </c>
      <c r="G126" s="65">
        <v>0.04</v>
      </c>
      <c r="H126" s="65"/>
      <c r="I126" s="53">
        <f t="shared" si="4"/>
        <v>13.8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75</v>
      </c>
      <c r="B127" s="60">
        <v>665</v>
      </c>
      <c r="C127" s="60">
        <v>14</v>
      </c>
      <c r="D127" s="60">
        <v>33</v>
      </c>
      <c r="E127" s="65">
        <v>0.9</v>
      </c>
      <c r="F127" s="65">
        <v>0.06</v>
      </c>
      <c r="G127" s="65">
        <v>0.04</v>
      </c>
      <c r="H127" s="65"/>
      <c r="I127" s="53">
        <f t="shared" si="4"/>
        <v>12.6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v>686</v>
      </c>
      <c r="C128" s="50">
        <v>15</v>
      </c>
      <c r="D128" s="50">
        <v>686</v>
      </c>
      <c r="E128" s="54">
        <v>0.9</v>
      </c>
      <c r="F128" s="54">
        <v>0.06</v>
      </c>
      <c r="G128" s="54">
        <v>0.04</v>
      </c>
      <c r="H128" s="54"/>
      <c r="I128" s="53">
        <f t="shared" si="4"/>
        <v>10.8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Cèdre de l'Atlas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140</v>
      </c>
      <c r="C140" s="50">
        <v>1</v>
      </c>
      <c r="D140" s="60">
        <v>40</v>
      </c>
      <c r="E140" s="51">
        <v>0</v>
      </c>
      <c r="F140" s="51">
        <v>0.56000000000000005</v>
      </c>
      <c r="G140" s="51">
        <v>0.44</v>
      </c>
      <c r="H140" s="51"/>
      <c r="I140" s="57">
        <f>IFERROR(B140/A140,"")</f>
        <v>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210</v>
      </c>
      <c r="C141" s="50">
        <v>2</v>
      </c>
      <c r="D141" s="60">
        <v>50</v>
      </c>
      <c r="E141" s="51">
        <v>0.2</v>
      </c>
      <c r="F141" s="51">
        <v>0.45</v>
      </c>
      <c r="G141" s="51">
        <v>0.35</v>
      </c>
      <c r="H141" s="51"/>
      <c r="I141" s="57">
        <f t="shared" ref="I141:I159" si="5">IF(A141&lt;&gt;0,(B141-(B140-D140))/(A141-A140),"")</f>
        <v>11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300</v>
      </c>
      <c r="C142" s="50">
        <v>3</v>
      </c>
      <c r="D142" s="60">
        <v>50</v>
      </c>
      <c r="E142" s="51">
        <v>0.3</v>
      </c>
      <c r="F142" s="51">
        <v>0.39</v>
      </c>
      <c r="G142" s="51">
        <v>0.31</v>
      </c>
      <c r="H142" s="51"/>
      <c r="I142" s="57">
        <f t="shared" si="5"/>
        <v>14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390</v>
      </c>
      <c r="C143" s="50">
        <v>4</v>
      </c>
      <c r="D143" s="60">
        <v>50</v>
      </c>
      <c r="E143" s="51">
        <v>0.4</v>
      </c>
      <c r="F143" s="51">
        <v>0.34</v>
      </c>
      <c r="G143" s="51">
        <v>0.26</v>
      </c>
      <c r="H143" s="51"/>
      <c r="I143" s="57">
        <f t="shared" si="5"/>
        <v>14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470</v>
      </c>
      <c r="C144" s="50">
        <v>5</v>
      </c>
      <c r="D144" s="60">
        <v>40</v>
      </c>
      <c r="E144" s="51">
        <v>0.5</v>
      </c>
      <c r="F144" s="51">
        <v>0.28000000000000003</v>
      </c>
      <c r="G144" s="51">
        <v>0.22</v>
      </c>
      <c r="H144" s="51"/>
      <c r="I144" s="57">
        <f t="shared" si="5"/>
        <v>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550</v>
      </c>
      <c r="C145" s="50">
        <v>6</v>
      </c>
      <c r="D145" s="60">
        <v>40</v>
      </c>
      <c r="E145" s="51">
        <v>0.6</v>
      </c>
      <c r="F145" s="51">
        <v>0.22</v>
      </c>
      <c r="G145" s="51">
        <v>0.18</v>
      </c>
      <c r="H145" s="51"/>
      <c r="I145" s="57">
        <f t="shared" si="5"/>
        <v>12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610</v>
      </c>
      <c r="C146" s="50">
        <v>7</v>
      </c>
      <c r="D146" s="60">
        <v>610</v>
      </c>
      <c r="E146" s="51">
        <v>0.7</v>
      </c>
      <c r="F146" s="51">
        <v>0.17</v>
      </c>
      <c r="G146" s="51">
        <v>0.13</v>
      </c>
      <c r="H146" s="51"/>
      <c r="I146" s="57">
        <f t="shared" si="5"/>
        <v>10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15</v>
      </c>
      <c r="B166" s="60">
        <v>48.56</v>
      </c>
      <c r="C166" s="60">
        <v>1</v>
      </c>
      <c r="D166" s="60">
        <v>0</v>
      </c>
      <c r="E166" s="51"/>
      <c r="F166" s="51"/>
      <c r="G166" s="51"/>
      <c r="H166" s="51"/>
      <c r="I166" s="49">
        <f>IFERROR(B166/A166,"")</f>
        <v>3.2373333333333334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19</v>
      </c>
      <c r="B167" s="60">
        <v>127.82</v>
      </c>
      <c r="C167" s="60">
        <v>2</v>
      </c>
      <c r="D167" s="60">
        <v>46.3</v>
      </c>
      <c r="E167" s="51">
        <v>0.2</v>
      </c>
      <c r="F167" s="51">
        <v>0.45</v>
      </c>
      <c r="G167" s="51">
        <v>0.35</v>
      </c>
      <c r="H167" s="51"/>
      <c r="I167" s="49">
        <f t="shared" ref="I167:I185" si="6">IF(A167&lt;&gt;0,(B167-(B166-D166))/(A167-A166),"")</f>
        <v>19.814999999999998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24</v>
      </c>
      <c r="B168" s="60">
        <v>179.92</v>
      </c>
      <c r="C168" s="60">
        <v>3</v>
      </c>
      <c r="D168" s="60">
        <v>45</v>
      </c>
      <c r="E168" s="51"/>
      <c r="F168" s="51"/>
      <c r="G168" s="51"/>
      <c r="H168" s="51"/>
      <c r="I168" s="49">
        <f t="shared" si="6"/>
        <v>19.68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30</v>
      </c>
      <c r="B169" s="60">
        <v>260.10000000000002</v>
      </c>
      <c r="C169" s="60">
        <v>4</v>
      </c>
      <c r="D169" s="60">
        <v>66.989999999999995</v>
      </c>
      <c r="E169" s="51">
        <v>0.2</v>
      </c>
      <c r="F169" s="51">
        <v>0.45</v>
      </c>
      <c r="G169" s="51">
        <v>0.35</v>
      </c>
      <c r="H169" s="51"/>
      <c r="I169" s="49">
        <f t="shared" si="6"/>
        <v>20.86333333333334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32</v>
      </c>
      <c r="B170" s="60">
        <v>230.35</v>
      </c>
      <c r="C170" s="60">
        <v>5</v>
      </c>
      <c r="D170" s="60">
        <v>0</v>
      </c>
      <c r="E170" s="51"/>
      <c r="F170" s="51"/>
      <c r="G170" s="51"/>
      <c r="H170" s="51"/>
      <c r="I170" s="49">
        <f t="shared" si="6"/>
        <v>18.61999999999999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37</v>
      </c>
      <c r="B171" s="60">
        <v>337.12</v>
      </c>
      <c r="C171" s="60">
        <v>6</v>
      </c>
      <c r="D171" s="60">
        <v>55</v>
      </c>
      <c r="E171" s="51">
        <v>0.4</v>
      </c>
      <c r="F171" s="51">
        <v>0.34</v>
      </c>
      <c r="G171" s="51">
        <v>0.26</v>
      </c>
      <c r="H171" s="51"/>
      <c r="I171" s="49">
        <f t="shared" si="6"/>
        <v>21.354000000000003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41</v>
      </c>
      <c r="B172" s="60">
        <v>363.2</v>
      </c>
      <c r="C172" s="60">
        <v>8</v>
      </c>
      <c r="D172" s="60">
        <v>0</v>
      </c>
      <c r="E172" s="51"/>
      <c r="F172" s="51"/>
      <c r="G172" s="51"/>
      <c r="H172" s="51"/>
      <c r="I172" s="49">
        <f t="shared" si="6"/>
        <v>20.269999999999996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46</v>
      </c>
      <c r="B173" s="50">
        <v>466.26</v>
      </c>
      <c r="C173" s="50">
        <v>9</v>
      </c>
      <c r="D173" s="50">
        <v>93</v>
      </c>
      <c r="E173" s="51">
        <v>0.4</v>
      </c>
      <c r="F173" s="51">
        <v>0.34</v>
      </c>
      <c r="G173" s="51">
        <v>0.26</v>
      </c>
      <c r="H173" s="51"/>
      <c r="I173" s="49">
        <f t="shared" si="6"/>
        <v>20.612000000000002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50</v>
      </c>
      <c r="B174" s="50">
        <v>443.73</v>
      </c>
      <c r="C174" s="50">
        <v>10</v>
      </c>
      <c r="D174" s="50">
        <v>0</v>
      </c>
      <c r="E174" s="51"/>
      <c r="F174" s="51"/>
      <c r="G174" s="51"/>
      <c r="H174" s="51"/>
      <c r="I174" s="49">
        <f t="shared" si="6"/>
        <v>17.617500000000007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56</v>
      </c>
      <c r="B175" s="50">
        <v>551.70000000000005</v>
      </c>
      <c r="C175" s="50">
        <v>11</v>
      </c>
      <c r="D175" s="50">
        <v>77</v>
      </c>
      <c r="E175" s="51">
        <v>0.6</v>
      </c>
      <c r="F175" s="51">
        <v>0.22</v>
      </c>
      <c r="G175" s="51">
        <v>0.18</v>
      </c>
      <c r="H175" s="51"/>
      <c r="I175" s="49">
        <f t="shared" si="6"/>
        <v>17.995000000000005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59</v>
      </c>
      <c r="B176" s="50">
        <v>521.75</v>
      </c>
      <c r="C176" s="50">
        <v>12</v>
      </c>
      <c r="D176" s="50">
        <v>0</v>
      </c>
      <c r="E176" s="51"/>
      <c r="F176" s="51"/>
      <c r="G176" s="51"/>
      <c r="H176" s="51"/>
      <c r="I176" s="49">
        <f t="shared" si="6"/>
        <v>15.683333333333318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66</v>
      </c>
      <c r="B177" s="50">
        <v>630.36</v>
      </c>
      <c r="C177" s="50">
        <v>13</v>
      </c>
      <c r="D177" s="50">
        <v>87</v>
      </c>
      <c r="E177" s="51">
        <v>0.6</v>
      </c>
      <c r="F177" s="51">
        <v>0.22</v>
      </c>
      <c r="G177" s="51">
        <v>0.18</v>
      </c>
      <c r="H177" s="51"/>
      <c r="I177" s="49">
        <f t="shared" si="6"/>
        <v>15.515714285714287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68</v>
      </c>
      <c r="B178" s="50">
        <v>568.46</v>
      </c>
      <c r="C178" s="50">
        <v>14</v>
      </c>
      <c r="D178" s="50">
        <v>0</v>
      </c>
      <c r="E178" s="51"/>
      <c r="F178" s="51"/>
      <c r="G178" s="51"/>
      <c r="H178" s="51"/>
      <c r="I178" s="49">
        <f t="shared" si="6"/>
        <v>12.550000000000011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76</v>
      </c>
      <c r="B179" s="50">
        <v>671.57</v>
      </c>
      <c r="C179" s="50">
        <v>15</v>
      </c>
      <c r="D179" s="50">
        <v>671.57</v>
      </c>
      <c r="E179" s="51">
        <v>0.8</v>
      </c>
      <c r="F179" s="51">
        <v>0.11</v>
      </c>
      <c r="G179" s="51">
        <v>0.09</v>
      </c>
      <c r="H179" s="51"/>
      <c r="I179" s="49">
        <f t="shared" si="6"/>
        <v>12.888750000000002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Robinier faux-acacia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15</v>
      </c>
      <c r="B192" s="60">
        <v>191</v>
      </c>
      <c r="C192" s="60">
        <v>1</v>
      </c>
      <c r="D192" s="60">
        <v>49</v>
      </c>
      <c r="E192" s="51">
        <v>0</v>
      </c>
      <c r="F192" s="51"/>
      <c r="G192" s="51"/>
      <c r="H192" s="51">
        <v>1</v>
      </c>
      <c r="I192" s="49">
        <f>IFERROR(B192/A192,"")</f>
        <v>12.733333333333333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228</v>
      </c>
      <c r="C193" s="60">
        <v>2</v>
      </c>
      <c r="D193" s="60">
        <v>38</v>
      </c>
      <c r="E193" s="51">
        <v>0</v>
      </c>
      <c r="F193" s="51"/>
      <c r="G193" s="51"/>
      <c r="H193" s="51">
        <v>1</v>
      </c>
      <c r="I193" s="49">
        <f t="shared" ref="I193:I211" si="7">IF(A193&lt;&gt;0,(B193-(B192-D192))/(A193-A192),"")</f>
        <v>17.2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25</v>
      </c>
      <c r="B194" s="60">
        <v>261</v>
      </c>
      <c r="C194" s="60">
        <v>3</v>
      </c>
      <c r="D194" s="60">
        <v>31</v>
      </c>
      <c r="E194" s="51">
        <v>0</v>
      </c>
      <c r="F194" s="51"/>
      <c r="G194" s="51"/>
      <c r="H194" s="51">
        <v>1</v>
      </c>
      <c r="I194" s="49">
        <f t="shared" si="7"/>
        <v>14.2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30</v>
      </c>
      <c r="B195" s="60">
        <v>292</v>
      </c>
      <c r="C195" s="60">
        <v>4</v>
      </c>
      <c r="D195" s="60">
        <v>26</v>
      </c>
      <c r="E195" s="51">
        <v>0.2</v>
      </c>
      <c r="F195" s="51"/>
      <c r="G195" s="51"/>
      <c r="H195" s="51">
        <v>0.8</v>
      </c>
      <c r="I195" s="49">
        <f t="shared" si="7"/>
        <v>12.4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35</v>
      </c>
      <c r="B196" s="60">
        <v>319</v>
      </c>
      <c r="C196" s="60">
        <v>5</v>
      </c>
      <c r="D196" s="60">
        <v>23</v>
      </c>
      <c r="E196" s="51">
        <v>0.2</v>
      </c>
      <c r="F196" s="51"/>
      <c r="G196" s="51"/>
      <c r="H196" s="51">
        <v>0.8</v>
      </c>
      <c r="I196" s="49">
        <f t="shared" si="7"/>
        <v>10.6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40</v>
      </c>
      <c r="B197" s="60">
        <v>343</v>
      </c>
      <c r="C197" s="60">
        <v>6</v>
      </c>
      <c r="D197" s="60">
        <v>20</v>
      </c>
      <c r="E197" s="51">
        <v>0.3</v>
      </c>
      <c r="F197" s="51"/>
      <c r="G197" s="51"/>
      <c r="H197" s="51">
        <v>0.7</v>
      </c>
      <c r="I197" s="49">
        <f t="shared" si="7"/>
        <v>9.4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45</v>
      </c>
      <c r="B198" s="60">
        <v>365</v>
      </c>
      <c r="C198" s="60">
        <v>7</v>
      </c>
      <c r="D198" s="60">
        <v>18</v>
      </c>
      <c r="E198" s="51">
        <v>0.3</v>
      </c>
      <c r="F198" s="51"/>
      <c r="G198" s="51"/>
      <c r="H198" s="51">
        <v>0.7</v>
      </c>
      <c r="I198" s="49">
        <f t="shared" si="7"/>
        <v>8.4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50</v>
      </c>
      <c r="B199" s="50">
        <v>384</v>
      </c>
      <c r="C199" s="50">
        <v>8</v>
      </c>
      <c r="D199" s="50">
        <v>16</v>
      </c>
      <c r="E199" s="51">
        <v>0.4</v>
      </c>
      <c r="F199" s="51"/>
      <c r="G199" s="51"/>
      <c r="H199" s="51">
        <v>0.6</v>
      </c>
      <c r="I199" s="49">
        <f t="shared" si="7"/>
        <v>7.4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55</v>
      </c>
      <c r="B200" s="50">
        <v>402</v>
      </c>
      <c r="C200" s="50">
        <v>9</v>
      </c>
      <c r="D200" s="50">
        <v>14</v>
      </c>
      <c r="E200" s="51">
        <v>0.4</v>
      </c>
      <c r="F200" s="51"/>
      <c r="G200" s="51"/>
      <c r="H200" s="51">
        <v>0.6</v>
      </c>
      <c r="I200" s="49">
        <f t="shared" si="7"/>
        <v>6.8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60</v>
      </c>
      <c r="B201" s="50">
        <v>418</v>
      </c>
      <c r="C201" s="50">
        <v>10</v>
      </c>
      <c r="D201" s="50">
        <v>418</v>
      </c>
      <c r="E201" s="51">
        <v>0.5</v>
      </c>
      <c r="F201" s="51"/>
      <c r="G201" s="51"/>
      <c r="H201" s="51">
        <v>0.5</v>
      </c>
      <c r="I201" s="49">
        <f t="shared" si="7"/>
        <v>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Cormier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25</v>
      </c>
      <c r="B218" s="60">
        <v>30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1.2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54</v>
      </c>
      <c r="C219" s="50">
        <v>2</v>
      </c>
      <c r="D219" s="60">
        <v>0</v>
      </c>
      <c r="E219" s="63">
        <v>0</v>
      </c>
      <c r="F219" s="63"/>
      <c r="G219" s="63"/>
      <c r="H219" s="63">
        <v>1</v>
      </c>
      <c r="I219" s="53">
        <f t="shared" ref="I219:I237" si="8">IF(A219&lt;&gt;0,(B219-(B218-D218))/(A219-A218),"")</f>
        <v>4.8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35</v>
      </c>
      <c r="B220" s="60">
        <v>79</v>
      </c>
      <c r="C220" s="50">
        <v>3</v>
      </c>
      <c r="D220" s="60">
        <v>13</v>
      </c>
      <c r="E220" s="63">
        <v>0</v>
      </c>
      <c r="F220" s="63"/>
      <c r="G220" s="63"/>
      <c r="H220" s="63">
        <v>1</v>
      </c>
      <c r="I220" s="53">
        <f t="shared" si="8"/>
        <v>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40</v>
      </c>
      <c r="B221" s="55">
        <v>93</v>
      </c>
      <c r="C221" s="55">
        <v>4</v>
      </c>
      <c r="D221" s="55">
        <v>14</v>
      </c>
      <c r="E221" s="63">
        <v>0.2</v>
      </c>
      <c r="F221" s="63"/>
      <c r="G221" s="63"/>
      <c r="H221" s="63">
        <v>0.8</v>
      </c>
      <c r="I221" s="53">
        <f t="shared" si="8"/>
        <v>5.4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45</v>
      </c>
      <c r="B222" s="55">
        <v>107</v>
      </c>
      <c r="C222" s="55">
        <v>5</v>
      </c>
      <c r="D222" s="55">
        <v>14</v>
      </c>
      <c r="E222" s="63">
        <v>0.2</v>
      </c>
      <c r="F222" s="63"/>
      <c r="G222" s="63"/>
      <c r="H222" s="63">
        <v>0.8</v>
      </c>
      <c r="I222" s="53">
        <f t="shared" si="8"/>
        <v>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50</v>
      </c>
      <c r="B223" s="55">
        <v>121</v>
      </c>
      <c r="C223" s="55">
        <v>6</v>
      </c>
      <c r="D223" s="55">
        <v>14</v>
      </c>
      <c r="E223" s="63">
        <v>0.2</v>
      </c>
      <c r="F223" s="63"/>
      <c r="G223" s="63"/>
      <c r="H223" s="63">
        <v>0.8</v>
      </c>
      <c r="I223" s="53">
        <f t="shared" si="8"/>
        <v>5.6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55</v>
      </c>
      <c r="B224" s="55">
        <v>135</v>
      </c>
      <c r="C224" s="55">
        <v>7</v>
      </c>
      <c r="D224" s="55">
        <v>14</v>
      </c>
      <c r="E224" s="63">
        <v>0.3</v>
      </c>
      <c r="F224" s="63"/>
      <c r="G224" s="63"/>
      <c r="H224" s="63">
        <v>0.7</v>
      </c>
      <c r="I224" s="53">
        <f t="shared" si="8"/>
        <v>5.6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60</v>
      </c>
      <c r="B225" s="55">
        <v>148</v>
      </c>
      <c r="C225" s="55">
        <v>8</v>
      </c>
      <c r="D225" s="55">
        <v>14</v>
      </c>
      <c r="E225" s="63">
        <v>0.3</v>
      </c>
      <c r="F225" s="63"/>
      <c r="G225" s="63"/>
      <c r="H225" s="63">
        <v>0.7</v>
      </c>
      <c r="I225" s="53">
        <f t="shared" si="8"/>
        <v>5.4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65</v>
      </c>
      <c r="B226" s="55">
        <v>161</v>
      </c>
      <c r="C226" s="55">
        <v>9</v>
      </c>
      <c r="D226" s="55">
        <v>14</v>
      </c>
      <c r="E226" s="63">
        <v>0.4</v>
      </c>
      <c r="F226" s="63"/>
      <c r="G226" s="63"/>
      <c r="H226" s="63">
        <v>0.6</v>
      </c>
      <c r="I226" s="53">
        <f t="shared" si="8"/>
        <v>5.4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70</v>
      </c>
      <c r="B227" s="55">
        <v>172</v>
      </c>
      <c r="C227" s="55">
        <v>10</v>
      </c>
      <c r="D227" s="55">
        <v>14</v>
      </c>
      <c r="E227" s="63">
        <v>0.4</v>
      </c>
      <c r="F227" s="63"/>
      <c r="G227" s="63"/>
      <c r="H227" s="63">
        <v>0.6</v>
      </c>
      <c r="I227" s="53">
        <f t="shared" si="8"/>
        <v>5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75</v>
      </c>
      <c r="B228" s="55">
        <v>183</v>
      </c>
      <c r="C228" s="55">
        <v>11</v>
      </c>
      <c r="D228" s="55">
        <v>14</v>
      </c>
      <c r="E228" s="63">
        <v>0.5</v>
      </c>
      <c r="F228" s="63"/>
      <c r="G228" s="63"/>
      <c r="H228" s="63">
        <v>0.5</v>
      </c>
      <c r="I228" s="53">
        <f t="shared" si="8"/>
        <v>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80</v>
      </c>
      <c r="B229" s="55">
        <v>192</v>
      </c>
      <c r="C229" s="55">
        <v>12</v>
      </c>
      <c r="D229" s="55">
        <v>14</v>
      </c>
      <c r="E229" s="63">
        <v>0.5</v>
      </c>
      <c r="F229" s="63"/>
      <c r="G229" s="63"/>
      <c r="H229" s="63">
        <v>0.5</v>
      </c>
      <c r="I229" s="53">
        <f t="shared" si="8"/>
        <v>4.5999999999999996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85</v>
      </c>
      <c r="B230" s="55">
        <v>200</v>
      </c>
      <c r="C230" s="55">
        <v>13</v>
      </c>
      <c r="D230" s="55">
        <v>14</v>
      </c>
      <c r="E230" s="64">
        <v>0.6</v>
      </c>
      <c r="F230" s="64"/>
      <c r="G230" s="64"/>
      <c r="H230" s="64">
        <v>0.4</v>
      </c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90</v>
      </c>
      <c r="B231" s="60">
        <v>207</v>
      </c>
      <c r="C231" s="88">
        <v>14</v>
      </c>
      <c r="D231" s="60">
        <v>14</v>
      </c>
      <c r="E231" s="54">
        <v>0.6</v>
      </c>
      <c r="F231" s="54"/>
      <c r="G231" s="54"/>
      <c r="H231" s="54">
        <v>0.4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95</v>
      </c>
      <c r="B232" s="50">
        <v>212</v>
      </c>
      <c r="C232" s="50">
        <v>15</v>
      </c>
      <c r="D232" s="50">
        <v>14</v>
      </c>
      <c r="E232" s="54">
        <v>0.7</v>
      </c>
      <c r="F232" s="54"/>
      <c r="G232" s="54"/>
      <c r="H232" s="54">
        <v>0.3</v>
      </c>
      <c r="I232" s="53">
        <f t="shared" si="8"/>
        <v>3.8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100</v>
      </c>
      <c r="B233" s="50">
        <v>216</v>
      </c>
      <c r="C233" s="50">
        <v>16</v>
      </c>
      <c r="D233" s="50">
        <v>14</v>
      </c>
      <c r="E233" s="54">
        <v>0.7</v>
      </c>
      <c r="F233" s="54"/>
      <c r="G233" s="54"/>
      <c r="H233" s="54">
        <v>0.3</v>
      </c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105</v>
      </c>
      <c r="B234" s="50">
        <v>218</v>
      </c>
      <c r="C234" s="50">
        <v>17</v>
      </c>
      <c r="D234" s="50">
        <v>14</v>
      </c>
      <c r="E234" s="54">
        <v>0.7</v>
      </c>
      <c r="F234" s="54"/>
      <c r="G234" s="54"/>
      <c r="H234" s="54">
        <v>0.3</v>
      </c>
      <c r="I234" s="53">
        <f t="shared" si="8"/>
        <v>3.2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110</v>
      </c>
      <c r="B235" s="50">
        <v>219</v>
      </c>
      <c r="C235" s="50">
        <v>18</v>
      </c>
      <c r="D235" s="50">
        <v>13</v>
      </c>
      <c r="E235" s="54">
        <v>0.7</v>
      </c>
      <c r="F235" s="54"/>
      <c r="G235" s="54"/>
      <c r="H235" s="54">
        <v>0.3</v>
      </c>
      <c r="I235" s="53">
        <f t="shared" si="8"/>
        <v>3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>
        <v>115</v>
      </c>
      <c r="B236" s="50">
        <v>219</v>
      </c>
      <c r="C236" s="50">
        <v>19</v>
      </c>
      <c r="D236" s="50">
        <v>13</v>
      </c>
      <c r="E236" s="54">
        <v>0.7</v>
      </c>
      <c r="F236" s="54"/>
      <c r="G236" s="54"/>
      <c r="H236" s="54">
        <v>0.3</v>
      </c>
      <c r="I236" s="53">
        <f t="shared" si="8"/>
        <v>2.6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>
        <v>120</v>
      </c>
      <c r="B237" s="50">
        <v>221</v>
      </c>
      <c r="C237" s="50">
        <v>20</v>
      </c>
      <c r="D237" s="50">
        <v>221</v>
      </c>
      <c r="E237" s="54">
        <v>0.8</v>
      </c>
      <c r="F237" s="54"/>
      <c r="G237" s="54"/>
      <c r="H237" s="54">
        <v>0.2</v>
      </c>
      <c r="I237" s="53">
        <f t="shared" si="8"/>
        <v>3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Erable champêtre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15</v>
      </c>
      <c r="B244" s="60">
        <v>37</v>
      </c>
      <c r="C244" s="60">
        <v>1</v>
      </c>
      <c r="D244" s="60">
        <v>15</v>
      </c>
      <c r="E244" s="51">
        <v>0</v>
      </c>
      <c r="F244" s="51"/>
      <c r="G244" s="51"/>
      <c r="H244" s="63">
        <v>1</v>
      </c>
      <c r="I244" s="53">
        <f>IFERROR(B244/A244,"")</f>
        <v>2.4666666666666668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20</v>
      </c>
      <c r="B245" s="60">
        <v>80</v>
      </c>
      <c r="C245" s="60">
        <v>2</v>
      </c>
      <c r="D245" s="60">
        <v>28</v>
      </c>
      <c r="E245" s="63">
        <v>0</v>
      </c>
      <c r="F245" s="63"/>
      <c r="G245" s="63"/>
      <c r="H245" s="63">
        <v>1</v>
      </c>
      <c r="I245" s="53">
        <f>IF(A245&lt;&gt;0,(B245-(B244-D244))/(A245-A244),"")</f>
        <v>11.6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25</v>
      </c>
      <c r="B246" s="60">
        <v>115</v>
      </c>
      <c r="C246" s="60">
        <v>3</v>
      </c>
      <c r="D246" s="60">
        <v>28</v>
      </c>
      <c r="E246" s="63">
        <v>0</v>
      </c>
      <c r="F246" s="63"/>
      <c r="G246" s="63"/>
      <c r="H246" s="63">
        <v>1</v>
      </c>
      <c r="I246" s="53">
        <f>IF(A246&lt;&gt;0,(B246-(B245-D245))/(A246-A245),"")</f>
        <v>12.6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30</v>
      </c>
      <c r="B247" s="60">
        <v>146</v>
      </c>
      <c r="C247" s="60">
        <v>4</v>
      </c>
      <c r="D247" s="60">
        <v>28</v>
      </c>
      <c r="E247" s="63">
        <v>0.2</v>
      </c>
      <c r="F247" s="63"/>
      <c r="G247" s="63"/>
      <c r="H247" s="63">
        <v>0.8</v>
      </c>
      <c r="I247" s="53">
        <f t="shared" ref="I247:I263" si="9">IF(A247&lt;&gt;0,(B247-(B246-D246))/(A247-A246),"")</f>
        <v>11.8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35</v>
      </c>
      <c r="B248" s="60">
        <v>172</v>
      </c>
      <c r="C248" s="60">
        <v>5</v>
      </c>
      <c r="D248" s="60">
        <v>28</v>
      </c>
      <c r="E248" s="63">
        <v>0.2</v>
      </c>
      <c r="F248" s="63"/>
      <c r="G248" s="63"/>
      <c r="H248" s="63">
        <v>0.8</v>
      </c>
      <c r="I248" s="53">
        <f t="shared" si="9"/>
        <v>10.8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40</v>
      </c>
      <c r="B249" s="60">
        <v>192</v>
      </c>
      <c r="C249" s="60">
        <v>6</v>
      </c>
      <c r="D249" s="60">
        <v>28</v>
      </c>
      <c r="E249" s="63">
        <v>0.3</v>
      </c>
      <c r="F249" s="63"/>
      <c r="G249" s="63"/>
      <c r="H249" s="63">
        <v>0.7</v>
      </c>
      <c r="I249" s="53">
        <f t="shared" si="9"/>
        <v>9.6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45</v>
      </c>
      <c r="B250" s="60">
        <v>205</v>
      </c>
      <c r="C250" s="60">
        <v>7</v>
      </c>
      <c r="D250" s="60">
        <v>22</v>
      </c>
      <c r="E250" s="63">
        <v>0.3</v>
      </c>
      <c r="F250" s="63"/>
      <c r="G250" s="63"/>
      <c r="H250" s="63">
        <v>0.7</v>
      </c>
      <c r="I250" s="53">
        <f t="shared" si="9"/>
        <v>8.1999999999999993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50</v>
      </c>
      <c r="B251" s="55">
        <v>219</v>
      </c>
      <c r="C251" s="55">
        <v>8</v>
      </c>
      <c r="D251" s="55">
        <v>17</v>
      </c>
      <c r="E251" s="63">
        <v>0.4</v>
      </c>
      <c r="F251" s="63"/>
      <c r="G251" s="63"/>
      <c r="H251" s="63">
        <v>0.6</v>
      </c>
      <c r="I251" s="53">
        <f t="shared" si="9"/>
        <v>7.2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55</v>
      </c>
      <c r="B252" s="55">
        <v>232</v>
      </c>
      <c r="C252" s="55">
        <v>9</v>
      </c>
      <c r="D252" s="55">
        <v>13</v>
      </c>
      <c r="E252" s="63">
        <v>0.4</v>
      </c>
      <c r="F252" s="63"/>
      <c r="G252" s="63"/>
      <c r="H252" s="63">
        <v>0.6</v>
      </c>
      <c r="I252" s="53">
        <f t="shared" si="9"/>
        <v>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60</v>
      </c>
      <c r="B253" s="55">
        <v>245</v>
      </c>
      <c r="C253" s="55">
        <v>10</v>
      </c>
      <c r="D253" s="55">
        <v>12</v>
      </c>
      <c r="E253" s="63">
        <v>0.5</v>
      </c>
      <c r="F253" s="63"/>
      <c r="G253" s="63"/>
      <c r="H253" s="63">
        <v>0.5</v>
      </c>
      <c r="I253" s="53">
        <f t="shared" si="9"/>
        <v>5.2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65</v>
      </c>
      <c r="B254" s="55">
        <v>255</v>
      </c>
      <c r="C254" s="55">
        <v>11</v>
      </c>
      <c r="D254" s="55">
        <v>11</v>
      </c>
      <c r="E254" s="63">
        <v>0.5</v>
      </c>
      <c r="F254" s="63"/>
      <c r="G254" s="63"/>
      <c r="H254" s="63">
        <v>0.5</v>
      </c>
      <c r="I254" s="53">
        <f t="shared" si="9"/>
        <v>4.4000000000000004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70</v>
      </c>
      <c r="B255" s="55">
        <v>263</v>
      </c>
      <c r="C255" s="55">
        <v>12</v>
      </c>
      <c r="D255" s="55">
        <v>10</v>
      </c>
      <c r="E255" s="63">
        <v>0.6</v>
      </c>
      <c r="F255" s="63"/>
      <c r="G255" s="63"/>
      <c r="H255" s="63">
        <v>0.4</v>
      </c>
      <c r="I255" s="53">
        <f t="shared" si="9"/>
        <v>3.8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75</v>
      </c>
      <c r="B256" s="55">
        <v>270</v>
      </c>
      <c r="C256" s="55">
        <v>13</v>
      </c>
      <c r="D256" s="55">
        <v>9</v>
      </c>
      <c r="E256" s="64">
        <v>0.6</v>
      </c>
      <c r="F256" s="64"/>
      <c r="G256" s="64"/>
      <c r="H256" s="64">
        <v>0.4</v>
      </c>
      <c r="I256" s="53">
        <f t="shared" si="9"/>
        <v>3.4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80</v>
      </c>
      <c r="B257" s="60">
        <v>275</v>
      </c>
      <c r="C257" s="88">
        <v>14</v>
      </c>
      <c r="D257" s="60">
        <v>275</v>
      </c>
      <c r="E257" s="54">
        <v>0.7</v>
      </c>
      <c r="F257" s="54"/>
      <c r="G257" s="54"/>
      <c r="H257" s="54">
        <v>0.3</v>
      </c>
      <c r="I257" s="53">
        <f t="shared" si="9"/>
        <v>2.8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Tilleul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20</v>
      </c>
      <c r="B270" s="60">
        <v>42</v>
      </c>
      <c r="C270" s="50">
        <v>1</v>
      </c>
      <c r="D270" s="60">
        <v>0</v>
      </c>
      <c r="E270" s="51">
        <v>0</v>
      </c>
      <c r="F270" s="51"/>
      <c r="G270" s="51"/>
      <c r="H270" s="51">
        <v>1</v>
      </c>
      <c r="I270" s="53">
        <f>IFERROR(B270/A270,"")</f>
        <v>2.1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25</v>
      </c>
      <c r="B271" s="60">
        <v>70</v>
      </c>
      <c r="C271" s="50">
        <v>2</v>
      </c>
      <c r="D271" s="60">
        <v>0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5.6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30</v>
      </c>
      <c r="B272" s="60">
        <v>105</v>
      </c>
      <c r="C272" s="50">
        <v>3</v>
      </c>
      <c r="D272" s="60">
        <v>29</v>
      </c>
      <c r="E272" s="51">
        <v>0</v>
      </c>
      <c r="F272" s="51"/>
      <c r="G272" s="51"/>
      <c r="H272" s="51">
        <v>1</v>
      </c>
      <c r="I272" s="53">
        <f t="shared" ref="I272:I289" si="10">IF(A272&lt;&gt;0,(B272-(B271-D271))/(A272-A271),"")</f>
        <v>7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35</v>
      </c>
      <c r="B273" s="60">
        <v>116</v>
      </c>
      <c r="C273" s="50">
        <v>4</v>
      </c>
      <c r="D273" s="60">
        <v>21</v>
      </c>
      <c r="E273" s="51">
        <v>0</v>
      </c>
      <c r="F273" s="51"/>
      <c r="G273" s="51"/>
      <c r="H273" s="51">
        <v>1</v>
      </c>
      <c r="I273" s="53">
        <f t="shared" si="10"/>
        <v>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40</v>
      </c>
      <c r="B274" s="60">
        <v>137</v>
      </c>
      <c r="C274" s="50">
        <v>5</v>
      </c>
      <c r="D274" s="60">
        <v>21</v>
      </c>
      <c r="E274" s="51">
        <v>0.2</v>
      </c>
      <c r="F274" s="51"/>
      <c r="G274" s="51"/>
      <c r="H274" s="51">
        <v>0.8</v>
      </c>
      <c r="I274" s="53">
        <f t="shared" si="10"/>
        <v>8.4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45</v>
      </c>
      <c r="B275" s="60">
        <v>158</v>
      </c>
      <c r="C275" s="50">
        <v>6</v>
      </c>
      <c r="D275" s="60">
        <v>21</v>
      </c>
      <c r="E275" s="63">
        <v>0.2</v>
      </c>
      <c r="F275" s="63"/>
      <c r="G275" s="63"/>
      <c r="H275" s="63">
        <v>0.8</v>
      </c>
      <c r="I275" s="53">
        <f t="shared" si="10"/>
        <v>8.4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50</v>
      </c>
      <c r="B276" s="60">
        <v>178</v>
      </c>
      <c r="C276" s="50">
        <v>7</v>
      </c>
      <c r="D276" s="60">
        <v>21</v>
      </c>
      <c r="E276" s="63">
        <v>0.3</v>
      </c>
      <c r="F276" s="63"/>
      <c r="G276" s="63"/>
      <c r="H276" s="63">
        <v>0.7</v>
      </c>
      <c r="I276" s="53">
        <f t="shared" si="10"/>
        <v>8.1999999999999993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55</v>
      </c>
      <c r="B277" s="55">
        <v>197</v>
      </c>
      <c r="C277" s="55">
        <v>8</v>
      </c>
      <c r="D277" s="55">
        <v>21</v>
      </c>
      <c r="E277" s="63">
        <v>0.3</v>
      </c>
      <c r="F277" s="63"/>
      <c r="G277" s="63"/>
      <c r="H277" s="63">
        <v>0.7</v>
      </c>
      <c r="I277" s="53">
        <f t="shared" si="10"/>
        <v>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60</v>
      </c>
      <c r="B278" s="55">
        <v>214</v>
      </c>
      <c r="C278" s="55">
        <v>9</v>
      </c>
      <c r="D278" s="55">
        <v>21</v>
      </c>
      <c r="E278" s="63">
        <v>0.4</v>
      </c>
      <c r="F278" s="63"/>
      <c r="G278" s="63"/>
      <c r="H278" s="63">
        <v>0.6</v>
      </c>
      <c r="I278" s="53">
        <f t="shared" si="10"/>
        <v>7.6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>
        <v>65</v>
      </c>
      <c r="B279" s="55">
        <v>229</v>
      </c>
      <c r="C279" s="55">
        <v>10</v>
      </c>
      <c r="D279" s="55">
        <v>21</v>
      </c>
      <c r="E279" s="63">
        <v>0.4</v>
      </c>
      <c r="F279" s="63"/>
      <c r="G279" s="63"/>
      <c r="H279" s="63">
        <v>0.6</v>
      </c>
      <c r="I279" s="53">
        <f t="shared" si="10"/>
        <v>7.2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>
        <v>70</v>
      </c>
      <c r="B280" s="55">
        <v>242</v>
      </c>
      <c r="C280" s="55">
        <v>11</v>
      </c>
      <c r="D280" s="55">
        <v>21</v>
      </c>
      <c r="E280" s="63">
        <v>0.5</v>
      </c>
      <c r="F280" s="63"/>
      <c r="G280" s="63"/>
      <c r="H280" s="63">
        <v>0.5</v>
      </c>
      <c r="I280" s="53">
        <f t="shared" si="10"/>
        <v>6.8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>
        <v>75</v>
      </c>
      <c r="B281" s="55">
        <v>252</v>
      </c>
      <c r="C281" s="55">
        <v>12</v>
      </c>
      <c r="D281" s="55">
        <v>21</v>
      </c>
      <c r="E281" s="63">
        <v>0.5</v>
      </c>
      <c r="F281" s="63"/>
      <c r="G281" s="63"/>
      <c r="H281" s="63">
        <v>0.5</v>
      </c>
      <c r="I281" s="53">
        <f t="shared" si="10"/>
        <v>6.2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>
        <v>80</v>
      </c>
      <c r="B282" s="55">
        <v>261</v>
      </c>
      <c r="C282" s="55">
        <v>13</v>
      </c>
      <c r="D282" s="55">
        <v>21</v>
      </c>
      <c r="E282" s="64">
        <v>0.6</v>
      </c>
      <c r="F282" s="64"/>
      <c r="G282" s="64"/>
      <c r="H282" s="64">
        <v>0.4</v>
      </c>
      <c r="I282" s="53">
        <f t="shared" si="10"/>
        <v>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>
        <v>85</v>
      </c>
      <c r="B283" s="60">
        <v>269</v>
      </c>
      <c r="C283" s="88">
        <v>14</v>
      </c>
      <c r="D283" s="60">
        <v>21</v>
      </c>
      <c r="E283" s="54">
        <v>0.6</v>
      </c>
      <c r="F283" s="54"/>
      <c r="G283" s="54"/>
      <c r="H283" s="54">
        <v>0.4</v>
      </c>
      <c r="I283" s="53">
        <f t="shared" si="10"/>
        <v>5.8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>
        <v>90</v>
      </c>
      <c r="B284" s="50">
        <v>275</v>
      </c>
      <c r="C284" s="50">
        <v>15</v>
      </c>
      <c r="D284" s="50">
        <v>21</v>
      </c>
      <c r="E284" s="51">
        <v>0.7</v>
      </c>
      <c r="F284" s="51"/>
      <c r="G284" s="51"/>
      <c r="H284" s="51">
        <v>0.3</v>
      </c>
      <c r="I284" s="53">
        <f t="shared" si="10"/>
        <v>5.4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>
        <v>95</v>
      </c>
      <c r="B285" s="50">
        <v>289</v>
      </c>
      <c r="C285" s="50">
        <v>16</v>
      </c>
      <c r="D285" s="50">
        <v>21</v>
      </c>
      <c r="E285" s="51">
        <v>0.7</v>
      </c>
      <c r="F285" s="51"/>
      <c r="G285" s="51"/>
      <c r="H285" s="51">
        <v>0.3</v>
      </c>
      <c r="I285" s="53">
        <f t="shared" si="10"/>
        <v>7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>
        <v>100</v>
      </c>
      <c r="B286" s="50">
        <v>282</v>
      </c>
      <c r="C286" s="50">
        <v>17</v>
      </c>
      <c r="D286" s="50">
        <v>21</v>
      </c>
      <c r="E286" s="51">
        <v>0.7</v>
      </c>
      <c r="F286" s="51"/>
      <c r="G286" s="51"/>
      <c r="H286" s="51">
        <v>0.3</v>
      </c>
      <c r="I286" s="53">
        <f t="shared" si="10"/>
        <v>2.8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>
        <v>110</v>
      </c>
      <c r="B287" s="50">
        <v>305</v>
      </c>
      <c r="C287" s="50">
        <v>19</v>
      </c>
      <c r="D287" s="50">
        <v>39</v>
      </c>
      <c r="E287" s="51">
        <v>0.8</v>
      </c>
      <c r="F287" s="51"/>
      <c r="G287" s="51"/>
      <c r="H287" s="51">
        <v>0.2</v>
      </c>
      <c r="I287" s="53">
        <f t="shared" si="10"/>
        <v>4.4000000000000004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>
        <v>115</v>
      </c>
      <c r="B288" s="50">
        <v>285</v>
      </c>
      <c r="C288" s="50">
        <v>20</v>
      </c>
      <c r="D288" s="50">
        <v>18</v>
      </c>
      <c r="E288" s="51">
        <v>0.8</v>
      </c>
      <c r="F288" s="51"/>
      <c r="G288" s="51"/>
      <c r="H288" s="51">
        <v>0.2</v>
      </c>
      <c r="I288" s="53">
        <f t="shared" si="10"/>
        <v>3.8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>
        <v>120</v>
      </c>
      <c r="B289" s="50">
        <v>285</v>
      </c>
      <c r="C289" s="50">
        <v>21</v>
      </c>
      <c r="D289" s="50">
        <v>285</v>
      </c>
      <c r="E289" s="51">
        <v>0.8</v>
      </c>
      <c r="F289" s="51"/>
      <c r="G289" s="51"/>
      <c r="H289" s="51">
        <v>0.2</v>
      </c>
      <c r="I289" s="53">
        <f t="shared" si="10"/>
        <v>3.6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0.22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0.78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Châtaignier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Cèdre de l'Atlas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Robinier faux-acacia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Cormier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Erable champêtre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Tilleul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1.1000000000000001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4.0333333333333341</v>
      </c>
      <c r="H3" s="67">
        <f>(B3+E3+F3)*44/12+(C3+D3)*0.475*44/12</f>
        <v>240.5333333333333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236.5</v>
      </c>
      <c r="S3" s="59">
        <f ca="1">AVERAGE(OFFSET($R$3,0,0,'Données projet'!$E$9+1,1))-AVERAGE(OFFSET($H$3,0,0,'Données projet'!$E$9+1,1))</f>
        <v>461.20962581398715</v>
      </c>
      <c r="T3" s="59">
        <f>IF('Données projet'!E9&gt;30,$R$33-$H$33,LOOKUP('Données projet'!$E$9,$A$3:$A$203,R3:R203)-LOOKUP('Données projet'!$E$9,$A$3:$A$203,$H$3:$H$203))</f>
        <v>348.44322874953923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236.5</v>
      </c>
      <c r="AN3" s="59">
        <f ca="1">AVERAGE(OFFSET($AM$3,0,0,'Données projet'!$E$10+1,1))-AVERAGE(OFFSET($H$3,0,0,'Données projet'!$E$10+1,1))</f>
        <v>510.86584023875525</v>
      </c>
      <c r="AO3" s="59">
        <f>IF('Données projet'!E10&gt;30,$AM$33-$H$33,LOOKUP('Données projet'!$E$10,$A$3:$A$203,AM3:AM203)-LOOKUP('Données projet'!$E$10,$A$3:$A$203,$H$3:$H$203))</f>
        <v>384.62921487244125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236.5</v>
      </c>
      <c r="BI3" s="59">
        <f ca="1">AVERAGE(OFFSET($BH$3,0,0,'Données projet'!$E$11+1,1))-AVERAGE(OFFSET($H$3,0,0,'Données projet'!$E$11+1,1))</f>
        <v>201.7253431547006</v>
      </c>
      <c r="BJ3" s="59">
        <f>IF('Données projet'!E11&gt;30,$BH$33-$H$33,LOOKUP('Données projet'!$E$11,$A$3:$A$203,BH3:BH203)-LOOKUP('Données projet'!$E$11,$A$3:$A$203,$H$3:$H$203))</f>
        <v>229.70004720044096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236.5</v>
      </c>
      <c r="CD3" s="59">
        <f ca="1">AVERAGE(OFFSET($CC$3,0,0,'Données projet'!$E$12+1,1))-AVERAGE(OFFSET($H$3,0,0,'Données projet'!$E$12+1,1))</f>
        <v>462.09240749760784</v>
      </c>
      <c r="CE3" s="59">
        <f>IF('Données projet'!E12&gt;30,$CC$33-$H$33,LOOKUP('Données projet'!$E$12,$A$3:$A$203,CC3:CC203)-LOOKUP('Données projet'!$E$12,$A$3:$A$203,$H$3:$H$203))</f>
        <v>403.52202223463337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236.5</v>
      </c>
      <c r="CY3" s="59">
        <f ca="1">AVERAGE(OFFSET($CX$3,0,0,'Données projet'!$E$13+1,1))-AVERAGE(OFFSET($H$3,0,0,'Données projet'!$E$13+1,1))</f>
        <v>319.88925869887464</v>
      </c>
      <c r="CZ3" s="59">
        <f>IF('Données projet'!E13&gt;30,$CX$33-$H$33,LOOKUP('Données projet'!$E$13,$A$3:$A$203,CX3:CX203)-LOOKUP('Données projet'!$E$13,$A$3:$A$203,$H$3:$H$203))</f>
        <v>258.2857172412098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236.5</v>
      </c>
      <c r="DT3" s="59">
        <f ca="1">AVERAGE(OFFSET($DS$3,0,0,'Données projet'!$E$14+1,1))-AVERAGE(OFFSET($H$3,0,0,'Données projet'!$E$14+1,1))</f>
        <v>443.64905827069435</v>
      </c>
      <c r="DU3" s="59">
        <f>IF('Données projet'!E14&gt;30,$DS$33-$H$33,LOOKUP('Données projet'!$E$14,$A$3:$A$203,DS3:DS203)-LOOKUP('Données projet'!$E$14,$A$3:$A$203,$H$3:$H$203))</f>
        <v>381.14782516862385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236.5</v>
      </c>
      <c r="EO3" s="59">
        <f ca="1">AVERAGE(OFFSET($EN$3,0,0,'Données projet'!$E$15+1,1))-AVERAGE(OFFSET($H$3,0,0,'Données projet'!$E$15+1,1))</f>
        <v>504.37890861635196</v>
      </c>
      <c r="EP3" s="59">
        <f>IF('Données projet'!E15&gt;30,$EN$33-$H$33,LOOKUP('Données projet'!$E$15,$A$3:$A$203,EN3:EN203)-LOOKUP('Données projet'!$E$15,$A$3:$A$203,$H$3:$H$203))</f>
        <v>611.82129317522913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236.5</v>
      </c>
      <c r="FJ3" s="59">
        <f ca="1">AVERAGE(OFFSET($FI$3,0,0,'Données projet'!$E$16+1,1))-AVERAGE(OFFSET($H$3,0,0,'Données projet'!$E$16+1,1))</f>
        <v>334.01098870576732</v>
      </c>
      <c r="FK3" s="59">
        <f>IF('Données projet'!E16&gt;30,$FI$33-$H$33,LOOKUP('Données projet'!$E$16,$A$3:$A$203,FI3:FI203)-LOOKUP('Données projet'!$E$16,$A$3:$A$203,$H$3:$H$203))</f>
        <v>171.1802153303471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236.5</v>
      </c>
      <c r="GE3" s="59">
        <f ca="1">AVERAGE(OFFSET($GD$3,0,0,'Données projet'!$E$17+1,1))-AVERAGE(OFFSET($H$3,0,0,'Données projet'!$E$17+1,1))</f>
        <v>330.12856974146598</v>
      </c>
      <c r="GF3" s="59">
        <f>IF('Données projet'!E17&gt;30,$GD$33-$H$33,LOOKUP('Données projet'!$E$17,$A$3:$A$203,GD3:GD203)-LOOKUP('Données projet'!$E$17,$A$3:$A$203,$H$3:$H$203))</f>
        <v>321.23368446552286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64.5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236.5</v>
      </c>
      <c r="GZ3" s="59">
        <f ca="1">AVERAGE(OFFSET($GY$3,0,0,'Données projet'!$E$18+1,1))-AVERAGE(OFFSET($H$3,0,0,'Données projet'!$E$18+1,1))</f>
        <v>296.67751292332753</v>
      </c>
      <c r="HA3" s="59">
        <f>IF('Données projet'!E18&gt;30,$GY$33-$H$33,LOOKUP('Données projet'!$E$18,$A$3:$A$203,GY3:GY203)-LOOKUP('Données projet'!$E$18,$A$3:$A$203,$H$3:$H$203))</f>
        <v>197.99510031603018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1.1000000000000001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4.0333333333333341</v>
      </c>
      <c r="H4" s="67">
        <f t="shared" ref="H4:H67" si="1">(B4+E4+F4)*44/12+(C4+D4)*0.475*44/12</f>
        <v>240.5333333333333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240.91305857514956</v>
      </c>
      <c r="S4" s="59">
        <f ca="1">AVERAGE(OFFSET($R$3,0,0,'Données projet'!$E$9+1,1))-AVERAGE(OFFSET($H$3,0,0,'Données projet'!$E$9+1,1))</f>
        <v>461.20962581398715</v>
      </c>
      <c r="T4" s="59">
        <f>$T$3</f>
        <v>348.44322874953923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241.24282363763075</v>
      </c>
      <c r="AN4" s="59">
        <f ca="1">AVERAGE(OFFSET($AM$3,0,0,'Données projet'!$E$10+1,1))-AVERAGE(OFFSET($H$3,0,0,'Données projet'!$E$10+1,1))</f>
        <v>510.86584023875525</v>
      </c>
      <c r="AO4" s="59">
        <f>$AO$3</f>
        <v>384.62921487244125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1.6</v>
      </c>
      <c r="BD4" s="12">
        <f>IF('Données projet'!$A$88&gt;35,BD3+BC4-BL3,IF(A4&lt;'Données projet'!$A$88,$BA$205^A4,IF(A4='Données projet'!$A$88,'Données projet'!$B$88,BD3+BC4-BL3)))</f>
        <v>1.189207115002721</v>
      </c>
      <c r="BE4" s="13">
        <f>BD4*VLOOKUP('Données projet'!$B$11,Paramètres!$A$1:$I$89,3,0)*VLOOKUP('Données projet'!$B$11,Paramètres!$A$1:$I$89,5,0)</f>
        <v>0.87192665671999503</v>
      </c>
      <c r="BF4" s="13">
        <f>EXP(-1.0587+0.8836*LN(BE4)+0.284)</f>
        <v>0.4082819245674873</v>
      </c>
      <c r="BG4" s="20">
        <f t="shared" ref="BG4:BG67" si="7">(BE4+BF4)*0.475*44/12</f>
        <v>2.2296966124090321</v>
      </c>
      <c r="BH4" s="59">
        <f t="shared" ref="BH4:BH67" si="8">BG4+(AY4+AZ4)*44/12</f>
        <v>240.3017654153856</v>
      </c>
      <c r="BI4" s="59">
        <f ca="1">AVERAGE(OFFSET($BH$3,0,0,'Données projet'!$E$11+1,1))-AVERAGE(OFFSET($H$3,0,0,'Données projet'!$E$11+1,1))</f>
        <v>201.7253431547006</v>
      </c>
      <c r="BJ4" s="59">
        <f>$BJ$3</f>
        <v>229.70004720044096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</v>
      </c>
      <c r="BY4" s="12">
        <f>IF('Données projet'!$A$114&gt;35,BY3+BX4-CG3,IF(A4&lt;'Données projet'!$A$114,$BV$205^A4,IF(A4='Données projet'!$A$114,'Données projet'!$B$114,BY3+BX4-CG3)))</f>
        <v>1.3492828476735632</v>
      </c>
      <c r="BZ4" s="13">
        <f>BY4*VLOOKUP('Données projet'!$B$12,Paramètres!$A$1:$I$89,3,0)*VLOOKUP('Données projet'!$B$12,Paramètres!$A$1:$I$89,5,0)</f>
        <v>0.75424911184952181</v>
      </c>
      <c r="CA4" s="13">
        <f>EXP(-1.0587+0.8836*LN(BZ4)+0.284)</f>
        <v>0.3591899268142314</v>
      </c>
      <c r="CB4" s="20">
        <f t="shared" ref="CB4:CB67" si="10">(BZ4+CA4)*0.475*44/12</f>
        <v>1.9392396590060368</v>
      </c>
      <c r="CC4" s="59">
        <f t="shared" ref="CC4:CC67" si="11">CB4+(BT4+BU4)*44/12</f>
        <v>240.01130846198259</v>
      </c>
      <c r="CD4" s="59">
        <f ca="1">AVERAGE(OFFSET($CC$3,0,0,'Données projet'!$E$12+1,1))-AVERAGE(OFFSET($H$3,0,0,'Données projet'!$E$12+1,1))</f>
        <v>462.09240749760784</v>
      </c>
      <c r="CE4" s="59">
        <f>$CE$3</f>
        <v>403.52202223463337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</v>
      </c>
      <c r="CT4" s="12">
        <f>IF('Données projet'!$A$140&gt;35,CT3+CS4-DB3,IF(A4&lt;'Données projet'!$A$140,$CQ$205^A4,IF(A4='Données projet'!$A$140,'Données projet'!$B$140,CT3+CS4-DB3)))</f>
        <v>1.2802842468510145</v>
      </c>
      <c r="CU4" s="17">
        <f>CT4*VLOOKUP('Données projet'!$B$13,Paramètres!$A$1:$I$89,3,0)*VLOOKUP('Données projet'!$B$13,Paramètres!$A$1:$I$89,5,0)</f>
        <v>0.59917302752627477</v>
      </c>
      <c r="CV4" s="13">
        <f>EXP(-1.0587+0.8836*LN(CU4)+0.284)</f>
        <v>0.29308746006107994</v>
      </c>
      <c r="CW4" s="20">
        <f t="shared" ref="CW4:CW67" si="13">(CU4+CV4)*0.475*44/12</f>
        <v>1.5540203492146427</v>
      </c>
      <c r="CX4" s="59">
        <f t="shared" ref="CX4:CX67" si="14">CW4+(CO4+CP4)*44/12</f>
        <v>239.62608915219121</v>
      </c>
      <c r="CY4" s="59">
        <f ca="1">AVERAGE(OFFSET($CX$3,0,0,'Données projet'!$E$13+1,1))-AVERAGE(OFFSET($H$3,0,0,'Données projet'!$E$13+1,1))</f>
        <v>319.88925869887464</v>
      </c>
      <c r="CZ4" s="59">
        <f>$CZ$3</f>
        <v>258.2857172412098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3.2373333333333334</v>
      </c>
      <c r="DO4" s="12">
        <f>IF('Données projet'!$A$166&gt;35,DO3+DN4-DW3,IF(A4&lt;'Données projet'!$A$166,$DL$205^A4,IF(A4='Données projet'!$A$166,'Données projet'!$B$166,DO3+DN4-DW3)))</f>
        <v>1.2954438051451196</v>
      </c>
      <c r="DP4" s="17">
        <f>DO4*VLOOKUP('Données projet'!$B$14,Paramètres!$A$1:$I$89,3,0)*VLOOKUP('Données projet'!$B$14,Paramètres!$A$1:$I$89,5,0)</f>
        <v>0.77467539547678155</v>
      </c>
      <c r="DQ4" s="13">
        <f>EXP(-1.0587+0.8836*LN(DP4)+0.284)</f>
        <v>0.36777168287054751</v>
      </c>
      <c r="DR4" s="20">
        <f t="shared" ref="DR4:DR67" si="16">(DP4+DQ4)*0.475*44/12</f>
        <v>1.9897619947882648</v>
      </c>
      <c r="DS4" s="59">
        <f t="shared" ref="DS4:DS67" si="17">DR4+(DJ4+DK4)*44/12</f>
        <v>240.06183079776483</v>
      </c>
      <c r="DT4" s="59">
        <f ca="1">AVERAGE(OFFSET($DS$3,0,0,'Données projet'!$E$14+1,1))-AVERAGE(OFFSET($H$3,0,0,'Données projet'!$E$14+1,1))</f>
        <v>443.64905827069435</v>
      </c>
      <c r="DU4" s="59">
        <f>$DU$3</f>
        <v>381.14782516862385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12.733333333333333</v>
      </c>
      <c r="EJ4" s="12">
        <f>IF('Données projet'!$A$192&gt;35,EJ3+EI4-ER3,IF(A4&lt;'Données projet'!$A$192,$EG$205^A4,IF(A4='Données projet'!$A$192,'Données projet'!$B$192,EJ3+EI4-ER3)))</f>
        <v>1.4192826414237836</v>
      </c>
      <c r="EK4" s="17">
        <f>EJ4*VLOOKUP('Données projet'!$B$15,Paramètres!$A$1:$I$89,3,0)*VLOOKUP('Données projet'!$B$15,Paramètres!$A$1:$I$89,5,0)</f>
        <v>1.2841669339602393</v>
      </c>
      <c r="EL4" s="13">
        <f>EXP(-1.0587+0.8836*LN(EK4)+0.284)</f>
        <v>0.57481753413433112</v>
      </c>
      <c r="EM4" s="20">
        <f t="shared" ref="EM4:EM67" si="19">(EK4+EL4)*0.475*44/12</f>
        <v>3.2377312819313766</v>
      </c>
      <c r="EN4" s="59">
        <f t="shared" ref="EN4:EN67" si="20">EM4+(EE4+EF4)*44/12</f>
        <v>241.30980008490795</v>
      </c>
      <c r="EO4" s="59">
        <f ca="1">AVERAGE(OFFSET($EN$3,0,0,'Données projet'!$E$15+1,1))-AVERAGE(OFFSET($H$3,0,0,'Données projet'!$E$15+1,1))</f>
        <v>504.37890861635196</v>
      </c>
      <c r="EP4" s="59">
        <f>$EP$3</f>
        <v>611.82129317522913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1.2</v>
      </c>
      <c r="FE4" s="12">
        <f>IF('Données projet'!$A$218&gt;35,FE3+FD4-FM3,IF(A4&lt;'Données projet'!$A$218,$FB$205^A4,IF(A4='Données projet'!$A$218,'Données projet'!$B$218,FE3+FD4-FM3)))</f>
        <v>1.1457367676485573</v>
      </c>
      <c r="FF4" s="17">
        <f>FE4*VLOOKUP('Données projet'!$B$16,Paramètres!$A$1:$I$89,3,0)*VLOOKUP('Données projet'!$B$16,Paramètres!$A$1:$I$89,5,0)</f>
        <v>1.233271056696907</v>
      </c>
      <c r="FG4" s="13">
        <f>EXP(-1.0587+0.8836*LN(FF4)+0.284)</f>
        <v>0.55464025923604754</v>
      </c>
      <c r="FH4" s="20">
        <f t="shared" ref="FH4:FH67" si="22">(FF4+FG4)*0.475*44/12</f>
        <v>3.113945541916562</v>
      </c>
      <c r="FI4" s="59">
        <f t="shared" ref="FI4:FI67" si="23">FH4+(EZ4+FA4)*44/12</f>
        <v>241.18601434489312</v>
      </c>
      <c r="FJ4" s="59">
        <f ca="1">AVERAGE(OFFSET($FI$3,0,0,'Données projet'!$E$16+1,1))-AVERAGE(OFFSET($H$3,0,0,'Données projet'!$E$16+1,1))</f>
        <v>334.01098870576732</v>
      </c>
      <c r="FK4" s="59">
        <f>$FK$3</f>
        <v>171.1802153303471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2.4666666666666668</v>
      </c>
      <c r="FZ4" s="12">
        <f>IF('Données projet'!$A$244&gt;35,FZ3+FY4-GH3,IF(A4&lt;'Données projet'!$A$244,$FW$205^A4,IF(A4='Données projet'!$A$244,'Données projet'!$B$244,FZ3+FY4-GH3)))</f>
        <v>1.2721747796233518</v>
      </c>
      <c r="GA4" s="17">
        <f>FZ4*VLOOKUP('Données projet'!$B$17,Paramètres!$A$1:$I$89,3,0)*VLOOKUP('Données projet'!$B$17,Paramètres!$A$1:$I$89,5,0)</f>
        <v>1.1113718874789602</v>
      </c>
      <c r="GB4" s="13">
        <f>EXP(-1.0587+0.8836*LN(GA4)+0.284)</f>
        <v>0.5059102014681881</v>
      </c>
      <c r="GC4" s="20">
        <f t="shared" ref="GC4:GC67" si="25">(GA4+GB4)*0.475*44/12</f>
        <v>2.8167663049162832</v>
      </c>
      <c r="GD4" s="59">
        <f t="shared" ref="GD4:GD67" si="26">GC4+(FU4+FV4)*44/12</f>
        <v>240.88883510789285</v>
      </c>
      <c r="GE4" s="59">
        <f ca="1">AVERAGE(OFFSET($GD$3,0,0,'Données projet'!$E$17+1,1))-AVERAGE(OFFSET($H$3,0,0,'Données projet'!$E$17+1,1))</f>
        <v>330.12856974146598</v>
      </c>
      <c r="GF4" s="59">
        <f>$GF$3</f>
        <v>321.23368446552286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64.595412703842101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2.1</v>
      </c>
      <c r="GU4" s="12">
        <f>IF('Données projet'!$A$270&gt;35,GU3+GT4-HC3,IF(A4&lt;'Données projet'!$A$270,$GR$205^A4,IF(A4='Données projet'!$A$270,'Données projet'!$B$270,GU3+GT4-HC3)))</f>
        <v>1.2054868146447177</v>
      </c>
      <c r="GV4" s="17">
        <f>GU4*VLOOKUP('Données projet'!$B$18,Paramètres!$A$1:$I$89,3,0)*VLOOKUP('Données projet'!$B$18,Paramètres!$A$1:$I$89,5,0)</f>
        <v>0.80864055526367662</v>
      </c>
      <c r="GW4" s="13">
        <f>EXP(-1.0587+0.8836*LN(GV4)+0.284)</f>
        <v>0.38198370868369436</v>
      </c>
      <c r="GX4" s="20">
        <f t="shared" ref="GX4:GX67" si="28">(GV4+GW4)*0.475*44/12</f>
        <v>2.0736705930416708</v>
      </c>
      <c r="GY4" s="59">
        <f t="shared" ref="GY4:GY67" si="29">GX4+(GP4+GQ4)*44/12</f>
        <v>240.14573939601823</v>
      </c>
      <c r="GZ4" s="59">
        <f ca="1">AVERAGE(OFFSET($GY$3,0,0,'Données projet'!$E$18+1,1))-AVERAGE(OFFSET($H$3,0,0,'Données projet'!$E$18+1,1))</f>
        <v>296.67751292332753</v>
      </c>
      <c r="HA4" s="59">
        <f>$HA$3</f>
        <v>197.99510031603018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1.1000000000000001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4.0333333333333341</v>
      </c>
      <c r="H5" s="67">
        <f t="shared" si="1"/>
        <v>240.5333333333333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243.13168232668252</v>
      </c>
      <c r="S5" s="59">
        <f ca="1">AVERAGE(OFFSET($R$3,0,0,'Données projet'!$E$9+1,1))-AVERAGE(OFFSET($H$3,0,0,'Données projet'!$E$9+1,1))</f>
        <v>461.20962581398715</v>
      </c>
      <c r="T5" s="59">
        <f t="shared" ref="T5:T68" si="34">$T$3</f>
        <v>348.44322874953923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243.53747555685044</v>
      </c>
      <c r="AN5" s="59">
        <f ca="1">AVERAGE(OFFSET($AM$3,0,0,'Données projet'!$E$10+1,1))-AVERAGE(OFFSET($H$3,0,0,'Données projet'!$E$10+1,1))</f>
        <v>510.86584023875525</v>
      </c>
      <c r="AO5" s="59">
        <f t="shared" ref="AO5:AO68" si="36">$AO$3</f>
        <v>384.62921487244125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1.6</v>
      </c>
      <c r="BD5" s="12">
        <f>IF('Données projet'!$A$88&gt;35,BD4+BC5-BL4,IF(A5&lt;'Données projet'!$A$88,$BA$205^A5,IF(A5='Données projet'!$A$88,'Données projet'!$B$88,BD4+BC5-BL4)))</f>
        <v>1.4142135623730949</v>
      </c>
      <c r="BE5" s="13">
        <f>BD5*VLOOKUP('Données projet'!$B$11,Paramètres!$A$1:$I$89,3,0)*VLOOKUP('Données projet'!$B$11,Paramètres!$A$1:$I$89,5,0)</f>
        <v>1.0369013839319532</v>
      </c>
      <c r="BF5" s="13">
        <f t="shared" ref="BF5:BF68" si="37">EXP(-1.0587+0.8836*LN(BE5)+0.284)</f>
        <v>0.47583641992667347</v>
      </c>
      <c r="BG5" s="20">
        <f t="shared" si="7"/>
        <v>2.6346850083871081</v>
      </c>
      <c r="BH5" s="59">
        <f t="shared" si="8"/>
        <v>242.27275355830395</v>
      </c>
      <c r="BI5" s="59">
        <f ca="1">AVERAGE(OFFSET($BH$3,0,0,'Données projet'!$E$11+1,1))-AVERAGE(OFFSET($H$3,0,0,'Données projet'!$E$11+1,1))</f>
        <v>201.7253431547006</v>
      </c>
      <c r="BJ5" s="59">
        <f t="shared" ref="BJ5:BJ68" si="38">$BJ$3</f>
        <v>229.70004720044096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</v>
      </c>
      <c r="BY5" s="12">
        <f>IF('Données projet'!$A$114&gt;35,BY4+BX5-CG4,IF(A5&lt;'Données projet'!$A$114,$BV$205^A5,IF(A5='Données projet'!$A$114,'Données projet'!$B$114,BY4+BX5-CG4)))</f>
        <v>1.82056420302608</v>
      </c>
      <c r="BZ5" s="13">
        <f>BY5*VLOOKUP('Données projet'!$B$12,Paramètres!$A$1:$I$89,3,0)*VLOOKUP('Données projet'!$B$12,Paramètres!$A$1:$I$89,5,0)</f>
        <v>1.0176953894915788</v>
      </c>
      <c r="CA5" s="13">
        <f t="shared" ref="CA5:CA68" si="39">EXP(-1.0587+0.8836*LN(BZ5)+0.284)</f>
        <v>0.46804020312241645</v>
      </c>
      <c r="CB5" s="20">
        <f t="shared" si="10"/>
        <v>2.5876561571360415</v>
      </c>
      <c r="CC5" s="59">
        <f t="shared" si="11"/>
        <v>242.2257247070529</v>
      </c>
      <c r="CD5" s="59">
        <f ca="1">AVERAGE(OFFSET($CC$3,0,0,'Données projet'!$E$12+1,1))-AVERAGE(OFFSET($H$3,0,0,'Données projet'!$E$12+1,1))</f>
        <v>462.09240749760784</v>
      </c>
      <c r="CE5" s="59">
        <f t="shared" ref="CE5:CE68" si="40">$CE$3</f>
        <v>403.52202223463337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</v>
      </c>
      <c r="CT5" s="12">
        <f>IF('Données projet'!$A$140&gt;35,CT4+CS5-DB4,IF(A5&lt;'Données projet'!$A$140,$CQ$205^A5,IF(A5='Données projet'!$A$140,'Données projet'!$B$140,CT4+CS5-DB4)))</f>
        <v>1.6391277527348693</v>
      </c>
      <c r="CU5" s="17">
        <f>CT5*VLOOKUP('Données projet'!$B$13,Paramètres!$A$1:$I$89,3,0)*VLOOKUP('Données projet'!$B$13,Paramètres!$A$1:$I$89,5,0)</f>
        <v>0.76711178827991888</v>
      </c>
      <c r="CV5" s="13">
        <f t="shared" ref="CV5:CV68" si="41">EXP(-1.0587+0.8836*LN(CU5)+0.284)</f>
        <v>0.36459706970828532</v>
      </c>
      <c r="CW5" s="20">
        <f t="shared" si="13"/>
        <v>1.9710595943294553</v>
      </c>
      <c r="CX5" s="59">
        <f t="shared" si="14"/>
        <v>241.60912814424631</v>
      </c>
      <c r="CY5" s="59">
        <f ca="1">AVERAGE(OFFSET($CX$3,0,0,'Données projet'!$E$13+1,1))-AVERAGE(OFFSET($H$3,0,0,'Données projet'!$E$13+1,1))</f>
        <v>319.88925869887464</v>
      </c>
      <c r="CZ5" s="59">
        <f t="shared" ref="CZ5:CZ68" si="42">$CZ$3</f>
        <v>258.2857172412098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3.2373333333333334</v>
      </c>
      <c r="DO5" s="12">
        <f>IF('Données projet'!$A$166&gt;35,DO4+DN5-DW4,IF(A5&lt;'Données projet'!$A$166,$DL$205^A5,IF(A5='Données projet'!$A$166,'Données projet'!$B$166,DO4+DN5-DW4)))</f>
        <v>1.6781746522888665</v>
      </c>
      <c r="DP5" s="17">
        <f>DO5*VLOOKUP('Données projet'!$B$14,Paramètres!$A$1:$I$89,3,0)*VLOOKUP('Données projet'!$B$14,Paramètres!$A$1:$I$89,5,0)</f>
        <v>1.0035484420687422</v>
      </c>
      <c r="DQ5" s="13">
        <f t="shared" ref="DQ5:DQ68" si="43">EXP(-1.0587+0.8836*LN(DP5)+0.284)</f>
        <v>0.46228664047475304</v>
      </c>
      <c r="DR5" s="20">
        <f t="shared" si="16"/>
        <v>2.552996102096587</v>
      </c>
      <c r="DS5" s="59">
        <f t="shared" si="17"/>
        <v>242.19106465201344</v>
      </c>
      <c r="DT5" s="59">
        <f ca="1">AVERAGE(OFFSET($DS$3,0,0,'Données projet'!$E$14+1,1))-AVERAGE(OFFSET($H$3,0,0,'Données projet'!$E$14+1,1))</f>
        <v>443.64905827069435</v>
      </c>
      <c r="DU5" s="59">
        <f t="shared" ref="DU5:DU68" si="44">$DU$3</f>
        <v>381.14782516862385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12.733333333333333</v>
      </c>
      <c r="EJ5" s="12">
        <f>IF('Données projet'!$A$192&gt;35,EJ4+EI5-ER4,IF(A5&lt;'Données projet'!$A$192,$EG$205^A5,IF(A5='Données projet'!$A$192,'Données projet'!$B$192,EJ4+EI5-ER4)))</f>
        <v>2.0143632162468723</v>
      </c>
      <c r="EK5" s="17">
        <f>EJ5*VLOOKUP('Données projet'!$B$15,Paramètres!$A$1:$I$89,3,0)*VLOOKUP('Données projet'!$B$15,Paramètres!$A$1:$I$89,5,0)</f>
        <v>1.8225958380601699</v>
      </c>
      <c r="EL5" s="13">
        <f t="shared" ref="EL5:EL68" si="45">EXP(-1.0587+0.8836*LN(EK5)+0.284)</f>
        <v>0.78324580863090987</v>
      </c>
      <c r="EM5" s="20">
        <f t="shared" si="19"/>
        <v>4.5385075346536299</v>
      </c>
      <c r="EN5" s="59">
        <f t="shared" si="20"/>
        <v>244.17657608457048</v>
      </c>
      <c r="EO5" s="59">
        <f ca="1">AVERAGE(OFFSET($EN$3,0,0,'Données projet'!$E$15+1,1))-AVERAGE(OFFSET($H$3,0,0,'Données projet'!$E$15+1,1))</f>
        <v>504.37890861635196</v>
      </c>
      <c r="EP5" s="59">
        <f t="shared" ref="EP5:EP68" si="46">$EP$3</f>
        <v>611.82129317522913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1.2</v>
      </c>
      <c r="FE5" s="12">
        <f>IF('Données projet'!$A$218&gt;35,FE4+FD5-FM4,IF(A5&lt;'Données projet'!$A$218,$FB$205^A5,IF(A5='Données projet'!$A$218,'Données projet'!$B$218,FE4+FD5-FM4)))</f>
        <v>1.312712740741764</v>
      </c>
      <c r="FF5" s="17">
        <f>FE5*VLOOKUP('Données projet'!$B$16,Paramètres!$A$1:$I$89,3,0)*VLOOKUP('Données projet'!$B$16,Paramètres!$A$1:$I$89,5,0)</f>
        <v>1.4130039941344348</v>
      </c>
      <c r="FG5" s="13">
        <f t="shared" ref="FG5:FG68" si="47">EXP(-1.0587+0.8836*LN(FF5)+0.284)</f>
        <v>0.62548768551477418</v>
      </c>
      <c r="FH5" s="20">
        <f t="shared" si="22"/>
        <v>3.5503730087223722</v>
      </c>
      <c r="FI5" s="59">
        <f t="shared" si="23"/>
        <v>243.18844155863923</v>
      </c>
      <c r="FJ5" s="59">
        <f ca="1">AVERAGE(OFFSET($FI$3,0,0,'Données projet'!$E$16+1,1))-AVERAGE(OFFSET($H$3,0,0,'Données projet'!$E$16+1,1))</f>
        <v>334.01098870576732</v>
      </c>
      <c r="FK5" s="59">
        <f t="shared" ref="FK5:FK68" si="48">$FK$3</f>
        <v>171.1802153303471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2.4666666666666668</v>
      </c>
      <c r="FZ5" s="12">
        <f>IF('Données projet'!$A$244&gt;35,FZ4+FY5-GH4,IF(A5&lt;'Données projet'!$A$244,$FW$205^A5,IF(A5='Données projet'!$A$244,'Données projet'!$B$244,FZ4+FY5-GH4)))</f>
        <v>1.6184286699097237</v>
      </c>
      <c r="GA5" s="17">
        <f>FZ5*VLOOKUP('Données projet'!$B$17,Paramètres!$A$1:$I$89,3,0)*VLOOKUP('Données projet'!$B$17,Paramètres!$A$1:$I$89,5,0)</f>
        <v>1.4138592860331347</v>
      </c>
      <c r="GB5" s="13">
        <f t="shared" ref="GB5:GB68" si="49">EXP(-1.0587+0.8836*LN(GA5)+0.284)</f>
        <v>0.62582221171965613</v>
      </c>
      <c r="GC5" s="20">
        <f t="shared" si="25"/>
        <v>3.5524452752527771</v>
      </c>
      <c r="GD5" s="59">
        <f t="shared" si="26"/>
        <v>243.19051382516963</v>
      </c>
      <c r="GE5" s="59">
        <f ca="1">AVERAGE(OFFSET($GD$3,0,0,'Données projet'!$E$17+1,1))-AVERAGE(OFFSET($H$3,0,0,'Données projet'!$E$17+1,1))</f>
        <v>330.12856974146598</v>
      </c>
      <c r="GF5" s="59">
        <f t="shared" ref="GF5:GF68" si="50">$GF$3</f>
        <v>321.23368446552286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64.689170210583384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2.1</v>
      </c>
      <c r="GU5" s="12">
        <f>IF('Données projet'!$A$270&gt;35,GU4+GT5-HC4,IF(A5&lt;'Données projet'!$A$270,$GR$205^A5,IF(A5='Données projet'!$A$270,'Données projet'!$B$270,GU4+GT5-HC4)))</f>
        <v>1.4531984602822681</v>
      </c>
      <c r="GV5" s="17">
        <f>GU5*VLOOKUP('Données projet'!$B$18,Paramètres!$A$1:$I$89,3,0)*VLOOKUP('Données projet'!$B$18,Paramètres!$A$1:$I$89,5,0)</f>
        <v>0.97480552715734547</v>
      </c>
      <c r="GW5" s="13">
        <f t="shared" ref="GW5:GW68" si="51">EXP(-1.0587+0.8836*LN(GV5)+0.284)</f>
        <v>0.45056763727227567</v>
      </c>
      <c r="GX5" s="20">
        <f t="shared" si="28"/>
        <v>2.4825249280482562</v>
      </c>
      <c r="GY5" s="59">
        <f t="shared" si="29"/>
        <v>242.12059347796512</v>
      </c>
      <c r="GZ5" s="59">
        <f ca="1">AVERAGE(OFFSET($GY$3,0,0,'Données projet'!$E$18+1,1))-AVERAGE(OFFSET($H$3,0,0,'Données projet'!$E$18+1,1))</f>
        <v>296.67751292332753</v>
      </c>
      <c r="HA5" s="59">
        <f t="shared" ref="HA5:HA68" si="52">$HA$3</f>
        <v>197.99510031603018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1.1000000000000001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4.0333333333333341</v>
      </c>
      <c r="H6" s="67">
        <f t="shared" si="1"/>
        <v>240.5333333333333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245.49483141638052</v>
      </c>
      <c r="S6" s="59">
        <f ca="1">AVERAGE(OFFSET($R$3,0,0,'Données projet'!$E$9+1,1))-AVERAGE(OFFSET($H$3,0,0,'Données projet'!$E$9+1,1))</f>
        <v>461.20962581398715</v>
      </c>
      <c r="T6" s="59">
        <f t="shared" si="34"/>
        <v>348.44322874953923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245.99424409968867</v>
      </c>
      <c r="AN6" s="59">
        <f ca="1">AVERAGE(OFFSET($AM$3,0,0,'Données projet'!$E$10+1,1))-AVERAGE(OFFSET($H$3,0,0,'Données projet'!$E$10+1,1))</f>
        <v>510.86584023875525</v>
      </c>
      <c r="AO6" s="59">
        <f t="shared" si="36"/>
        <v>384.62921487244125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1.6</v>
      </c>
      <c r="BD6" s="12">
        <f>IF('Données projet'!$A$88&gt;35,BD5+BC6-BL5,IF(A6&lt;'Données projet'!$A$88,$BA$205^A6,IF(A6='Données projet'!$A$88,'Données projet'!$B$88,BD5+BC6-BL5)))</f>
        <v>1.6817928305074288</v>
      </c>
      <c r="BE6" s="13">
        <f>BD6*VLOOKUP('Données projet'!$B$11,Paramètres!$A$1:$I$89,3,0)*VLOOKUP('Données projet'!$B$11,Paramètres!$A$1:$I$89,5,0)</f>
        <v>1.2330905033280468</v>
      </c>
      <c r="BF6" s="13">
        <f t="shared" si="37"/>
        <v>0.55456850990523621</v>
      </c>
      <c r="BG6" s="20">
        <f t="shared" si="7"/>
        <v>3.1135061147146348</v>
      </c>
      <c r="BH6" s="59">
        <f t="shared" si="8"/>
        <v>244.3116106400893</v>
      </c>
      <c r="BI6" s="59">
        <f ca="1">AVERAGE(OFFSET($BH$3,0,0,'Données projet'!$E$11+1,1))-AVERAGE(OFFSET($H$3,0,0,'Données projet'!$E$11+1,1))</f>
        <v>201.7253431547006</v>
      </c>
      <c r="BJ6" s="59">
        <f t="shared" si="38"/>
        <v>229.70004720044096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</v>
      </c>
      <c r="BY6" s="12">
        <f>IF('Données projet'!$A$114&gt;35,BY5+BX6-CG5,IF(A6&lt;'Données projet'!$A$114,$BV$205^A6,IF(A6='Données projet'!$A$114,'Données projet'!$B$114,BY5+BX6-CG5)))</f>
        <v>2.4564560522315801</v>
      </c>
      <c r="BZ6" s="13">
        <f>BY6*VLOOKUP('Données projet'!$B$12,Paramètres!$A$1:$I$89,3,0)*VLOOKUP('Données projet'!$B$12,Paramètres!$A$1:$I$89,5,0)</f>
        <v>1.3731589331974534</v>
      </c>
      <c r="CA6" s="13">
        <f t="shared" si="39"/>
        <v>0.60987687957120462</v>
      </c>
      <c r="CB6" s="20">
        <f t="shared" si="10"/>
        <v>3.453787373905413</v>
      </c>
      <c r="CC6" s="59">
        <f t="shared" si="11"/>
        <v>244.65189189928009</v>
      </c>
      <c r="CD6" s="59">
        <f ca="1">AVERAGE(OFFSET($CC$3,0,0,'Données projet'!$E$12+1,1))-AVERAGE(OFFSET($H$3,0,0,'Données projet'!$E$12+1,1))</f>
        <v>462.09240749760784</v>
      </c>
      <c r="CE6" s="59">
        <f t="shared" si="40"/>
        <v>403.52202223463337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</v>
      </c>
      <c r="CT6" s="12">
        <f>IF('Données projet'!$A$140&gt;35,CT5+CS6-DB5,IF(A6&lt;'Données projet'!$A$140,$CQ$205^A6,IF(A6='Données projet'!$A$140,'Données projet'!$B$140,CT5+CS6-DB5)))</f>
        <v>2.098549440402758</v>
      </c>
      <c r="CU6" s="17">
        <f>CT6*VLOOKUP('Données projet'!$B$13,Paramètres!$A$1:$I$89,3,0)*VLOOKUP('Données projet'!$B$13,Paramètres!$A$1:$I$89,5,0)</f>
        <v>0.98212113810849078</v>
      </c>
      <c r="CV6" s="13">
        <f t="shared" si="41"/>
        <v>0.453554113888616</v>
      </c>
      <c r="CW6" s="20">
        <f t="shared" si="13"/>
        <v>2.5004677305616276</v>
      </c>
      <c r="CX6" s="59">
        <f t="shared" si="14"/>
        <v>243.69857225593631</v>
      </c>
      <c r="CY6" s="59">
        <f ca="1">AVERAGE(OFFSET($CX$3,0,0,'Données projet'!$E$13+1,1))-AVERAGE(OFFSET($H$3,0,0,'Données projet'!$E$13+1,1))</f>
        <v>319.88925869887464</v>
      </c>
      <c r="CZ6" s="59">
        <f t="shared" si="42"/>
        <v>258.2857172412098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3.2373333333333334</v>
      </c>
      <c r="DO6" s="12">
        <f>IF('Données projet'!$A$166&gt;35,DO5+DN6-DW5,IF(A6&lt;'Données projet'!$A$166,$DL$205^A6,IF(A6='Données projet'!$A$166,'Données projet'!$B$166,DO5+DN6-DW5)))</f>
        <v>2.1739809572591771</v>
      </c>
      <c r="DP6" s="17">
        <f>DO6*VLOOKUP('Données projet'!$B$14,Paramètres!$A$1:$I$89,3,0)*VLOOKUP('Données projet'!$B$14,Paramètres!$A$1:$I$89,5,0)</f>
        <v>1.300040612440988</v>
      </c>
      <c r="DQ6" s="13">
        <f t="shared" si="43"/>
        <v>0.58109133442081051</v>
      </c>
      <c r="DR6" s="20">
        <f t="shared" si="16"/>
        <v>3.2763048074509658</v>
      </c>
      <c r="DS6" s="59">
        <f t="shared" si="17"/>
        <v>244.47440933282564</v>
      </c>
      <c r="DT6" s="59">
        <f ca="1">AVERAGE(OFFSET($DS$3,0,0,'Données projet'!$E$14+1,1))-AVERAGE(OFFSET($H$3,0,0,'Données projet'!$E$14+1,1))</f>
        <v>443.64905827069435</v>
      </c>
      <c r="DU6" s="59">
        <f t="shared" si="44"/>
        <v>381.14782516862385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12.733333333333333</v>
      </c>
      <c r="EJ6" s="12">
        <f>IF('Données projet'!$A$192&gt;35,EJ5+EI6-ER5,IF(A6&lt;'Données projet'!$A$192,$EG$205^A6,IF(A6='Données projet'!$A$192,'Données projet'!$B$192,EJ5+EI6-ER5)))</f>
        <v>2.8589507463417689</v>
      </c>
      <c r="EK6" s="17">
        <f>EJ6*VLOOKUP('Données projet'!$B$15,Paramètres!$A$1:$I$89,3,0)*VLOOKUP('Données projet'!$B$15,Paramètres!$A$1:$I$89,5,0)</f>
        <v>2.5867786352900324</v>
      </c>
      <c r="EL6" s="13">
        <f t="shared" si="45"/>
        <v>1.0672499711787198</v>
      </c>
      <c r="EM6" s="20">
        <f t="shared" si="19"/>
        <v>6.3640998229330767</v>
      </c>
      <c r="EN6" s="59">
        <f t="shared" si="20"/>
        <v>247.56220434830774</v>
      </c>
      <c r="EO6" s="59">
        <f ca="1">AVERAGE(OFFSET($EN$3,0,0,'Données projet'!$E$15+1,1))-AVERAGE(OFFSET($H$3,0,0,'Données projet'!$E$15+1,1))</f>
        <v>504.37890861635196</v>
      </c>
      <c r="EP6" s="59">
        <f t="shared" si="46"/>
        <v>611.82129317522913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1.2</v>
      </c>
      <c r="FE6" s="12">
        <f>IF('Données projet'!$A$218&gt;35,FE5+FD6-FM5,IF(A6&lt;'Données projet'!$A$218,$FB$205^A6,IF(A6='Données projet'!$A$218,'Données projet'!$B$218,FE5+FD6-FM5)))</f>
        <v>1.5040232524285473</v>
      </c>
      <c r="FF6" s="17">
        <f>FE6*VLOOKUP('Données projet'!$B$16,Paramètres!$A$1:$I$89,3,0)*VLOOKUP('Données projet'!$B$16,Paramètres!$A$1:$I$89,5,0)</f>
        <v>1.6189306289140883</v>
      </c>
      <c r="FG6" s="13">
        <f t="shared" si="47"/>
        <v>0.70538486562354785</v>
      </c>
      <c r="FH6" s="20">
        <f t="shared" si="22"/>
        <v>4.0481828196530492</v>
      </c>
      <c r="FI6" s="59">
        <f t="shared" si="23"/>
        <v>245.24628734502772</v>
      </c>
      <c r="FJ6" s="59">
        <f ca="1">AVERAGE(OFFSET($FI$3,0,0,'Données projet'!$E$16+1,1))-AVERAGE(OFFSET($H$3,0,0,'Données projet'!$E$16+1,1))</f>
        <v>334.01098870576732</v>
      </c>
      <c r="FK6" s="59">
        <f t="shared" si="48"/>
        <v>171.1802153303471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2.4666666666666668</v>
      </c>
      <c r="FZ6" s="12">
        <f>IF('Données projet'!$A$244&gt;35,FZ5+FY6-GH5,IF(A6&lt;'Données projet'!$A$244,$FW$205^A6,IF(A6='Données projet'!$A$244,'Données projet'!$B$244,FZ5+FY6-GH5)))</f>
        <v>2.0589241364785171</v>
      </c>
      <c r="GA6" s="17">
        <f>FZ6*VLOOKUP('Données projet'!$B$17,Paramètres!$A$1:$I$89,3,0)*VLOOKUP('Données projet'!$B$17,Paramètres!$A$1:$I$89,5,0)</f>
        <v>1.7986761256276329</v>
      </c>
      <c r="GB6" s="13">
        <f t="shared" si="49"/>
        <v>0.77415604497611523</v>
      </c>
      <c r="GC6" s="20">
        <f t="shared" si="25"/>
        <v>4.4810160304681945</v>
      </c>
      <c r="GD6" s="59">
        <f t="shared" si="26"/>
        <v>245.67912055584287</v>
      </c>
      <c r="GE6" s="59">
        <f ca="1">AVERAGE(OFFSET($GD$3,0,0,'Données projet'!$E$17+1,1))-AVERAGE(OFFSET($H$3,0,0,'Données projet'!$E$17+1,1))</f>
        <v>330.12856974146598</v>
      </c>
      <c r="GF6" s="59">
        <f t="shared" si="50"/>
        <v>321.23368446552286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64.781301234193094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2.1</v>
      </c>
      <c r="GU6" s="12">
        <f>IF('Données projet'!$A$270&gt;35,GU5+GT6-HC5,IF(A6&lt;'Données projet'!$A$270,$GR$205^A6,IF(A6='Données projet'!$A$270,'Données projet'!$B$270,GU5+GT6-HC5)))</f>
        <v>1.7518115829322798</v>
      </c>
      <c r="GV6" s="17">
        <f>GU6*VLOOKUP('Données projet'!$B$18,Paramètres!$A$1:$I$89,3,0)*VLOOKUP('Données projet'!$B$18,Paramètres!$A$1:$I$89,5,0)</f>
        <v>1.1751152098309732</v>
      </c>
      <c r="GW6" s="13">
        <f t="shared" si="51"/>
        <v>0.53146558646883679</v>
      </c>
      <c r="GX6" s="20">
        <f t="shared" si="28"/>
        <v>2.9722948868888355</v>
      </c>
      <c r="GY6" s="59">
        <f t="shared" si="29"/>
        <v>244.17039941226352</v>
      </c>
      <c r="GZ6" s="59">
        <f ca="1">AVERAGE(OFFSET($GY$3,0,0,'Données projet'!$E$18+1,1))-AVERAGE(OFFSET($H$3,0,0,'Données projet'!$E$18+1,1))</f>
        <v>296.67751292332753</v>
      </c>
      <c r="HA6" s="59">
        <f t="shared" si="52"/>
        <v>197.99510031603018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1.1000000000000001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4.0333333333333341</v>
      </c>
      <c r="H7" s="67">
        <f t="shared" si="1"/>
        <v>240.5333333333333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248.03743466540371</v>
      </c>
      <c r="S7" s="59">
        <f ca="1">AVERAGE(OFFSET($R$3,0,0,'Données projet'!$E$9+1,1))-AVERAGE(OFFSET($H$3,0,0,'Données projet'!$E$9+1,1))</f>
        <v>461.20962581398715</v>
      </c>
      <c r="T7" s="59">
        <f t="shared" si="34"/>
        <v>348.44322874953923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248.65214193542388</v>
      </c>
      <c r="AN7" s="59">
        <f ca="1">AVERAGE(OFFSET($AM$3,0,0,'Données projet'!$E$10+1,1))-AVERAGE(OFFSET($H$3,0,0,'Données projet'!$E$10+1,1))</f>
        <v>510.86584023875525</v>
      </c>
      <c r="AO7" s="59">
        <f t="shared" si="36"/>
        <v>384.62921487244125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1.6</v>
      </c>
      <c r="BD7" s="12">
        <f>IF('Données projet'!$A$88&gt;35,BD6+BC7-BL6,IF(A7&lt;'Données projet'!$A$88,$BA$205^A7,IF(A7='Données projet'!$A$88,'Données projet'!$B$88,BD6+BC7-BL6)))</f>
        <v>1.9999999999999996</v>
      </c>
      <c r="BE7" s="13">
        <f>BD7*VLOOKUP('Données projet'!$B$11,Paramètres!$A$1:$I$89,3,0)*VLOOKUP('Données projet'!$B$11,Paramètres!$A$1:$I$89,5,0)</f>
        <v>1.4663999999999997</v>
      </c>
      <c r="BF7" s="13">
        <f t="shared" si="37"/>
        <v>0.64632764391155062</v>
      </c>
      <c r="BG7" s="20">
        <f t="shared" si="7"/>
        <v>3.6796673131459503</v>
      </c>
      <c r="BH7" s="59">
        <f t="shared" si="8"/>
        <v>246.4319475005982</v>
      </c>
      <c r="BI7" s="59">
        <f ca="1">AVERAGE(OFFSET($BH$3,0,0,'Données projet'!$E$11+1,1))-AVERAGE(OFFSET($H$3,0,0,'Données projet'!$E$11+1,1))</f>
        <v>201.7253431547006</v>
      </c>
      <c r="BJ7" s="59">
        <f t="shared" si="38"/>
        <v>229.70004720044096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</v>
      </c>
      <c r="BY7" s="12">
        <f>IF('Données projet'!$A$114&gt;35,BY6+BX7-CG6,IF(A7&lt;'Données projet'!$A$114,$BV$205^A7,IF(A7='Données projet'!$A$114,'Données projet'!$B$114,BY6+BX7-CG6)))</f>
        <v>3.3144540173399859</v>
      </c>
      <c r="BZ7" s="13">
        <f>BY7*VLOOKUP('Données projet'!$B$12,Paramètres!$A$1:$I$89,3,0)*VLOOKUP('Données projet'!$B$12,Paramètres!$A$1:$I$89,5,0)</f>
        <v>1.8527797956930523</v>
      </c>
      <c r="CA7" s="13">
        <f t="shared" si="39"/>
        <v>0.79469627983693913</v>
      </c>
      <c r="CB7" s="20">
        <f t="shared" si="10"/>
        <v>4.6110208315480676</v>
      </c>
      <c r="CC7" s="59">
        <f t="shared" si="11"/>
        <v>247.36330101900032</v>
      </c>
      <c r="CD7" s="59">
        <f ca="1">AVERAGE(OFFSET($CC$3,0,0,'Données projet'!$E$12+1,1))-AVERAGE(OFFSET($H$3,0,0,'Données projet'!$E$12+1,1))</f>
        <v>462.09240749760784</v>
      </c>
      <c r="CE7" s="59">
        <f t="shared" si="40"/>
        <v>403.52202223463337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</v>
      </c>
      <c r="CT7" s="12">
        <f>IF('Données projet'!$A$140&gt;35,CT6+CS7-DB6,IF(A7&lt;'Données projet'!$A$140,$CQ$205^A7,IF(A7='Données projet'!$A$140,'Données projet'!$B$140,CT6+CS7-DB6)))</f>
        <v>2.6867397897856629</v>
      </c>
      <c r="CU7" s="17">
        <f>CT7*VLOOKUP('Données projet'!$B$13,Paramètres!$A$1:$I$89,3,0)*VLOOKUP('Données projet'!$B$13,Paramètres!$A$1:$I$89,5,0)</f>
        <v>1.2573942216196903</v>
      </c>
      <c r="CV7" s="13">
        <f t="shared" si="41"/>
        <v>0.56421554454586698</v>
      </c>
      <c r="CW7" s="20">
        <f t="shared" si="13"/>
        <v>3.1726370094050123</v>
      </c>
      <c r="CX7" s="59">
        <f t="shared" si="14"/>
        <v>245.92491719685725</v>
      </c>
      <c r="CY7" s="59">
        <f ca="1">AVERAGE(OFFSET($CX$3,0,0,'Données projet'!$E$13+1,1))-AVERAGE(OFFSET($H$3,0,0,'Données projet'!$E$13+1,1))</f>
        <v>319.88925869887464</v>
      </c>
      <c r="CZ7" s="59">
        <f t="shared" si="42"/>
        <v>258.2857172412098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3.2373333333333334</v>
      </c>
      <c r="DO7" s="12">
        <f>IF('Données projet'!$A$166&gt;35,DO6+DN7-DW6,IF(A7&lt;'Données projet'!$A$166,$DL$205^A7,IF(A7='Données projet'!$A$166,'Données projet'!$B$166,DO6+DN7-DW6)))</f>
        <v>2.8162701635848579</v>
      </c>
      <c r="DP7" s="17">
        <f>DO7*VLOOKUP('Données projet'!$B$14,Paramètres!$A$1:$I$89,3,0)*VLOOKUP('Données projet'!$B$14,Paramètres!$A$1:$I$89,5,0)</f>
        <v>1.6841295578237452</v>
      </c>
      <c r="DQ7" s="13">
        <f t="shared" si="43"/>
        <v>0.73042807075753979</v>
      </c>
      <c r="DR7" s="20">
        <f t="shared" si="16"/>
        <v>4.2053545364457383</v>
      </c>
      <c r="DS7" s="59">
        <f t="shared" si="17"/>
        <v>246.95763472389797</v>
      </c>
      <c r="DT7" s="59">
        <f ca="1">AVERAGE(OFFSET($DS$3,0,0,'Données projet'!$E$14+1,1))-AVERAGE(OFFSET($H$3,0,0,'Données projet'!$E$14+1,1))</f>
        <v>443.64905827069435</v>
      </c>
      <c r="DU7" s="59">
        <f t="shared" si="44"/>
        <v>381.14782516862385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12.733333333333333</v>
      </c>
      <c r="EJ7" s="12">
        <f>IF('Données projet'!$A$192&gt;35,EJ6+EI7-ER6,IF(A7&lt;'Données projet'!$A$192,$EG$205^A7,IF(A7='Données projet'!$A$192,'Données projet'!$B$192,EJ6+EI7-ER6)))</f>
        <v>4.0576591669684436</v>
      </c>
      <c r="EK7" s="17">
        <f>EJ7*VLOOKUP('Données projet'!$B$15,Paramètres!$A$1:$I$89,3,0)*VLOOKUP('Données projet'!$B$15,Paramètres!$A$1:$I$89,5,0)</f>
        <v>3.6713700142730477</v>
      </c>
      <c r="EL7" s="13">
        <f t="shared" si="45"/>
        <v>1.4542337647129651</v>
      </c>
      <c r="EM7" s="20">
        <f t="shared" si="19"/>
        <v>8.927093248400638</v>
      </c>
      <c r="EN7" s="59">
        <f t="shared" si="20"/>
        <v>251.67937343585288</v>
      </c>
      <c r="EO7" s="59">
        <f ca="1">AVERAGE(OFFSET($EN$3,0,0,'Données projet'!$E$15+1,1))-AVERAGE(OFFSET($H$3,0,0,'Données projet'!$E$15+1,1))</f>
        <v>504.37890861635196</v>
      </c>
      <c r="EP7" s="59">
        <f t="shared" si="46"/>
        <v>611.82129317522913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1.2</v>
      </c>
      <c r="FE7" s="12">
        <f>IF('Données projet'!$A$218&gt;35,FE6+FD7-FM6,IF(A7&lt;'Données projet'!$A$218,$FB$205^A7,IF(A7='Données projet'!$A$218,'Données projet'!$B$218,FE6+FD7-FM6)))</f>
        <v>1.7232147397057538</v>
      </c>
      <c r="FF7" s="17">
        <f>FE7*VLOOKUP('Données projet'!$B$16,Paramètres!$A$1:$I$89,3,0)*VLOOKUP('Données projet'!$B$16,Paramètres!$A$1:$I$89,5,0)</f>
        <v>1.8548683458192732</v>
      </c>
      <c r="FG7" s="13">
        <f t="shared" si="47"/>
        <v>0.79548777725536501</v>
      </c>
      <c r="FH7" s="20">
        <f t="shared" si="22"/>
        <v>4.6160369143549937</v>
      </c>
      <c r="FI7" s="59">
        <f t="shared" si="23"/>
        <v>247.36831710180724</v>
      </c>
      <c r="FJ7" s="59">
        <f ca="1">AVERAGE(OFFSET($FI$3,0,0,'Données projet'!$E$16+1,1))-AVERAGE(OFFSET($H$3,0,0,'Données projet'!$E$16+1,1))</f>
        <v>334.01098870576732</v>
      </c>
      <c r="FK7" s="59">
        <f t="shared" si="48"/>
        <v>171.1802153303471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2.4666666666666668</v>
      </c>
      <c r="FZ7" s="12">
        <f>IF('Données projet'!$A$244&gt;35,FZ6+FY7-GH6,IF(A7&lt;'Données projet'!$A$244,$FW$205^A7,IF(A7='Données projet'!$A$244,'Données projet'!$B$244,FZ6+FY7-GH6)))</f>
        <v>2.6193113595857573</v>
      </c>
      <c r="GA7" s="17">
        <f>FZ7*VLOOKUP('Données projet'!$B$17,Paramètres!$A$1:$I$89,3,0)*VLOOKUP('Données projet'!$B$17,Paramètres!$A$1:$I$89,5,0)</f>
        <v>2.2882304037341177</v>
      </c>
      <c r="GB7" s="13">
        <f t="shared" si="49"/>
        <v>0.95764830769786036</v>
      </c>
      <c r="GC7" s="20">
        <f t="shared" si="25"/>
        <v>5.6532387557440282</v>
      </c>
      <c r="GD7" s="59">
        <f t="shared" si="26"/>
        <v>248.40551894319628</v>
      </c>
      <c r="GE7" s="59">
        <f ca="1">AVERAGE(OFFSET($GD$3,0,0,'Données projet'!$E$17+1,1))-AVERAGE(OFFSET($H$3,0,0,'Données projet'!$E$17+1,1))</f>
        <v>330.12856974146598</v>
      </c>
      <c r="GF7" s="59">
        <f t="shared" si="50"/>
        <v>321.23368446552286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64.871833990517288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2.1</v>
      </c>
      <c r="GU7" s="12">
        <f>IF('Données projet'!$A$270&gt;35,GU6+GT7-HC6,IF(A7&lt;'Données projet'!$A$270,$GR$205^A7,IF(A7='Données projet'!$A$270,'Données projet'!$B$270,GU6+GT7-HC6)))</f>
        <v>2.1117857649667546</v>
      </c>
      <c r="GV7" s="17">
        <f>GU7*VLOOKUP('Données projet'!$B$18,Paramètres!$A$1:$I$89,3,0)*VLOOKUP('Données projet'!$B$18,Paramètres!$A$1:$I$89,5,0)</f>
        <v>1.4165858911396991</v>
      </c>
      <c r="GW7" s="13">
        <f t="shared" si="51"/>
        <v>0.62688849849634942</v>
      </c>
      <c r="GX7" s="20">
        <f t="shared" si="28"/>
        <v>3.5590512286161178</v>
      </c>
      <c r="GY7" s="59">
        <f t="shared" si="29"/>
        <v>246.31133141606836</v>
      </c>
      <c r="GZ7" s="59">
        <f ca="1">AVERAGE(OFFSET($GY$3,0,0,'Données projet'!$E$18+1,1))-AVERAGE(OFFSET($H$3,0,0,'Données projet'!$E$18+1,1))</f>
        <v>296.67751292332753</v>
      </c>
      <c r="HA7" s="59">
        <f t="shared" si="52"/>
        <v>197.99510031603018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1.1000000000000001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4.0333333333333341</v>
      </c>
      <c r="H8" s="67">
        <f t="shared" si="1"/>
        <v>240.5333333333333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250.80250503855055</v>
      </c>
      <c r="S8" s="59">
        <f ca="1">AVERAGE(OFFSET($R$3,0,0,'Données projet'!$E$9+1,1))-AVERAGE(OFFSET($H$3,0,0,'Données projet'!$E$9+1,1))</f>
        <v>461.20962581398715</v>
      </c>
      <c r="T8" s="59">
        <f t="shared" si="34"/>
        <v>348.44322874953923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251.55921688532763</v>
      </c>
      <c r="AN8" s="59">
        <f ca="1">AVERAGE(OFFSET($AM$3,0,0,'Données projet'!$E$10+1,1))-AVERAGE(OFFSET($H$3,0,0,'Données projet'!$E$10+1,1))</f>
        <v>510.86584023875525</v>
      </c>
      <c r="AO8" s="59">
        <f t="shared" si="36"/>
        <v>384.62921487244125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1.6</v>
      </c>
      <c r="BD8" s="12">
        <f>IF('Données projet'!$A$88&gt;35,BD7+BC8-BL7,IF(A8&lt;'Données projet'!$A$88,$BA$205^A8,IF(A8='Données projet'!$A$88,'Données projet'!$B$88,BD7+BC8-BL7)))</f>
        <v>2.3784142300054416</v>
      </c>
      <c r="BE8" s="13">
        <f>BD8*VLOOKUP('Données projet'!$B$11,Paramètres!$A$1:$I$89,3,0)*VLOOKUP('Données projet'!$B$11,Paramètres!$A$1:$I$89,5,0)</f>
        <v>1.7438533134399898</v>
      </c>
      <c r="BF8" s="13">
        <f t="shared" si="37"/>
        <v>0.75326928201465837</v>
      </c>
      <c r="BG8" s="20">
        <f t="shared" si="7"/>
        <v>4.3491551870835119</v>
      </c>
      <c r="BH8" s="59">
        <f t="shared" si="8"/>
        <v>248.6498523865686</v>
      </c>
      <c r="BI8" s="59">
        <f ca="1">AVERAGE(OFFSET($BH$3,0,0,'Données projet'!$E$11+1,1))-AVERAGE(OFFSET($H$3,0,0,'Données projet'!$E$11+1,1))</f>
        <v>201.7253431547006</v>
      </c>
      <c r="BJ8" s="59">
        <f t="shared" si="38"/>
        <v>229.70004720044096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</v>
      </c>
      <c r="BY8" s="12">
        <f>IF('Données projet'!$A$114&gt;35,BY7+BX8-CG7,IF(A8&lt;'Données projet'!$A$114,$BV$205^A8,IF(A8='Données projet'!$A$114,'Données projet'!$B$114,BY7+BX8-CG7)))</f>
        <v>4.4721359549995778</v>
      </c>
      <c r="BZ8" s="13">
        <f>BY8*VLOOKUP('Données projet'!$B$12,Paramètres!$A$1:$I$89,3,0)*VLOOKUP('Données projet'!$B$12,Paramètres!$A$1:$I$89,5,0)</f>
        <v>2.4999239988447641</v>
      </c>
      <c r="CA8" s="13">
        <f t="shared" si="39"/>
        <v>1.035524051396568</v>
      </c>
      <c r="CB8" s="20">
        <f t="shared" si="10"/>
        <v>6.1575720208369864</v>
      </c>
      <c r="CC8" s="59">
        <f t="shared" si="11"/>
        <v>250.45826922032208</v>
      </c>
      <c r="CD8" s="59">
        <f ca="1">AVERAGE(OFFSET($CC$3,0,0,'Données projet'!$E$12+1,1))-AVERAGE(OFFSET($H$3,0,0,'Données projet'!$E$12+1,1))</f>
        <v>462.09240749760784</v>
      </c>
      <c r="CE8" s="59">
        <f t="shared" si="40"/>
        <v>403.52202223463337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</v>
      </c>
      <c r="CT8" s="12">
        <f>IF('Données projet'!$A$140&gt;35,CT7+CS8-DB7,IF(A8&lt;'Données projet'!$A$140,$CQ$205^A8,IF(A8='Données projet'!$A$140,'Données projet'!$B$140,CT7+CS8-DB7)))</f>
        <v>3.4397906282503903</v>
      </c>
      <c r="CU8" s="17">
        <f>CT8*VLOOKUP('Données projet'!$B$13,Paramètres!$A$1:$I$89,3,0)*VLOOKUP('Données projet'!$B$13,Paramètres!$A$1:$I$89,5,0)</f>
        <v>1.6098220140211825</v>
      </c>
      <c r="CV8" s="13">
        <f t="shared" si="41"/>
        <v>0.70187695571286812</v>
      </c>
      <c r="CW8" s="20">
        <f t="shared" si="13"/>
        <v>4.0262090389534713</v>
      </c>
      <c r="CX8" s="59">
        <f t="shared" si="14"/>
        <v>248.32690623843857</v>
      </c>
      <c r="CY8" s="59">
        <f ca="1">AVERAGE(OFFSET($CX$3,0,0,'Données projet'!$E$13+1,1))-AVERAGE(OFFSET($H$3,0,0,'Données projet'!$E$13+1,1))</f>
        <v>319.88925869887464</v>
      </c>
      <c r="CZ8" s="59">
        <f t="shared" si="42"/>
        <v>258.2857172412098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3.2373333333333334</v>
      </c>
      <c r="DO8" s="12">
        <f>IF('Données projet'!$A$166&gt;35,DO7+DN8-DW7,IF(A8&lt;'Données projet'!$A$166,$DL$205^A8,IF(A8='Données projet'!$A$166,'Données projet'!$B$166,DO7+DN8-DW7)))</f>
        <v>3.648319737031037</v>
      </c>
      <c r="DP8" s="17">
        <f>DO8*VLOOKUP('Données projet'!$B$14,Paramètres!$A$1:$I$89,3,0)*VLOOKUP('Données projet'!$B$14,Paramètres!$A$1:$I$89,5,0)</f>
        <v>2.1816952027445602</v>
      </c>
      <c r="DQ8" s="13">
        <f t="shared" si="43"/>
        <v>0.91814338804821549</v>
      </c>
      <c r="DR8" s="20">
        <f t="shared" si="16"/>
        <v>5.3988855456307512</v>
      </c>
      <c r="DS8" s="59">
        <f t="shared" si="17"/>
        <v>249.69958274511583</v>
      </c>
      <c r="DT8" s="59">
        <f ca="1">AVERAGE(OFFSET($DS$3,0,0,'Données projet'!$E$14+1,1))-AVERAGE(OFFSET($H$3,0,0,'Données projet'!$E$14+1,1))</f>
        <v>443.64905827069435</v>
      </c>
      <c r="DU8" s="59">
        <f t="shared" si="44"/>
        <v>381.14782516862385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12.733333333333333</v>
      </c>
      <c r="EJ8" s="12">
        <f>IF('Données projet'!$A$192&gt;35,EJ7+EI8-ER7,IF(A8&lt;'Données projet'!$A$192,$EG$205^A8,IF(A8='Données projet'!$A$192,'Données projet'!$B$192,EJ7+EI8-ER7)))</f>
        <v>5.758965220492402</v>
      </c>
      <c r="EK8" s="17">
        <f>EJ8*VLOOKUP('Données projet'!$B$15,Paramètres!$A$1:$I$89,3,0)*VLOOKUP('Données projet'!$B$15,Paramètres!$A$1:$I$89,5,0)</f>
        <v>5.210711731501525</v>
      </c>
      <c r="EL8" s="13">
        <f t="shared" si="45"/>
        <v>1.9815375024986563</v>
      </c>
      <c r="EM8" s="20">
        <f t="shared" si="19"/>
        <v>12.526500749216984</v>
      </c>
      <c r="EN8" s="59">
        <f t="shared" si="20"/>
        <v>256.82719794870206</v>
      </c>
      <c r="EO8" s="59">
        <f ca="1">AVERAGE(OFFSET($EN$3,0,0,'Données projet'!$E$15+1,1))-AVERAGE(OFFSET($H$3,0,0,'Données projet'!$E$15+1,1))</f>
        <v>504.37890861635196</v>
      </c>
      <c r="EP8" s="59">
        <f t="shared" si="46"/>
        <v>611.82129317522913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1.2</v>
      </c>
      <c r="FE8" s="12">
        <f>IF('Données projet'!$A$218&gt;35,FE7+FD8-FM7,IF(A8&lt;'Données projet'!$A$218,$FB$205^A8,IF(A8='Données projet'!$A$218,'Données projet'!$B$218,FE7+FD8-FM7)))</f>
        <v>1.9743504858348202</v>
      </c>
      <c r="FF8" s="17">
        <f>FE8*VLOOKUP('Données projet'!$B$16,Paramètres!$A$1:$I$89,3,0)*VLOOKUP('Données projet'!$B$16,Paramètres!$A$1:$I$89,5,0)</f>
        <v>2.1251908629526004</v>
      </c>
      <c r="FG8" s="13">
        <f t="shared" si="47"/>
        <v>0.89710005785748825</v>
      </c>
      <c r="FH8" s="20">
        <f t="shared" si="22"/>
        <v>5.2638233537442369</v>
      </c>
      <c r="FI8" s="59">
        <f t="shared" si="23"/>
        <v>249.56452055322933</v>
      </c>
      <c r="FJ8" s="59">
        <f ca="1">AVERAGE(OFFSET($FI$3,0,0,'Données projet'!$E$16+1,1))-AVERAGE(OFFSET($H$3,0,0,'Données projet'!$E$16+1,1))</f>
        <v>334.01098870576732</v>
      </c>
      <c r="FK8" s="59">
        <f t="shared" si="48"/>
        <v>171.1802153303471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2.4666666666666668</v>
      </c>
      <c r="FZ8" s="12">
        <f>IF('Données projet'!$A$244&gt;35,FZ7+FY8-GH7,IF(A8&lt;'Données projet'!$A$244,$FW$205^A8,IF(A8='Données projet'!$A$244,'Données projet'!$B$244,FZ7+FY8-GH7)))</f>
        <v>3.332221851645953</v>
      </c>
      <c r="GA8" s="17">
        <f>FZ8*VLOOKUP('Données projet'!$B$17,Paramètres!$A$1:$I$89,3,0)*VLOOKUP('Données projet'!$B$17,Paramètres!$A$1:$I$89,5,0)</f>
        <v>2.9110290095979048</v>
      </c>
      <c r="GB8" s="13">
        <f t="shared" si="49"/>
        <v>1.1846323324451606</v>
      </c>
      <c r="GC8" s="20">
        <f t="shared" si="25"/>
        <v>7.133276837391672</v>
      </c>
      <c r="GD8" s="59">
        <f t="shared" si="26"/>
        <v>251.43397403687675</v>
      </c>
      <c r="GE8" s="59">
        <f ca="1">AVERAGE(OFFSET($GD$3,0,0,'Données projet'!$E$17+1,1))-AVERAGE(OFFSET($H$3,0,0,'Données projet'!$E$17+1,1))</f>
        <v>330.12856974146598</v>
      </c>
      <c r="GF8" s="59">
        <f t="shared" si="50"/>
        <v>321.23368446552286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64.960796205920175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2.1</v>
      </c>
      <c r="GU8" s="12">
        <f>IF('Données projet'!$A$270&gt;35,GU7+GT8-HC7,IF(A8&lt;'Données projet'!$A$270,$GR$205^A8,IF(A8='Données projet'!$A$270,'Données projet'!$B$270,GU7+GT8-HC7)))</f>
        <v>2.5457298950218314</v>
      </c>
      <c r="GV8" s="17">
        <f>GU8*VLOOKUP('Données projet'!$B$18,Paramètres!$A$1:$I$89,3,0)*VLOOKUP('Données projet'!$B$18,Paramètres!$A$1:$I$89,5,0)</f>
        <v>1.7076756135806446</v>
      </c>
      <c r="GW8" s="13">
        <f t="shared" si="51"/>
        <v>0.73944428304023568</v>
      </c>
      <c r="GX8" s="20">
        <f t="shared" si="28"/>
        <v>4.2620671532813672</v>
      </c>
      <c r="GY8" s="59">
        <f t="shared" si="29"/>
        <v>248.56276435276646</v>
      </c>
      <c r="GZ8" s="59">
        <f ca="1">AVERAGE(OFFSET($GY$3,0,0,'Données projet'!$E$18+1,1))-AVERAGE(OFFSET($H$3,0,0,'Données projet'!$E$18+1,1))</f>
        <v>296.67751292332753</v>
      </c>
      <c r="HA8" s="59">
        <f t="shared" si="52"/>
        <v>197.99510031603018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1.1000000000000001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4.0333333333333341</v>
      </c>
      <c r="H9" s="67">
        <f t="shared" si="1"/>
        <v>240.5333333333333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253.84302290447974</v>
      </c>
      <c r="S9" s="59">
        <f ca="1">AVERAGE(OFFSET($R$3,0,0,'Données projet'!$E$9+1,1))-AVERAGE(OFFSET($H$3,0,0,'Données projet'!$E$9+1,1))</f>
        <v>461.20962581398715</v>
      </c>
      <c r="T9" s="59">
        <f t="shared" si="34"/>
        <v>348.44322874953923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254.77465727632674</v>
      </c>
      <c r="AN9" s="59">
        <f ca="1">AVERAGE(OFFSET($AM$3,0,0,'Données projet'!$E$10+1,1))-AVERAGE(OFFSET($H$3,0,0,'Données projet'!$E$10+1,1))</f>
        <v>510.86584023875525</v>
      </c>
      <c r="AO9" s="59">
        <f t="shared" si="36"/>
        <v>384.62921487244125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1.6</v>
      </c>
      <c r="BD9" s="12">
        <f>IF('Données projet'!$A$88&gt;35,BD8+BC9-BL8,IF(A9&lt;'Données projet'!$A$88,$BA$205^A9,IF(A9='Données projet'!$A$88,'Données projet'!$B$88,BD8+BC9-BL8)))</f>
        <v>2.8284271247461894</v>
      </c>
      <c r="BE9" s="13">
        <f>BD9*VLOOKUP('Données projet'!$B$11,Paramètres!$A$1:$I$89,3,0)*VLOOKUP('Données projet'!$B$11,Paramètres!$A$1:$I$89,5,0)</f>
        <v>2.0738027678639059</v>
      </c>
      <c r="BF9" s="13">
        <f t="shared" si="37"/>
        <v>0.87790552759418894</v>
      </c>
      <c r="BG9" s="20">
        <f t="shared" si="7"/>
        <v>5.1408919479228485</v>
      </c>
      <c r="BH9" s="59">
        <f t="shared" si="8"/>
        <v>250.98434740909983</v>
      </c>
      <c r="BI9" s="59">
        <f ca="1">AVERAGE(OFFSET($BH$3,0,0,'Données projet'!$E$11+1,1))-AVERAGE(OFFSET($H$3,0,0,'Données projet'!$E$11+1,1))</f>
        <v>201.7253431547006</v>
      </c>
      <c r="BJ9" s="59">
        <f t="shared" si="38"/>
        <v>229.70004720044096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</v>
      </c>
      <c r="BY9" s="12">
        <f>IF('Données projet'!$A$114&gt;35,BY8+BX9-CG8,IF(A9&lt;'Données projet'!$A$114,$BV$205^A9,IF(A9='Données projet'!$A$114,'Données projet'!$B$114,BY8+BX9-CG8)))</f>
        <v>6.0341763365451611</v>
      </c>
      <c r="BZ9" s="13">
        <f>BY9*VLOOKUP('Données projet'!$B$12,Paramètres!$A$1:$I$89,3,0)*VLOOKUP('Données projet'!$B$12,Paramètres!$A$1:$I$89,5,0)</f>
        <v>3.3731045721287449</v>
      </c>
      <c r="CA9" s="13">
        <f t="shared" si="39"/>
        <v>1.3493331832895774</v>
      </c>
      <c r="CB9" s="20">
        <f t="shared" si="10"/>
        <v>8.2249124240202445</v>
      </c>
      <c r="CC9" s="59">
        <f t="shared" si="11"/>
        <v>254.0683678851972</v>
      </c>
      <c r="CD9" s="59">
        <f ca="1">AVERAGE(OFFSET($CC$3,0,0,'Données projet'!$E$12+1,1))-AVERAGE(OFFSET($H$3,0,0,'Données projet'!$E$12+1,1))</f>
        <v>462.09240749760784</v>
      </c>
      <c r="CE9" s="59">
        <f t="shared" si="40"/>
        <v>403.52202223463337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</v>
      </c>
      <c r="CT9" s="12">
        <f>IF('Données projet'!$A$140&gt;35,CT8+CS9-DB8,IF(A9&lt;'Données projet'!$A$140,$CQ$205^A9,IF(A9='Données projet'!$A$140,'Données projet'!$B$140,CT8+CS9-DB8)))</f>
        <v>4.4039097538147285</v>
      </c>
      <c r="CU9" s="17">
        <f>CT9*VLOOKUP('Données projet'!$B$13,Paramètres!$A$1:$I$89,3,0)*VLOOKUP('Données projet'!$B$13,Paramètres!$A$1:$I$89,5,0)</f>
        <v>2.0610297647852929</v>
      </c>
      <c r="CV9" s="13">
        <f t="shared" si="41"/>
        <v>0.87312599896069631</v>
      </c>
      <c r="CW9" s="20">
        <f t="shared" si="13"/>
        <v>5.1103212885242639</v>
      </c>
      <c r="CX9" s="59">
        <f t="shared" si="14"/>
        <v>250.95377674970123</v>
      </c>
      <c r="CY9" s="59">
        <f ca="1">AVERAGE(OFFSET($CX$3,0,0,'Données projet'!$E$13+1,1))-AVERAGE(OFFSET($H$3,0,0,'Données projet'!$E$13+1,1))</f>
        <v>319.88925869887464</v>
      </c>
      <c r="CZ9" s="59">
        <f t="shared" si="42"/>
        <v>258.2857172412098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3.2373333333333334</v>
      </c>
      <c r="DO9" s="12">
        <f>IF('Données projet'!$A$166&gt;35,DO8+DN9-DW8,IF(A9&lt;'Données projet'!$A$166,$DL$205^A9,IF(A9='Données projet'!$A$166,'Données projet'!$B$166,DO8+DN9-DW8)))</f>
        <v>4.7261932025255282</v>
      </c>
      <c r="DP9" s="17">
        <f>DO9*VLOOKUP('Données projet'!$B$14,Paramètres!$A$1:$I$89,3,0)*VLOOKUP('Données projet'!$B$14,Paramètres!$A$1:$I$89,5,0)</f>
        <v>2.8262635351102658</v>
      </c>
      <c r="DQ9" s="13">
        <f t="shared" si="43"/>
        <v>1.1541003348110361</v>
      </c>
      <c r="DR9" s="20">
        <f t="shared" si="16"/>
        <v>6.9324670734462677</v>
      </c>
      <c r="DS9" s="59">
        <f t="shared" si="17"/>
        <v>252.77592253462325</v>
      </c>
      <c r="DT9" s="59">
        <f ca="1">AVERAGE(OFFSET($DS$3,0,0,'Données projet'!$E$14+1,1))-AVERAGE(OFFSET($H$3,0,0,'Données projet'!$E$14+1,1))</f>
        <v>443.64905827069435</v>
      </c>
      <c r="DU9" s="59">
        <f t="shared" si="44"/>
        <v>381.14782516862385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12.733333333333333</v>
      </c>
      <c r="EJ9" s="12">
        <f>IF('Données projet'!$A$192&gt;35,EJ8+EI9-ER8,IF(A9&lt;'Données projet'!$A$192,$EG$205^A9,IF(A9='Données projet'!$A$192,'Données projet'!$B$192,EJ8+EI9-ER8)))</f>
        <v>8.1735993700081586</v>
      </c>
      <c r="EK9" s="17">
        <f>EJ9*VLOOKUP('Données projet'!$B$15,Paramètres!$A$1:$I$89,3,0)*VLOOKUP('Données projet'!$B$15,Paramètres!$A$1:$I$89,5,0)</f>
        <v>7.3954727099833821</v>
      </c>
      <c r="EL9" s="13">
        <f t="shared" si="45"/>
        <v>2.7000410587933352</v>
      </c>
      <c r="EM9" s="20">
        <f t="shared" si="19"/>
        <v>17.583019813952781</v>
      </c>
      <c r="EN9" s="59">
        <f t="shared" si="20"/>
        <v>263.42647527512975</v>
      </c>
      <c r="EO9" s="59">
        <f ca="1">AVERAGE(OFFSET($EN$3,0,0,'Données projet'!$E$15+1,1))-AVERAGE(OFFSET($H$3,0,0,'Données projet'!$E$15+1,1))</f>
        <v>504.37890861635196</v>
      </c>
      <c r="EP9" s="59">
        <f t="shared" si="46"/>
        <v>611.82129317522913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1.2</v>
      </c>
      <c r="FE9" s="12">
        <f>IF('Données projet'!$A$218&gt;35,FE8+FD9-FM8,IF(A9&lt;'Données projet'!$A$218,$FB$205^A9,IF(A9='Données projet'!$A$218,'Données projet'!$B$218,FE8+FD9-FM8)))</f>
        <v>2.2620859438457455</v>
      </c>
      <c r="FF9" s="17">
        <f>FE9*VLOOKUP('Données projet'!$B$16,Paramètres!$A$1:$I$89,3,0)*VLOOKUP('Données projet'!$B$16,Paramètres!$A$1:$I$89,5,0)</f>
        <v>2.4349093099555601</v>
      </c>
      <c r="FG9" s="13">
        <f t="shared" si="47"/>
        <v>1.0116918660706939</v>
      </c>
      <c r="FH9" s="20">
        <f t="shared" si="22"/>
        <v>6.0028303815790593</v>
      </c>
      <c r="FI9" s="59">
        <f t="shared" si="23"/>
        <v>251.84628584275603</v>
      </c>
      <c r="FJ9" s="59">
        <f ca="1">AVERAGE(OFFSET($FI$3,0,0,'Données projet'!$E$16+1,1))-AVERAGE(OFFSET($H$3,0,0,'Données projet'!$E$16+1,1))</f>
        <v>334.01098870576732</v>
      </c>
      <c r="FK9" s="59">
        <f t="shared" si="48"/>
        <v>171.1802153303471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2.4666666666666668</v>
      </c>
      <c r="FZ9" s="12">
        <f>IF('Données projet'!$A$244&gt;35,FZ8+FY9-GH8,IF(A9&lt;'Données projet'!$A$244,$FW$205^A9,IF(A9='Données projet'!$A$244,'Données projet'!$B$244,FZ8+FY9-GH8)))</f>
        <v>4.2391685997738069</v>
      </c>
      <c r="GA9" s="17">
        <f>FZ9*VLOOKUP('Données projet'!$B$17,Paramètres!$A$1:$I$89,3,0)*VLOOKUP('Données projet'!$B$17,Paramètres!$A$1:$I$89,5,0)</f>
        <v>3.7033376887623981</v>
      </c>
      <c r="GB9" s="13">
        <f t="shared" si="49"/>
        <v>1.4654166376047331</v>
      </c>
      <c r="GC9" s="20">
        <f t="shared" si="25"/>
        <v>9.002247118422753</v>
      </c>
      <c r="GD9" s="59">
        <f t="shared" si="26"/>
        <v>254.84570257959973</v>
      </c>
      <c r="GE9" s="59">
        <f ca="1">AVERAGE(OFFSET($GD$3,0,0,'Données projet'!$E$17+1,1))-AVERAGE(OFFSET($H$3,0,0,'Données projet'!$E$17+1,1))</f>
        <v>330.12856974146598</v>
      </c>
      <c r="GF9" s="59">
        <f t="shared" si="50"/>
        <v>321.23368446552286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65.048215125775542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2.1</v>
      </c>
      <c r="GU9" s="12">
        <f>IF('Données projet'!$A$270&gt;35,GU8+GT9-HC8,IF(A9&lt;'Données projet'!$A$270,$GR$205^A9,IF(A9='Données projet'!$A$270,'Données projet'!$B$270,GU8+GT9-HC8)))</f>
        <v>3.0688438220956993</v>
      </c>
      <c r="GV9" s="17">
        <f>GU9*VLOOKUP('Données projet'!$B$18,Paramètres!$A$1:$I$89,3,0)*VLOOKUP('Données projet'!$B$18,Paramètres!$A$1:$I$89,5,0)</f>
        <v>2.0585804358617952</v>
      </c>
      <c r="GW9" s="13">
        <f t="shared" si="51"/>
        <v>0.87220909146105896</v>
      </c>
      <c r="GX9" s="20">
        <f t="shared" si="28"/>
        <v>5.104458426753971</v>
      </c>
      <c r="GY9" s="59">
        <f t="shared" si="29"/>
        <v>250.94791388793095</v>
      </c>
      <c r="GZ9" s="59">
        <f ca="1">AVERAGE(OFFSET($GY$3,0,0,'Données projet'!$E$18+1,1))-AVERAGE(OFFSET($H$3,0,0,'Données projet'!$E$18+1,1))</f>
        <v>296.67751292332753</v>
      </c>
      <c r="HA9" s="59">
        <f t="shared" si="52"/>
        <v>197.99510031603018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1.1000000000000001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4.0333333333333341</v>
      </c>
      <c r="H10" s="67">
        <f t="shared" si="1"/>
        <v>240.5333333333333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257.2242591486181</v>
      </c>
      <c r="S10" s="59">
        <f ca="1">AVERAGE(OFFSET($R$3,0,0,'Données projet'!$E$9+1,1))-AVERAGE(OFFSET($H$3,0,0,'Données projet'!$E$9+1,1))</f>
        <v>461.20962581398715</v>
      </c>
      <c r="T10" s="59">
        <f t="shared" si="34"/>
        <v>348.44322874953923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258.3713891492979</v>
      </c>
      <c r="AN10" s="59">
        <f ca="1">AVERAGE(OFFSET($AM$3,0,0,'Données projet'!$E$10+1,1))-AVERAGE(OFFSET($H$3,0,0,'Données projet'!$E$10+1,1))</f>
        <v>510.86584023875525</v>
      </c>
      <c r="AO10" s="59">
        <f t="shared" si="36"/>
        <v>384.62921487244125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1.6</v>
      </c>
      <c r="BD10" s="12">
        <f>IF('Données projet'!$A$88&gt;35,BD9+BC10-BL9,IF(A10&lt;'Données projet'!$A$88,$BA$205^A10,IF(A10='Données projet'!$A$88,'Données projet'!$B$88,BD9+BC10-BL9)))</f>
        <v>3.3635856610148567</v>
      </c>
      <c r="BE10" s="13">
        <f>BD10*VLOOKUP('Données projet'!$B$11,Paramètres!$A$1:$I$89,3,0)*VLOOKUP('Données projet'!$B$11,Paramètres!$A$1:$I$89,5,0)</f>
        <v>2.4661810066560927</v>
      </c>
      <c r="BF10" s="13">
        <f t="shared" si="37"/>
        <v>1.0231641376893863</v>
      </c>
      <c r="BG10" s="20">
        <f t="shared" si="7"/>
        <v>6.077276126401709</v>
      </c>
      <c r="BH10" s="59">
        <f t="shared" si="8"/>
        <v>253.45792926559699</v>
      </c>
      <c r="BI10" s="59">
        <f ca="1">AVERAGE(OFFSET($BH$3,0,0,'Données projet'!$E$11+1,1))-AVERAGE(OFFSET($H$3,0,0,'Données projet'!$E$11+1,1))</f>
        <v>201.7253431547006</v>
      </c>
      <c r="BJ10" s="59">
        <f t="shared" si="38"/>
        <v>229.70004720044096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</v>
      </c>
      <c r="BY10" s="12">
        <f>IF('Données projet'!$A$114&gt;35,BY9+BX10-CG9,IF(A10&lt;'Données projet'!$A$114,$BV$205^A10,IF(A10='Données projet'!$A$114,'Données projet'!$B$114,BY9+BX10-CG9)))</f>
        <v>8.1418106307380835</v>
      </c>
      <c r="BZ10" s="13">
        <f>BY10*VLOOKUP('Données projet'!$B$12,Paramètres!$A$1:$I$89,3,0)*VLOOKUP('Données projet'!$B$12,Paramètres!$A$1:$I$89,5,0)</f>
        <v>4.5512721425825893</v>
      </c>
      <c r="CA10" s="13">
        <f t="shared" si="39"/>
        <v>1.7582402234606553</v>
      </c>
      <c r="CB10" s="20">
        <f t="shared" si="10"/>
        <v>10.989067370858649</v>
      </c>
      <c r="CC10" s="59">
        <f t="shared" si="11"/>
        <v>258.36972051005392</v>
      </c>
      <c r="CD10" s="59">
        <f ca="1">AVERAGE(OFFSET($CC$3,0,0,'Données projet'!$E$12+1,1))-AVERAGE(OFFSET($H$3,0,0,'Données projet'!$E$12+1,1))</f>
        <v>462.09240749760784</v>
      </c>
      <c r="CE10" s="59">
        <f t="shared" si="40"/>
        <v>403.52202223463337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</v>
      </c>
      <c r="CT10" s="12">
        <f>IF('Données projet'!$A$140&gt;35,CT9+CS10-DB9,IF(A10&lt;'Données projet'!$A$140,$CQ$205^A10,IF(A10='Données projet'!$A$140,'Données projet'!$B$140,CT9+CS10-DB9)))</f>
        <v>5.6382562823625264</v>
      </c>
      <c r="CU10" s="17">
        <f>CT10*VLOOKUP('Données projet'!$B$13,Paramètres!$A$1:$I$89,3,0)*VLOOKUP('Données projet'!$B$13,Paramètres!$A$1:$I$89,5,0)</f>
        <v>2.6387039401456627</v>
      </c>
      <c r="CV10" s="13">
        <f t="shared" si="41"/>
        <v>1.0861576289918606</v>
      </c>
      <c r="CW10" s="20">
        <f t="shared" si="13"/>
        <v>6.4874672329145193</v>
      </c>
      <c r="CX10" s="59">
        <f t="shared" si="14"/>
        <v>253.86812037210981</v>
      </c>
      <c r="CY10" s="59">
        <f ca="1">AVERAGE(OFFSET($CX$3,0,0,'Données projet'!$E$13+1,1))-AVERAGE(OFFSET($H$3,0,0,'Données projet'!$E$13+1,1))</f>
        <v>319.88925869887464</v>
      </c>
      <c r="CZ10" s="59">
        <f t="shared" si="42"/>
        <v>258.2857172412098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3.2373333333333334</v>
      </c>
      <c r="DO10" s="12">
        <f>IF('Données projet'!$A$166&gt;35,DO9+DN10-DW9,IF(A10&lt;'Données projet'!$A$166,$DL$205^A10,IF(A10='Données projet'!$A$166,'Données projet'!$B$166,DO9+DN10-DW9)))</f>
        <v>6.1225177061306688</v>
      </c>
      <c r="DP10" s="17">
        <f>DO10*VLOOKUP('Données projet'!$B$14,Paramètres!$A$1:$I$89,3,0)*VLOOKUP('Données projet'!$B$14,Paramètres!$A$1:$I$89,5,0)</f>
        <v>3.66126558826614</v>
      </c>
      <c r="DQ10" s="13">
        <f t="shared" si="43"/>
        <v>1.4506966996107142</v>
      </c>
      <c r="DR10" s="20">
        <f t="shared" si="16"/>
        <v>8.9033343180521864</v>
      </c>
      <c r="DS10" s="59">
        <f t="shared" si="17"/>
        <v>256.28398745724746</v>
      </c>
      <c r="DT10" s="59">
        <f ca="1">AVERAGE(OFFSET($DS$3,0,0,'Données projet'!$E$14+1,1))-AVERAGE(OFFSET($H$3,0,0,'Données projet'!$E$14+1,1))</f>
        <v>443.64905827069435</v>
      </c>
      <c r="DU10" s="59">
        <f t="shared" si="44"/>
        <v>381.14782516862385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12.733333333333333</v>
      </c>
      <c r="EJ10" s="12">
        <f>IF('Données projet'!$A$192&gt;35,EJ9+EI10-ER9,IF(A10&lt;'Données projet'!$A$192,$EG$205^A10,IF(A10='Données projet'!$A$192,'Données projet'!$B$192,EJ9+EI10-ER9)))</f>
        <v>11.600647703804952</v>
      </c>
      <c r="EK10" s="17">
        <f>EJ10*VLOOKUP('Données projet'!$B$15,Paramètres!$A$1:$I$89,3,0)*VLOOKUP('Données projet'!$B$15,Paramètres!$A$1:$I$89,5,0)</f>
        <v>10.49626604240272</v>
      </c>
      <c r="EL10" s="13">
        <f t="shared" si="45"/>
        <v>3.679073300392798</v>
      </c>
      <c r="EM10" s="20">
        <f t="shared" si="19"/>
        <v>24.688716022035525</v>
      </c>
      <c r="EN10" s="59">
        <f t="shared" si="20"/>
        <v>272.06936916123084</v>
      </c>
      <c r="EO10" s="59">
        <f ca="1">AVERAGE(OFFSET($EN$3,0,0,'Données projet'!$E$15+1,1))-AVERAGE(OFFSET($H$3,0,0,'Données projet'!$E$15+1,1))</f>
        <v>504.37890861635196</v>
      </c>
      <c r="EP10" s="59">
        <f t="shared" si="46"/>
        <v>611.82129317522913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1.2</v>
      </c>
      <c r="FE10" s="12">
        <f>IF('Données projet'!$A$218&gt;35,FE9+FD10-FM9,IF(A10&lt;'Données projet'!$A$218,$FB$205^A10,IF(A10='Données projet'!$A$218,'Données projet'!$B$218,FE9+FD10-FM9)))</f>
        <v>2.5917550374450604</v>
      </c>
      <c r="FF10" s="17">
        <f>FE10*VLOOKUP('Données projet'!$B$16,Paramètres!$A$1:$I$89,3,0)*VLOOKUP('Données projet'!$B$16,Paramètres!$A$1:$I$89,5,0)</f>
        <v>2.7897651223058633</v>
      </c>
      <c r="FG10" s="13">
        <f t="shared" si="47"/>
        <v>1.1409211524498617</v>
      </c>
      <c r="FH10" s="20">
        <f t="shared" si="22"/>
        <v>6.8459452618662198</v>
      </c>
      <c r="FI10" s="59">
        <f t="shared" si="23"/>
        <v>254.22659840106149</v>
      </c>
      <c r="FJ10" s="59">
        <f ca="1">AVERAGE(OFFSET($FI$3,0,0,'Données projet'!$E$16+1,1))-AVERAGE(OFFSET($H$3,0,0,'Données projet'!$E$16+1,1))</f>
        <v>334.01098870576732</v>
      </c>
      <c r="FK10" s="59">
        <f t="shared" si="48"/>
        <v>171.1802153303471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2.4666666666666668</v>
      </c>
      <c r="FZ10" s="12">
        <f>IF('Données projet'!$A$244&gt;35,FZ9+FY10-GH9,IF(A10&lt;'Données projet'!$A$244,$FW$205^A10,IF(A10='Données projet'!$A$244,'Données projet'!$B$244,FZ9+FY10-GH9)))</f>
        <v>5.3929633792034757</v>
      </c>
      <c r="GA10" s="17">
        <f>FZ10*VLOOKUP('Données projet'!$B$17,Paramètres!$A$1:$I$89,3,0)*VLOOKUP('Données projet'!$B$17,Paramètres!$A$1:$I$89,5,0)</f>
        <v>4.711292808072157</v>
      </c>
      <c r="GB10" s="13">
        <f t="shared" si="49"/>
        <v>1.8127530905190552</v>
      </c>
      <c r="GC10" s="20">
        <f t="shared" si="25"/>
        <v>11.362713273379695</v>
      </c>
      <c r="GD10" s="59">
        <f t="shared" si="26"/>
        <v>258.74336641257497</v>
      </c>
      <c r="GE10" s="59">
        <f ca="1">AVERAGE(OFFSET($GD$3,0,0,'Données projet'!$E$17+1,1))-AVERAGE(OFFSET($H$3,0,0,'Données projet'!$E$17+1,1))</f>
        <v>330.12856974146598</v>
      </c>
      <c r="GF10" s="59">
        <f t="shared" si="50"/>
        <v>321.23368446552286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65.13411752281084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2.1</v>
      </c>
      <c r="GU10" s="12">
        <f>IF('Données projet'!$A$270&gt;35,GU9+GT10-HC9,IF(A10&lt;'Données projet'!$A$270,$GR$205^A10,IF(A10='Données projet'!$A$270,'Données projet'!$B$270,GU9+GT10-HC9)))</f>
        <v>3.6994507637402658</v>
      </c>
      <c r="GV10" s="17">
        <f>GU10*VLOOKUP('Données projet'!$B$18,Paramètres!$A$1:$I$89,3,0)*VLOOKUP('Données projet'!$B$18,Paramètres!$A$1:$I$89,5,0)</f>
        <v>2.4815915723169706</v>
      </c>
      <c r="GW10" s="13">
        <f t="shared" si="51"/>
        <v>1.0288113880595531</v>
      </c>
      <c r="GX10" s="20">
        <f t="shared" si="28"/>
        <v>6.1139518226557783</v>
      </c>
      <c r="GY10" s="59">
        <f t="shared" si="29"/>
        <v>253.49460496185105</v>
      </c>
      <c r="GZ10" s="59">
        <f ca="1">AVERAGE(OFFSET($GY$3,0,0,'Données projet'!$E$18+1,1))-AVERAGE(OFFSET($H$3,0,0,'Données projet'!$E$18+1,1))</f>
        <v>296.67751292332753</v>
      </c>
      <c r="HA10" s="59">
        <f t="shared" si="52"/>
        <v>197.99510031603018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1.1000000000000001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4.0333333333333341</v>
      </c>
      <c r="H11" s="67">
        <f t="shared" si="1"/>
        <v>240.5333333333333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261.02664113948106</v>
      </c>
      <c r="S11" s="59">
        <f ca="1">AVERAGE(OFFSET($R$3,0,0,'Données projet'!$E$9+1,1))-AVERAGE(OFFSET($H$3,0,0,'Données projet'!$E$9+1,1))</f>
        <v>461.20962581398715</v>
      </c>
      <c r="T11" s="59">
        <f t="shared" si="34"/>
        <v>348.44322874953923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262.43928052764653</v>
      </c>
      <c r="AN11" s="59">
        <f ca="1">AVERAGE(OFFSET($AM$3,0,0,'Données projet'!$E$10+1,1))-AVERAGE(OFFSET($H$3,0,0,'Données projet'!$E$10+1,1))</f>
        <v>510.86584023875525</v>
      </c>
      <c r="AO11" s="59">
        <f t="shared" si="36"/>
        <v>384.62921487244125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1.6</v>
      </c>
      <c r="BD11" s="12">
        <f>IF('Données projet'!$A$88&gt;35,BD10+BC11-BL10,IF(A11&lt;'Données projet'!$A$88,$BA$205^A11,IF(A11='Données projet'!$A$88,'Données projet'!$B$88,BD10+BC11-BL10)))</f>
        <v>3.9999999999999982</v>
      </c>
      <c r="BE11" s="13">
        <f>BD11*VLOOKUP('Données projet'!$B$11,Paramètres!$A$1:$I$89,3,0)*VLOOKUP('Données projet'!$B$11,Paramètres!$A$1:$I$89,5,0)</f>
        <v>2.9327999999999985</v>
      </c>
      <c r="BF11" s="13">
        <f t="shared" si="37"/>
        <v>1.1924572972247851</v>
      </c>
      <c r="BG11" s="20">
        <f t="shared" si="7"/>
        <v>7.1848231259998316</v>
      </c>
      <c r="BH11" s="59">
        <f t="shared" si="8"/>
        <v>256.09720982323506</v>
      </c>
      <c r="BI11" s="59">
        <f ca="1">AVERAGE(OFFSET($BH$3,0,0,'Données projet'!$E$11+1,1))-AVERAGE(OFFSET($H$3,0,0,'Données projet'!$E$11+1,1))</f>
        <v>201.7253431547006</v>
      </c>
      <c r="BJ11" s="59">
        <f t="shared" si="38"/>
        <v>229.70004720044096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</v>
      </c>
      <c r="BY11" s="12">
        <f>IF('Données projet'!$A$114&gt;35,BY10+BX11-CG10,IF(A11&lt;'Données projet'!$A$114,$BV$205^A11,IF(A11='Données projet'!$A$114,'Données projet'!$B$114,BY10+BX11-CG10)))</f>
        <v>10.985605433061172</v>
      </c>
      <c r="BZ11" s="13">
        <f>BY11*VLOOKUP('Données projet'!$B$12,Paramètres!$A$1:$I$89,3,0)*VLOOKUP('Données projet'!$B$12,Paramètres!$A$1:$I$89,5,0)</f>
        <v>6.1409534370811958</v>
      </c>
      <c r="CA11" s="13">
        <f t="shared" si="39"/>
        <v>2.29106400233806</v>
      </c>
      <c r="CB11" s="20">
        <f t="shared" si="10"/>
        <v>14.685763706988537</v>
      </c>
      <c r="CC11" s="59">
        <f t="shared" si="11"/>
        <v>263.59815040422376</v>
      </c>
      <c r="CD11" s="59">
        <f ca="1">AVERAGE(OFFSET($CC$3,0,0,'Données projet'!$E$12+1,1))-AVERAGE(OFFSET($H$3,0,0,'Données projet'!$E$12+1,1))</f>
        <v>462.09240749760784</v>
      </c>
      <c r="CE11" s="59">
        <f t="shared" si="40"/>
        <v>403.52202223463337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</v>
      </c>
      <c r="CT11" s="12">
        <f>IF('Données projet'!$A$140&gt;35,CT10+CS11-DB10,IF(A11&lt;'Données projet'!$A$140,$CQ$205^A11,IF(A11='Données projet'!$A$140,'Données projet'!$B$140,CT10+CS11-DB10)))</f>
        <v>7.2185706980175075</v>
      </c>
      <c r="CU11" s="17">
        <f>CT11*VLOOKUP('Données projet'!$B$13,Paramètres!$A$1:$I$89,3,0)*VLOOKUP('Données projet'!$B$13,Paramètres!$A$1:$I$89,5,0)</f>
        <v>3.3782910866721938</v>
      </c>
      <c r="CV11" s="13">
        <f t="shared" si="41"/>
        <v>1.3511662651455716</v>
      </c>
      <c r="CW11" s="20">
        <f t="shared" si="13"/>
        <v>8.2371382210826081</v>
      </c>
      <c r="CX11" s="59">
        <f t="shared" si="14"/>
        <v>257.14952491831781</v>
      </c>
      <c r="CY11" s="59">
        <f ca="1">AVERAGE(OFFSET($CX$3,0,0,'Données projet'!$E$13+1,1))-AVERAGE(OFFSET($H$3,0,0,'Données projet'!$E$13+1,1))</f>
        <v>319.88925869887464</v>
      </c>
      <c r="CZ11" s="59">
        <f t="shared" si="42"/>
        <v>258.2857172412098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3.2373333333333334</v>
      </c>
      <c r="DO11" s="12">
        <f>IF('Données projet'!$A$166&gt;35,DO10+DN11-DW10,IF(A11&lt;'Données projet'!$A$166,$DL$205^A11,IF(A11='Données projet'!$A$166,'Données projet'!$B$166,DO10+DN11-DW10)))</f>
        <v>7.9313776342982827</v>
      </c>
      <c r="DP11" s="17">
        <f>DO11*VLOOKUP('Données projet'!$B$14,Paramètres!$A$1:$I$89,3,0)*VLOOKUP('Données projet'!$B$14,Paramètres!$A$1:$I$89,5,0)</f>
        <v>4.7429638253103734</v>
      </c>
      <c r="DQ11" s="13">
        <f t="shared" si="43"/>
        <v>1.8235164229512146</v>
      </c>
      <c r="DR11" s="20">
        <f t="shared" si="16"/>
        <v>11.436619765722265</v>
      </c>
      <c r="DS11" s="59">
        <f t="shared" si="17"/>
        <v>260.34900646295745</v>
      </c>
      <c r="DT11" s="59">
        <f ca="1">AVERAGE(OFFSET($DS$3,0,0,'Données projet'!$E$14+1,1))-AVERAGE(OFFSET($H$3,0,0,'Données projet'!$E$14+1,1))</f>
        <v>443.64905827069435</v>
      </c>
      <c r="DU11" s="59">
        <f t="shared" si="44"/>
        <v>381.14782516862385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12.733333333333333</v>
      </c>
      <c r="EJ11" s="12">
        <f>IF('Données projet'!$A$192&gt;35,EJ10+EI11-ER10,IF(A11&lt;'Données projet'!$A$192,$EG$205^A11,IF(A11='Données projet'!$A$192,'Données projet'!$B$192,EJ10+EI11-ER10)))</f>
        <v>16.464597915283044</v>
      </c>
      <c r="EK11" s="17">
        <f>EJ11*VLOOKUP('Données projet'!$B$15,Paramètres!$A$1:$I$89,3,0)*VLOOKUP('Données projet'!$B$15,Paramètres!$A$1:$I$89,5,0)</f>
        <v>14.897168193748097</v>
      </c>
      <c r="EL11" s="13">
        <f t="shared" si="45"/>
        <v>5.0131016732435487</v>
      </c>
      <c r="EM11" s="20">
        <f t="shared" si="19"/>
        <v>34.677053351677117</v>
      </c>
      <c r="EN11" s="59">
        <f t="shared" si="20"/>
        <v>283.58944004891231</v>
      </c>
      <c r="EO11" s="59">
        <f ca="1">AVERAGE(OFFSET($EN$3,0,0,'Données projet'!$E$15+1,1))-AVERAGE(OFFSET($H$3,0,0,'Données projet'!$E$15+1,1))</f>
        <v>504.37890861635196</v>
      </c>
      <c r="EP11" s="59">
        <f t="shared" si="46"/>
        <v>611.82129317522913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1.2</v>
      </c>
      <c r="FE11" s="12">
        <f>IF('Données projet'!$A$218&gt;35,FE10+FD11-FM10,IF(A11&lt;'Données projet'!$A$218,$FB$205^A11,IF(A11='Données projet'!$A$218,'Données projet'!$B$218,FE10+FD11-FM10)))</f>
        <v>2.9694690391391689</v>
      </c>
      <c r="FF11" s="17">
        <f>FE11*VLOOKUP('Données projet'!$B$16,Paramètres!$A$1:$I$89,3,0)*VLOOKUP('Données projet'!$B$16,Paramètres!$A$1:$I$89,5,0)</f>
        <v>3.1963364737294016</v>
      </c>
      <c r="FG11" s="13">
        <f t="shared" si="47"/>
        <v>1.28665764721742</v>
      </c>
      <c r="FH11" s="20">
        <f t="shared" si="22"/>
        <v>7.8078814273157144</v>
      </c>
      <c r="FI11" s="59">
        <f t="shared" si="23"/>
        <v>256.7202681245509</v>
      </c>
      <c r="FJ11" s="59">
        <f ca="1">AVERAGE(OFFSET($FI$3,0,0,'Données projet'!$E$16+1,1))-AVERAGE(OFFSET($H$3,0,0,'Données projet'!$E$16+1,1))</f>
        <v>334.01098870576732</v>
      </c>
      <c r="FK11" s="59">
        <f t="shared" si="48"/>
        <v>171.1802153303471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2.4666666666666668</v>
      </c>
      <c r="FZ11" s="12">
        <f>IF('Données projet'!$A$244&gt;35,FZ10+FY11-GH10,IF(A11&lt;'Données projet'!$A$244,$FW$205^A11,IF(A11='Données projet'!$A$244,'Données projet'!$B$244,FZ10+FY11-GH10)))</f>
        <v>6.8607919984549888</v>
      </c>
      <c r="GA11" s="17">
        <f>FZ11*VLOOKUP('Données projet'!$B$17,Paramètres!$A$1:$I$89,3,0)*VLOOKUP('Données projet'!$B$17,Paramètres!$A$1:$I$89,5,0)</f>
        <v>5.9935878898502795</v>
      </c>
      <c r="GB11" s="13">
        <f t="shared" si="49"/>
        <v>2.2424160357272664</v>
      </c>
      <c r="GC11" s="20">
        <f t="shared" si="25"/>
        <v>14.344373503714223</v>
      </c>
      <c r="GD11" s="59">
        <f t="shared" si="26"/>
        <v>263.25676020094943</v>
      </c>
      <c r="GE11" s="59">
        <f ca="1">AVERAGE(OFFSET($GD$3,0,0,'Données projet'!$E$17+1,1))-AVERAGE(OFFSET($H$3,0,0,'Données projet'!$E$17+1,1))</f>
        <v>330.12856974146598</v>
      </c>
      <c r="GF11" s="59">
        <f t="shared" si="50"/>
        <v>321.23368446552286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65.218529705306565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2.1</v>
      </c>
      <c r="GU11" s="12">
        <f>IF('Données projet'!$A$270&gt;35,GU10+GT11-HC10,IF(A11&lt;'Données projet'!$A$270,$GR$205^A11,IF(A11='Données projet'!$A$270,'Données projet'!$B$270,GU10+GT11-HC10)))</f>
        <v>4.4596391171162209</v>
      </c>
      <c r="GV11" s="17">
        <f>GU11*VLOOKUP('Données projet'!$B$18,Paramètres!$A$1:$I$89,3,0)*VLOOKUP('Données projet'!$B$18,Paramètres!$A$1:$I$89,5,0)</f>
        <v>2.9915259197615609</v>
      </c>
      <c r="GW11" s="13">
        <f t="shared" si="51"/>
        <v>1.2135311160629882</v>
      </c>
      <c r="GX11" s="20">
        <f t="shared" si="28"/>
        <v>7.3238076707277555</v>
      </c>
      <c r="GY11" s="59">
        <f t="shared" si="29"/>
        <v>256.23619436796298</v>
      </c>
      <c r="GZ11" s="59">
        <f ca="1">AVERAGE(OFFSET($GY$3,0,0,'Données projet'!$E$18+1,1))-AVERAGE(OFFSET($H$3,0,0,'Données projet'!$E$18+1,1))</f>
        <v>296.67751292332753</v>
      </c>
      <c r="HA11" s="59">
        <f t="shared" si="52"/>
        <v>197.99510031603018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1.1000000000000001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4.0333333333333341</v>
      </c>
      <c r="H12" s="67">
        <f t="shared" si="1"/>
        <v>240.5333333333333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265.34928872599653</v>
      </c>
      <c r="S12" s="59">
        <f ca="1">AVERAGE(OFFSET($R$3,0,0,'Données projet'!$E$9+1,1))-AVERAGE(OFFSET($H$3,0,0,'Données projet'!$E$9+1,1))</f>
        <v>461.20962581398715</v>
      </c>
      <c r="T12" s="59">
        <f t="shared" si="34"/>
        <v>348.44322874953923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267.0890949993738</v>
      </c>
      <c r="AN12" s="59">
        <f ca="1">AVERAGE(OFFSET($AM$3,0,0,'Données projet'!$E$10+1,1))-AVERAGE(OFFSET($H$3,0,0,'Données projet'!$E$10+1,1))</f>
        <v>510.86584023875525</v>
      </c>
      <c r="AO12" s="59">
        <f t="shared" si="36"/>
        <v>384.62921487244125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1.6</v>
      </c>
      <c r="BD12" s="12">
        <f>IF('Données projet'!$A$88&gt;35,BD11+BC12-BL11,IF(A12&lt;'Données projet'!$A$88,$BA$205^A12,IF(A12='Données projet'!$A$88,'Données projet'!$B$88,BD11+BC12-BL11)))</f>
        <v>4.7568284600108823</v>
      </c>
      <c r="BE12" s="13">
        <f>BD12*VLOOKUP('Données projet'!$B$11,Paramètres!$A$1:$I$89,3,0)*VLOOKUP('Données projet'!$B$11,Paramètres!$A$1:$I$89,5,0)</f>
        <v>3.4877066268799788</v>
      </c>
      <c r="BF12" s="13">
        <f t="shared" si="37"/>
        <v>1.3897617726475855</v>
      </c>
      <c r="BG12" s="20">
        <f t="shared" si="7"/>
        <v>8.4949241291771731</v>
      </c>
      <c r="BH12" s="59">
        <f t="shared" si="8"/>
        <v>258.93367505473947</v>
      </c>
      <c r="BI12" s="59">
        <f ca="1">AVERAGE(OFFSET($BH$3,0,0,'Données projet'!$E$11+1,1))-AVERAGE(OFFSET($H$3,0,0,'Données projet'!$E$11+1,1))</f>
        <v>201.7253431547006</v>
      </c>
      <c r="BJ12" s="59">
        <f t="shared" si="38"/>
        <v>229.70004720044096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</v>
      </c>
      <c r="BY12" s="12">
        <f>IF('Données projet'!$A$114&gt;35,BY11+BX12-CG11,IF(A12&lt;'Données projet'!$A$114,$BV$205^A12,IF(A12='Données projet'!$A$114,'Données projet'!$B$114,BY11+BX12-CG11)))</f>
        <v>14.822688982138946</v>
      </c>
      <c r="BZ12" s="13">
        <f>BY12*VLOOKUP('Données projet'!$B$12,Paramètres!$A$1:$I$89,3,0)*VLOOKUP('Données projet'!$B$12,Paramètres!$A$1:$I$89,5,0)</f>
        <v>8.2858831410156704</v>
      </c>
      <c r="CA12" s="13">
        <f t="shared" si="39"/>
        <v>2.9853567179108209</v>
      </c>
      <c r="CB12" s="20">
        <f t="shared" si="10"/>
        <v>19.630742754296975</v>
      </c>
      <c r="CC12" s="59">
        <f t="shared" si="11"/>
        <v>270.06949367985931</v>
      </c>
      <c r="CD12" s="59">
        <f ca="1">AVERAGE(OFFSET($CC$3,0,0,'Données projet'!$E$12+1,1))-AVERAGE(OFFSET($H$3,0,0,'Données projet'!$E$12+1,1))</f>
        <v>462.09240749760784</v>
      </c>
      <c r="CE12" s="59">
        <f t="shared" si="40"/>
        <v>403.52202223463337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</v>
      </c>
      <c r="CT12" s="12">
        <f>IF('Données projet'!$A$140&gt;35,CT11+CS12-DB11,IF(A12&lt;'Données projet'!$A$140,$CQ$205^A12,IF(A12='Données projet'!$A$140,'Données projet'!$B$140,CT11+CS12-DB11)))</f>
        <v>9.2418223494521463</v>
      </c>
      <c r="CU12" s="17">
        <f>CT12*VLOOKUP('Données projet'!$B$13,Paramètres!$A$1:$I$89,3,0)*VLOOKUP('Données projet'!$B$13,Paramètres!$A$1:$I$89,5,0)</f>
        <v>4.3251728595436045</v>
      </c>
      <c r="CV12" s="13">
        <f t="shared" si="41"/>
        <v>1.6808336353186117</v>
      </c>
      <c r="CW12" s="20">
        <f t="shared" si="13"/>
        <v>10.460461311885025</v>
      </c>
      <c r="CX12" s="59">
        <f t="shared" si="14"/>
        <v>260.89921223744733</v>
      </c>
      <c r="CY12" s="59">
        <f ca="1">AVERAGE(OFFSET($CX$3,0,0,'Données projet'!$E$13+1,1))-AVERAGE(OFFSET($H$3,0,0,'Données projet'!$E$13+1,1))</f>
        <v>319.88925869887464</v>
      </c>
      <c r="CZ12" s="59">
        <f t="shared" si="42"/>
        <v>258.2857172412098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3.2373333333333334</v>
      </c>
      <c r="DO12" s="12">
        <f>IF('Données projet'!$A$166&gt;35,DO11+DN12-DW11,IF(A12&lt;'Données projet'!$A$166,$DL$205^A12,IF(A12='Données projet'!$A$166,'Données projet'!$B$166,DO11+DN12-DW11)))</f>
        <v>10.274654022618265</v>
      </c>
      <c r="DP12" s="17">
        <f>DO12*VLOOKUP('Données projet'!$B$14,Paramètres!$A$1:$I$89,3,0)*VLOOKUP('Données projet'!$B$14,Paramètres!$A$1:$I$89,5,0)</f>
        <v>6.1442431055257218</v>
      </c>
      <c r="DQ12" s="13">
        <f t="shared" si="43"/>
        <v>2.2921484178361289</v>
      </c>
      <c r="DR12" s="20">
        <f t="shared" si="16"/>
        <v>14.693381903188557</v>
      </c>
      <c r="DS12" s="59">
        <f t="shared" si="17"/>
        <v>265.13213282875085</v>
      </c>
      <c r="DT12" s="59">
        <f ca="1">AVERAGE(OFFSET($DS$3,0,0,'Données projet'!$E$14+1,1))-AVERAGE(OFFSET($H$3,0,0,'Données projet'!$E$14+1,1))</f>
        <v>443.64905827069435</v>
      </c>
      <c r="DU12" s="59">
        <f t="shared" si="44"/>
        <v>381.14782516862385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12.733333333333333</v>
      </c>
      <c r="EJ12" s="12">
        <f>IF('Données projet'!$A$192&gt;35,EJ11+EI12-ER11,IF(A12&lt;'Données projet'!$A$192,$EG$205^A12,IF(A12='Données projet'!$A$192,'Données projet'!$B$192,EJ11+EI12-ER11)))</f>
        <v>23.367918019183438</v>
      </c>
      <c r="EK12" s="17">
        <f>EJ12*VLOOKUP('Données projet'!$B$15,Paramètres!$A$1:$I$89,3,0)*VLOOKUP('Données projet'!$B$15,Paramètres!$A$1:$I$89,5,0)</f>
        <v>21.143292223757175</v>
      </c>
      <c r="EL12" s="13">
        <f t="shared" si="45"/>
        <v>6.830847426604449</v>
      </c>
      <c r="EM12" s="20">
        <f t="shared" si="19"/>
        <v>48.721626557713165</v>
      </c>
      <c r="EN12" s="59">
        <f t="shared" si="20"/>
        <v>299.16037748327551</v>
      </c>
      <c r="EO12" s="59">
        <f ca="1">AVERAGE(OFFSET($EN$3,0,0,'Données projet'!$E$15+1,1))-AVERAGE(OFFSET($H$3,0,0,'Données projet'!$E$15+1,1))</f>
        <v>504.37890861635196</v>
      </c>
      <c r="EP12" s="59">
        <f t="shared" si="46"/>
        <v>611.82129317522913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1.2</v>
      </c>
      <c r="FE12" s="12">
        <f>IF('Données projet'!$A$218&gt;35,FE11+FD12-FM11,IF(A12&lt;'Données projet'!$A$218,$FB$205^A12,IF(A12='Données projet'!$A$218,'Données projet'!$B$218,FE11+FD12-FM11)))</f>
        <v>3.4022298585357786</v>
      </c>
      <c r="FF12" s="17">
        <f>FE12*VLOOKUP('Données projet'!$B$16,Paramètres!$A$1:$I$89,3,0)*VLOOKUP('Données projet'!$B$16,Paramètres!$A$1:$I$89,5,0)</f>
        <v>3.6621602197279119</v>
      </c>
      <c r="FG12" s="13">
        <f t="shared" si="47"/>
        <v>1.4510099121120625</v>
      </c>
      <c r="FH12" s="20">
        <f t="shared" si="22"/>
        <v>8.9054379796212881</v>
      </c>
      <c r="FI12" s="59">
        <f t="shared" si="23"/>
        <v>259.34418890518361</v>
      </c>
      <c r="FJ12" s="59">
        <f ca="1">AVERAGE(OFFSET($FI$3,0,0,'Données projet'!$E$16+1,1))-AVERAGE(OFFSET($H$3,0,0,'Données projet'!$E$16+1,1))</f>
        <v>334.01098870576732</v>
      </c>
      <c r="FK12" s="59">
        <f t="shared" si="48"/>
        <v>171.1802153303471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2.4666666666666668</v>
      </c>
      <c r="FZ12" s="12">
        <f>IF('Données projet'!$A$244&gt;35,FZ11+FY12-GH11,IF(A12&lt;'Données projet'!$A$244,$FW$205^A12,IF(A12='Données projet'!$A$244,'Données projet'!$B$244,FZ11+FY12-GH11)))</f>
        <v>8.7281265486761299</v>
      </c>
      <c r="GA12" s="17">
        <f>FZ12*VLOOKUP('Données projet'!$B$17,Paramètres!$A$1:$I$89,3,0)*VLOOKUP('Données projet'!$B$17,Paramètres!$A$1:$I$89,5,0)</f>
        <v>7.6248913529234681</v>
      </c>
      <c r="GB12" s="13">
        <f t="shared" si="49"/>
        <v>2.7739186895259813</v>
      </c>
      <c r="GC12" s="20">
        <f t="shared" si="25"/>
        <v>18.111260823932788</v>
      </c>
      <c r="GD12" s="59">
        <f t="shared" si="26"/>
        <v>268.55001174949513</v>
      </c>
      <c r="GE12" s="59">
        <f ca="1">AVERAGE(OFFSET($GD$3,0,0,'Données projet'!$E$17+1,1))-AVERAGE(OFFSET($H$3,0,0,'Données projet'!$E$17+1,1))</f>
        <v>330.12856974146598</v>
      </c>
      <c r="GF12" s="59">
        <f t="shared" si="50"/>
        <v>321.23368446552286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65.301477525153359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2.1</v>
      </c>
      <c r="GU12" s="12">
        <f>IF('Données projet'!$A$270&gt;35,GU11+GT12-HC11,IF(A12&lt;'Données projet'!$A$270,$GR$205^A12,IF(A12='Données projet'!$A$270,'Données projet'!$B$270,GU11+GT12-HC11)))</f>
        <v>5.3760361537574148</v>
      </c>
      <c r="GV12" s="17">
        <f>GU12*VLOOKUP('Données projet'!$B$18,Paramètres!$A$1:$I$89,3,0)*VLOOKUP('Données projet'!$B$18,Paramètres!$A$1:$I$89,5,0)</f>
        <v>3.6062450519404741</v>
      </c>
      <c r="GW12" s="13">
        <f t="shared" si="51"/>
        <v>1.4314166685408396</v>
      </c>
      <c r="GX12" s="20">
        <f t="shared" si="28"/>
        <v>8.773927496504955</v>
      </c>
      <c r="GY12" s="59">
        <f t="shared" si="29"/>
        <v>259.21267842206726</v>
      </c>
      <c r="GZ12" s="59">
        <f ca="1">AVERAGE(OFFSET($GY$3,0,0,'Données projet'!$E$18+1,1))-AVERAGE(OFFSET($H$3,0,0,'Données projet'!$E$18+1,1))</f>
        <v>296.67751292332753</v>
      </c>
      <c r="HA12" s="59">
        <f t="shared" si="52"/>
        <v>197.99510031603018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1.1000000000000001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4.0333333333333341</v>
      </c>
      <c r="H13" s="67">
        <f t="shared" si="1"/>
        <v>240.5333333333333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270.3143773073844</v>
      </c>
      <c r="S13" s="59">
        <f ca="1">AVERAGE(OFFSET($R$3,0,0,'Données projet'!$E$9+1,1))-AVERAGE(OFFSET($H$3,0,0,'Données projet'!$E$9+1,1))</f>
        <v>461.20962581398715</v>
      </c>
      <c r="T13" s="59">
        <f t="shared" si="34"/>
        <v>348.44322874953923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272.45737027700778</v>
      </c>
      <c r="AN13" s="59">
        <f ca="1">AVERAGE(OFFSET($AM$3,0,0,'Données projet'!$E$10+1,1))-AVERAGE(OFFSET($H$3,0,0,'Données projet'!$E$10+1,1))</f>
        <v>510.86584023875525</v>
      </c>
      <c r="AO13" s="59">
        <f t="shared" si="36"/>
        <v>384.62921487244125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1.6</v>
      </c>
      <c r="BD13" s="12">
        <f>IF('Données projet'!$A$88&gt;35,BD12+BC13-BL12,IF(A13&lt;'Données projet'!$A$88,$BA$205^A13,IF(A13='Données projet'!$A$88,'Données projet'!$B$88,BD12+BC13-BL12)))</f>
        <v>5.656854249492377</v>
      </c>
      <c r="BE13" s="13">
        <f>BD13*VLOOKUP('Données projet'!$B$11,Paramètres!$A$1:$I$89,3,0)*VLOOKUP('Données projet'!$B$11,Paramètres!$A$1:$I$89,5,0)</f>
        <v>4.147605535727811</v>
      </c>
      <c r="BF13" s="13">
        <f t="shared" si="37"/>
        <v>1.6197123278188734</v>
      </c>
      <c r="BG13" s="20">
        <f t="shared" si="7"/>
        <v>10.044745279010474</v>
      </c>
      <c r="BH13" s="59">
        <f t="shared" si="8"/>
        <v>262.00458424905366</v>
      </c>
      <c r="BI13" s="59">
        <f ca="1">AVERAGE(OFFSET($BH$3,0,0,'Données projet'!$E$11+1,1))-AVERAGE(OFFSET($H$3,0,0,'Données projet'!$E$11+1,1))</f>
        <v>201.7253431547006</v>
      </c>
      <c r="BJ13" s="59">
        <f t="shared" si="38"/>
        <v>229.70004720044096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20</v>
      </c>
      <c r="BW13" s="12">
        <f>VLOOKUP(A13,'Données projet'!$A$113:$I$133,9,0)</f>
        <v>2</v>
      </c>
      <c r="BX13" s="12">
        <f t="array" ref="BX13">INDEX(BW:BW,MIN(IF(ISNUMBER(BW13:BW209),ROW(BW13:BW209),"")))</f>
        <v>2</v>
      </c>
      <c r="BY13" s="12">
        <f>IF('Données projet'!$A$114&gt;35,BY12+BX13-CG12,IF(A13&lt;'Données projet'!$A$114,$BV$205^A13,IF(A13='Données projet'!$A$114,'Données projet'!$B$114,BY12+BX13-CG12)))</f>
        <v>20</v>
      </c>
      <c r="BZ13" s="13">
        <f>BY13*VLOOKUP('Données projet'!$B$12,Paramètres!$A$1:$I$89,3,0)*VLOOKUP('Données projet'!$B$12,Paramètres!$A$1:$I$89,5,0)</f>
        <v>11.18</v>
      </c>
      <c r="CA13" s="13">
        <f t="shared" si="39"/>
        <v>3.8900505285230369</v>
      </c>
      <c r="CB13" s="20">
        <f t="shared" si="10"/>
        <v>26.247004670510957</v>
      </c>
      <c r="CC13" s="59">
        <f t="shared" si="11"/>
        <v>278.2068436405541</v>
      </c>
      <c r="CD13" s="59">
        <f ca="1">AVERAGE(OFFSET($CC$3,0,0,'Données projet'!$E$12+1,1))-AVERAGE(OFFSET($H$3,0,0,'Données projet'!$E$12+1,1))</f>
        <v>462.09240749760784</v>
      </c>
      <c r="CE13" s="59">
        <f t="shared" si="40"/>
        <v>403.52202223463337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0.30800000000000005</v>
      </c>
      <c r="CJ13" s="16">
        <f>IF(ISNA(VLOOKUP(A13,'Données projet'!$A$113:$I$133,7,0)),0%,VLOOKUP(A13,'Données projet'!$A$113:$I$133,7,0))</f>
        <v>0.44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</v>
      </c>
      <c r="CT13" s="12">
        <f>IF('Données projet'!$A$140&gt;35,CT12+CS13-DB12,IF(A13&lt;'Données projet'!$A$140,$CQ$205^A13,IF(A13='Données projet'!$A$140,'Données projet'!$B$140,CT12+CS13-DB12)))</f>
        <v>11.832159566199214</v>
      </c>
      <c r="CU13" s="17">
        <f>CT13*VLOOKUP('Données projet'!$B$13,Paramètres!$A$1:$I$89,3,0)*VLOOKUP('Données projet'!$B$13,Paramètres!$A$1:$I$89,5,0)</f>
        <v>5.5374506769812326</v>
      </c>
      <c r="CV13" s="13">
        <f t="shared" si="41"/>
        <v>2.090935647593303</v>
      </c>
      <c r="CW13" s="20">
        <f t="shared" si="13"/>
        <v>13.286106181967314</v>
      </c>
      <c r="CX13" s="59">
        <f t="shared" si="14"/>
        <v>265.24594515201051</v>
      </c>
      <c r="CY13" s="59">
        <f ca="1">AVERAGE(OFFSET($CX$3,0,0,'Données projet'!$E$13+1,1))-AVERAGE(OFFSET($H$3,0,0,'Données projet'!$E$13+1,1))</f>
        <v>319.88925869887464</v>
      </c>
      <c r="CZ13" s="59">
        <f t="shared" si="42"/>
        <v>258.2857172412098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3.2373333333333334</v>
      </c>
      <c r="DO13" s="12">
        <f>IF('Données projet'!$A$166&gt;35,DO12+DN13-DW12,IF(A13&lt;'Données projet'!$A$166,$DL$205^A13,IF(A13='Données projet'!$A$166,'Données projet'!$B$166,DO12+DN13-DW12)))</f>
        <v>13.310236903610214</v>
      </c>
      <c r="DP13" s="17">
        <f>DO13*VLOOKUP('Données projet'!$B$14,Paramètres!$A$1:$I$89,3,0)*VLOOKUP('Données projet'!$B$14,Paramètres!$A$1:$I$89,5,0)</f>
        <v>7.9595216683589083</v>
      </c>
      <c r="DQ13" s="13">
        <f t="shared" si="43"/>
        <v>2.8812158219477846</v>
      </c>
      <c r="DR13" s="20">
        <f t="shared" si="16"/>
        <v>18.880951128950827</v>
      </c>
      <c r="DS13" s="59">
        <f t="shared" si="17"/>
        <v>270.84079009899398</v>
      </c>
      <c r="DT13" s="59">
        <f ca="1">AVERAGE(OFFSET($DS$3,0,0,'Données projet'!$E$14+1,1))-AVERAGE(OFFSET($H$3,0,0,'Données projet'!$E$14+1,1))</f>
        <v>443.64905827069435</v>
      </c>
      <c r="DU13" s="59">
        <f t="shared" si="44"/>
        <v>381.14782516862385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12.733333333333333</v>
      </c>
      <c r="EJ13" s="12">
        <f>IF('Données projet'!$A$192&gt;35,EJ12+EI13-ER12,IF(A13&lt;'Données projet'!$A$192,$EG$205^A13,IF(A13='Données projet'!$A$192,'Données projet'!$B$192,EJ12+EI13-ER12)))</f>
        <v>33.165680410841098</v>
      </c>
      <c r="EK13" s="17">
        <f>EJ13*VLOOKUP('Données projet'!$B$15,Paramètres!$A$1:$I$89,3,0)*VLOOKUP('Données projet'!$B$15,Paramètres!$A$1:$I$89,5,0)</f>
        <v>30.008307635729022</v>
      </c>
      <c r="EL13" s="13">
        <f t="shared" si="45"/>
        <v>9.3077060085554972</v>
      </c>
      <c r="EM13" s="20">
        <f t="shared" si="19"/>
        <v>68.475390430462198</v>
      </c>
      <c r="EN13" s="59">
        <f t="shared" si="20"/>
        <v>320.43522940050536</v>
      </c>
      <c r="EO13" s="59">
        <f ca="1">AVERAGE(OFFSET($EN$3,0,0,'Données projet'!$E$15+1,1))-AVERAGE(OFFSET($H$3,0,0,'Données projet'!$E$15+1,1))</f>
        <v>504.37890861635196</v>
      </c>
      <c r="EP13" s="59">
        <f t="shared" si="46"/>
        <v>611.82129317522913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1.2</v>
      </c>
      <c r="FE13" s="12">
        <f>IF('Données projet'!$A$218&gt;35,FE12+FD13-FM12,IF(A13&lt;'Données projet'!$A$218,$FB$205^A13,IF(A13='Données projet'!$A$218,'Données projet'!$B$218,FE12+FD13-FM12)))</f>
        <v>3.8980598409161908</v>
      </c>
      <c r="FF13" s="17">
        <f>FE13*VLOOKUP('Données projet'!$B$16,Paramètres!$A$1:$I$89,3,0)*VLOOKUP('Données projet'!$B$16,Paramètres!$A$1:$I$89,5,0)</f>
        <v>4.1958716127621871</v>
      </c>
      <c r="FG13" s="13">
        <f t="shared" si="47"/>
        <v>1.63635584772744</v>
      </c>
      <c r="FH13" s="20">
        <f t="shared" si="22"/>
        <v>10.157796160352767</v>
      </c>
      <c r="FI13" s="59">
        <f t="shared" si="23"/>
        <v>262.11763513039591</v>
      </c>
      <c r="FJ13" s="59">
        <f ca="1">AVERAGE(OFFSET($FI$3,0,0,'Données projet'!$E$16+1,1))-AVERAGE(OFFSET($H$3,0,0,'Données projet'!$E$16+1,1))</f>
        <v>334.01098870576732</v>
      </c>
      <c r="FK13" s="59">
        <f t="shared" si="48"/>
        <v>171.1802153303471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2.4666666666666668</v>
      </c>
      <c r="FZ13" s="12">
        <f>IF('Données projet'!$A$244&gt;35,FZ12+FY13-GH12,IF(A13&lt;'Données projet'!$A$244,$FW$205^A13,IF(A13='Données projet'!$A$244,'Données projet'!$B$244,FZ12+FY13-GH12)))</f>
        <v>11.103702468586782</v>
      </c>
      <c r="GA13" s="17">
        <f>FZ13*VLOOKUP('Données projet'!$B$17,Paramètres!$A$1:$I$89,3,0)*VLOOKUP('Données projet'!$B$17,Paramètres!$A$1:$I$89,5,0)</f>
        <v>9.7001944765574137</v>
      </c>
      <c r="GB13" s="13">
        <f t="shared" si="49"/>
        <v>3.4313993360317685</v>
      </c>
      <c r="GC13" s="20">
        <f t="shared" si="25"/>
        <v>22.870859223592827</v>
      </c>
      <c r="GD13" s="59">
        <f t="shared" si="26"/>
        <v>274.83069819363601</v>
      </c>
      <c r="GE13" s="59">
        <f ca="1">AVERAGE(OFFSET($GD$3,0,0,'Données projet'!$E$17+1,1))-AVERAGE(OFFSET($H$3,0,0,'Données projet'!$E$17+1,1))</f>
        <v>330.12856974146598</v>
      </c>
      <c r="GF13" s="59">
        <f t="shared" si="50"/>
        <v>321.23368446552286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65.382986385769357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2.1</v>
      </c>
      <c r="GU13" s="12">
        <f>IF('Données projet'!$A$270&gt;35,GU12+GT13-HC12,IF(A13&lt;'Données projet'!$A$270,$GR$205^A13,IF(A13='Données projet'!$A$270,'Données projet'!$B$270,GU12+GT13-HC12)))</f>
        <v>6.4807406984078657</v>
      </c>
      <c r="GV13" s="17">
        <f>GU13*VLOOKUP('Données projet'!$B$18,Paramètres!$A$1:$I$89,3,0)*VLOOKUP('Données projet'!$B$18,Paramètres!$A$1:$I$89,5,0)</f>
        <v>4.3472808604919964</v>
      </c>
      <c r="GW13" s="13">
        <f t="shared" si="51"/>
        <v>1.6884228610667158</v>
      </c>
      <c r="GX13" s="20">
        <f t="shared" si="28"/>
        <v>10.512183981714756</v>
      </c>
      <c r="GY13" s="59">
        <f t="shared" si="29"/>
        <v>262.47202295175794</v>
      </c>
      <c r="GZ13" s="59">
        <f ca="1">AVERAGE(OFFSET($GY$3,0,0,'Données projet'!$E$18+1,1))-AVERAGE(OFFSET($H$3,0,0,'Données projet'!$E$18+1,1))</f>
        <v>296.67751292332753</v>
      </c>
      <c r="HA13" s="59">
        <f t="shared" si="52"/>
        <v>197.99510031603018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1.1000000000000001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4.0333333333333341</v>
      </c>
      <c r="H14" s="67">
        <f t="shared" si="1"/>
        <v>240.5333333333333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276.07252190856593</v>
      </c>
      <c r="S14" s="59">
        <f ca="1">AVERAGE(OFFSET($R$3,0,0,'Données projet'!$E$9+1,1))-AVERAGE(OFFSET($H$3,0,0,'Données projet'!$E$9+1,1))</f>
        <v>461.20962581398715</v>
      </c>
      <c r="T14" s="59">
        <f t="shared" si="34"/>
        <v>348.44322874953923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278.71243867463693</v>
      </c>
      <c r="AN14" s="59">
        <f ca="1">AVERAGE(OFFSET($AM$3,0,0,'Données projet'!$E$10+1,1))-AVERAGE(OFFSET($H$3,0,0,'Données projet'!$E$10+1,1))</f>
        <v>510.86584023875525</v>
      </c>
      <c r="AO14" s="59">
        <f t="shared" si="36"/>
        <v>384.62921487244125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1.6</v>
      </c>
      <c r="BD14" s="12">
        <f>IF('Données projet'!$A$88&gt;35,BD13+BC14-BL13,IF(A14&lt;'Données projet'!$A$88,$BA$205^A14,IF(A14='Données projet'!$A$88,'Données projet'!$B$88,BD13+BC14-BL13)))</f>
        <v>6.7271713220297125</v>
      </c>
      <c r="BE14" s="13">
        <f>BD14*VLOOKUP('Données projet'!$B$11,Paramètres!$A$1:$I$89,3,0)*VLOOKUP('Données projet'!$B$11,Paramètres!$A$1:$I$89,5,0)</f>
        <v>4.9323620133121846</v>
      </c>
      <c r="BF14" s="13">
        <f t="shared" si="37"/>
        <v>1.8877105965366698</v>
      </c>
      <c r="BG14" s="20">
        <f t="shared" si="7"/>
        <v>11.878293128820088</v>
      </c>
      <c r="BH14" s="59">
        <f t="shared" si="8"/>
        <v>265.35403548949193</v>
      </c>
      <c r="BI14" s="59">
        <f ca="1">AVERAGE(OFFSET($BH$3,0,0,'Données projet'!$E$11+1,1))-AVERAGE(OFFSET($H$3,0,0,'Données projet'!$E$11+1,1))</f>
        <v>201.7253431547006</v>
      </c>
      <c r="BJ14" s="59">
        <f t="shared" si="38"/>
        <v>229.70004720044096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14.8</v>
      </c>
      <c r="BY14" s="12">
        <f>IF('Données projet'!$A$114&gt;35,BY13+BX14-CG13,IF(A14&lt;'Données projet'!$A$114,$BV$205^A14,IF(A14='Données projet'!$A$114,'Données projet'!$B$114,BY13+BX14-CG13)))</f>
        <v>34.799999999999997</v>
      </c>
      <c r="BZ14" s="13">
        <f>BY14*VLOOKUP('Données projet'!$B$12,Paramètres!$A$1:$I$89,3,0)*VLOOKUP('Données projet'!$B$12,Paramètres!$A$1:$I$89,5,0)</f>
        <v>19.453199999999999</v>
      </c>
      <c r="CA14" s="13">
        <f t="shared" si="39"/>
        <v>6.3460656165159204</v>
      </c>
      <c r="CB14" s="20">
        <f t="shared" si="10"/>
        <v>44.93372094876522</v>
      </c>
      <c r="CC14" s="59">
        <f t="shared" si="11"/>
        <v>298.40946330943706</v>
      </c>
      <c r="CD14" s="59">
        <f ca="1">AVERAGE(OFFSET($CC$3,0,0,'Données projet'!$E$12+1,1))-AVERAGE(OFFSET($H$3,0,0,'Données projet'!$E$12+1,1))</f>
        <v>462.09240749760784</v>
      </c>
      <c r="CE14" s="59">
        <f t="shared" si="40"/>
        <v>403.52202223463337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</v>
      </c>
      <c r="CT14" s="12">
        <f>IF('Données projet'!$A$140&gt;35,CT13+CS14-DB13,IF(A14&lt;'Données projet'!$A$140,$CQ$205^A14,IF(A14='Données projet'!$A$140,'Données projet'!$B$140,CT13+CS14-DB13)))</f>
        <v>15.148527498832387</v>
      </c>
      <c r="CU14" s="17">
        <f>CT14*VLOOKUP('Données projet'!$B$13,Paramètres!$A$1:$I$89,3,0)*VLOOKUP('Données projet'!$B$13,Paramètres!$A$1:$I$89,5,0)</f>
        <v>7.0895108694535569</v>
      </c>
      <c r="CV14" s="13">
        <f t="shared" si="41"/>
        <v>2.6010973308180407</v>
      </c>
      <c r="CW14" s="20">
        <f t="shared" si="13"/>
        <v>16.877809282139697</v>
      </c>
      <c r="CX14" s="59">
        <f t="shared" si="14"/>
        <v>270.35355164281151</v>
      </c>
      <c r="CY14" s="59">
        <f ca="1">AVERAGE(OFFSET($CX$3,0,0,'Données projet'!$E$13+1,1))-AVERAGE(OFFSET($H$3,0,0,'Données projet'!$E$13+1,1))</f>
        <v>319.88925869887464</v>
      </c>
      <c r="CZ14" s="59">
        <f t="shared" si="42"/>
        <v>258.2857172412098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3.2373333333333334</v>
      </c>
      <c r="DO14" s="12">
        <f>IF('Données projet'!$A$166&gt;35,DO13+DN14-DW13,IF(A14&lt;'Données projet'!$A$166,$DL$205^A14,IF(A14='Données projet'!$A$166,'Données projet'!$B$166,DO13+DN14-DW13)))</f>
        <v>17.242663941795808</v>
      </c>
      <c r="DP14" s="17">
        <f>DO14*VLOOKUP('Données projet'!$B$14,Paramètres!$A$1:$I$89,3,0)*VLOOKUP('Données projet'!$B$14,Paramètres!$A$1:$I$89,5,0)</f>
        <v>10.311113037193895</v>
      </c>
      <c r="DQ14" s="13">
        <f t="shared" si="43"/>
        <v>3.6216697610179529</v>
      </c>
      <c r="DR14" s="20">
        <f t="shared" si="16"/>
        <v>24.266263373552302</v>
      </c>
      <c r="DS14" s="59">
        <f t="shared" si="17"/>
        <v>277.74200573422411</v>
      </c>
      <c r="DT14" s="59">
        <f ca="1">AVERAGE(OFFSET($DS$3,0,0,'Données projet'!$E$14+1,1))-AVERAGE(OFFSET($H$3,0,0,'Données projet'!$E$14+1,1))</f>
        <v>443.64905827069435</v>
      </c>
      <c r="DU14" s="59">
        <f t="shared" si="44"/>
        <v>381.14782516862385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12.733333333333333</v>
      </c>
      <c r="EJ14" s="12">
        <f>IF('Données projet'!$A$192&gt;35,EJ13+EI14-ER13,IF(A14&lt;'Données projet'!$A$192,$EG$205^A14,IF(A14='Données projet'!$A$192,'Données projet'!$B$192,EJ13+EI14-ER13)))</f>
        <v>47.071474498115592</v>
      </c>
      <c r="EK14" s="17">
        <f>EJ14*VLOOKUP('Données projet'!$B$15,Paramètres!$A$1:$I$89,3,0)*VLOOKUP('Données projet'!$B$15,Paramètres!$A$1:$I$89,5,0)</f>
        <v>42.590270125894982</v>
      </c>
      <c r="EL14" s="13">
        <f t="shared" si="45"/>
        <v>12.68267108474487</v>
      </c>
      <c r="EM14" s="20">
        <f t="shared" si="19"/>
        <v>96.267039275197746</v>
      </c>
      <c r="EN14" s="59">
        <f t="shared" si="20"/>
        <v>349.74278163586956</v>
      </c>
      <c r="EO14" s="59">
        <f ca="1">AVERAGE(OFFSET($EN$3,0,0,'Données projet'!$E$15+1,1))-AVERAGE(OFFSET($H$3,0,0,'Données projet'!$E$15+1,1))</f>
        <v>504.37890861635196</v>
      </c>
      <c r="EP14" s="59">
        <f t="shared" si="46"/>
        <v>611.82129317522913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1.2</v>
      </c>
      <c r="FE14" s="12">
        <f>IF('Données projet'!$A$218&gt;35,FE13+FD14-FM13,IF(A14&lt;'Données projet'!$A$218,$FB$205^A14,IF(A14='Données projet'!$A$218,'Données projet'!$B$218,FE13+FD14-FM13)))</f>
        <v>4.4661504822319662</v>
      </c>
      <c r="FF14" s="17">
        <f>FE14*VLOOKUP('Données projet'!$B$16,Paramètres!$A$1:$I$89,3,0)*VLOOKUP('Données projet'!$B$16,Paramètres!$A$1:$I$89,5,0)</f>
        <v>4.8073643790744889</v>
      </c>
      <c r="FG14" s="13">
        <f t="shared" si="47"/>
        <v>1.8453770977306692</v>
      </c>
      <c r="FH14" s="20">
        <f t="shared" si="22"/>
        <v>11.586858072102316</v>
      </c>
      <c r="FI14" s="59">
        <f t="shared" si="23"/>
        <v>265.06260043277416</v>
      </c>
      <c r="FJ14" s="59">
        <f ca="1">AVERAGE(OFFSET($FI$3,0,0,'Données projet'!$E$16+1,1))-AVERAGE(OFFSET($H$3,0,0,'Données projet'!$E$16+1,1))</f>
        <v>334.01098870576732</v>
      </c>
      <c r="FK14" s="59">
        <f t="shared" si="48"/>
        <v>171.1802153303471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2.4666666666666668</v>
      </c>
      <c r="FZ14" s="12">
        <f>IF('Données projet'!$A$244&gt;35,FZ13+FY14-GH13,IF(A14&lt;'Données projet'!$A$244,$FW$205^A14,IF(A14='Données projet'!$A$244,'Données projet'!$B$244,FZ13+FY14-GH13)))</f>
        <v>14.125850240977657</v>
      </c>
      <c r="GA14" s="17">
        <f>FZ14*VLOOKUP('Données projet'!$B$17,Paramètres!$A$1:$I$89,3,0)*VLOOKUP('Données projet'!$B$17,Paramètres!$A$1:$I$89,5,0)</f>
        <v>12.340342770518083</v>
      </c>
      <c r="GB14" s="13">
        <f t="shared" si="49"/>
        <v>4.2447175714913801</v>
      </c>
      <c r="GC14" s="20">
        <f t="shared" si="25"/>
        <v>28.885646762333149</v>
      </c>
      <c r="GD14" s="59">
        <f t="shared" si="26"/>
        <v>282.36138912300498</v>
      </c>
      <c r="GE14" s="59">
        <f ca="1">AVERAGE(OFFSET($GD$3,0,0,'Données projet'!$E$17+1,1))-AVERAGE(OFFSET($H$3,0,0,'Données projet'!$E$17+1,1))</f>
        <v>330.12856974146598</v>
      </c>
      <c r="GF14" s="59">
        <f t="shared" si="50"/>
        <v>321.23368446552286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65.46308124988019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2.1</v>
      </c>
      <c r="GU14" s="12">
        <f>IF('Données projet'!$A$270&gt;35,GU13+GT14-HC13,IF(A14&lt;'Données projet'!$A$270,$GR$205^A14,IF(A14='Données projet'!$A$270,'Données projet'!$B$270,GU13+GT14-HC13)))</f>
        <v>7.8124474610620815</v>
      </c>
      <c r="GV14" s="17">
        <f>GU14*VLOOKUP('Données projet'!$B$18,Paramètres!$A$1:$I$89,3,0)*VLOOKUP('Données projet'!$B$18,Paramètres!$A$1:$I$89,5,0)</f>
        <v>5.2405897568804445</v>
      </c>
      <c r="GW14" s="13">
        <f t="shared" si="51"/>
        <v>1.9915736769215775</v>
      </c>
      <c r="GX14" s="20">
        <f t="shared" si="28"/>
        <v>12.59601798053852</v>
      </c>
      <c r="GY14" s="59">
        <f t="shared" si="29"/>
        <v>266.07176034121034</v>
      </c>
      <c r="GZ14" s="59">
        <f ca="1">AVERAGE(OFFSET($GY$3,0,0,'Données projet'!$E$18+1,1))-AVERAGE(OFFSET($H$3,0,0,'Données projet'!$E$18+1,1))</f>
        <v>296.67751292332753</v>
      </c>
      <c r="HA14" s="59">
        <f t="shared" si="52"/>
        <v>197.99510031603018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1.1000000000000001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4.0333333333333341</v>
      </c>
      <c r="H15" s="67">
        <f t="shared" si="1"/>
        <v>240.5333333333333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282.80942176977601</v>
      </c>
      <c r="S15" s="59">
        <f ca="1">AVERAGE(OFFSET($R$3,0,0,'Données projet'!$E$9+1,1))-AVERAGE(OFFSET($H$3,0,0,'Données projet'!$E$9+1,1))</f>
        <v>461.20962581398715</v>
      </c>
      <c r="T15" s="59">
        <f t="shared" si="34"/>
        <v>348.44322874953923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286.06185743413329</v>
      </c>
      <c r="AN15" s="59">
        <f ca="1">AVERAGE(OFFSET($AM$3,0,0,'Données projet'!$E$10+1,1))-AVERAGE(OFFSET($H$3,0,0,'Données projet'!$E$10+1,1))</f>
        <v>510.86584023875525</v>
      </c>
      <c r="AO15" s="59">
        <f t="shared" si="36"/>
        <v>384.62921487244125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1.6</v>
      </c>
      <c r="BD15" s="12">
        <f>IF('Données projet'!$A$88&gt;35,BD14+BC15-BL14,IF(A15&lt;'Données projet'!$A$88,$BA$205^A15,IF(A15='Données projet'!$A$88,'Données projet'!$B$88,BD14+BC15-BL14)))</f>
        <v>7.9999999999999947</v>
      </c>
      <c r="BE15" s="13">
        <f>BD15*VLOOKUP('Données projet'!$B$11,Paramètres!$A$1:$I$89,3,0)*VLOOKUP('Données projet'!$B$11,Paramètres!$A$1:$I$89,5,0)</f>
        <v>5.8655999999999962</v>
      </c>
      <c r="BF15" s="13">
        <f t="shared" si="37"/>
        <v>2.2000519691514739</v>
      </c>
      <c r="BG15" s="20">
        <f t="shared" si="7"/>
        <v>14.047677179605477</v>
      </c>
      <c r="BH15" s="59">
        <f t="shared" si="8"/>
        <v>269.03422821920674</v>
      </c>
      <c r="BI15" s="59">
        <f ca="1">AVERAGE(OFFSET($BH$3,0,0,'Données projet'!$E$11+1,1))-AVERAGE(OFFSET($H$3,0,0,'Données projet'!$E$11+1,1))</f>
        <v>201.7253431547006</v>
      </c>
      <c r="BJ15" s="59">
        <f t="shared" si="38"/>
        <v>229.70004720044096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14.8</v>
      </c>
      <c r="BY15" s="12">
        <f>IF('Données projet'!$A$114&gt;35,BY14+BX15-CG14,IF(A15&lt;'Données projet'!$A$114,$BV$205^A15,IF(A15='Données projet'!$A$114,'Données projet'!$B$114,BY14+BX15-CG14)))</f>
        <v>49.599999999999994</v>
      </c>
      <c r="BZ15" s="13">
        <f>BY15*VLOOKUP('Données projet'!$B$12,Paramètres!$A$1:$I$89,3,0)*VLOOKUP('Données projet'!$B$12,Paramètres!$A$1:$I$89,5,0)</f>
        <v>27.726399999999995</v>
      </c>
      <c r="CA15" s="13">
        <f t="shared" si="39"/>
        <v>8.67946083236364</v>
      </c>
      <c r="CB15" s="20">
        <f t="shared" si="10"/>
        <v>63.406874283033325</v>
      </c>
      <c r="CC15" s="59">
        <f t="shared" si="11"/>
        <v>318.39342532263458</v>
      </c>
      <c r="CD15" s="59">
        <f ca="1">AVERAGE(OFFSET($CC$3,0,0,'Données projet'!$E$12+1,1))-AVERAGE(OFFSET($H$3,0,0,'Données projet'!$E$12+1,1))</f>
        <v>462.09240749760784</v>
      </c>
      <c r="CE15" s="59">
        <f t="shared" si="40"/>
        <v>403.52202223463337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</v>
      </c>
      <c r="CT15" s="12">
        <f>IF('Données projet'!$A$140&gt;35,CT14+CS15-DB14,IF(A15&lt;'Données projet'!$A$140,$CQ$205^A15,IF(A15='Données projet'!$A$140,'Données projet'!$B$140,CT14+CS15-DB14)))</f>
        <v>19.394421119744504</v>
      </c>
      <c r="CU15" s="17">
        <f>CT15*VLOOKUP('Données projet'!$B$13,Paramètres!$A$1:$I$89,3,0)*VLOOKUP('Données projet'!$B$13,Paramètres!$A$1:$I$89,5,0)</f>
        <v>9.0765890840404282</v>
      </c>
      <c r="CV15" s="13">
        <f t="shared" si="41"/>
        <v>3.2357319710801056</v>
      </c>
      <c r="CW15" s="20">
        <f t="shared" si="13"/>
        <v>21.443959171001595</v>
      </c>
      <c r="CX15" s="59">
        <f t="shared" si="14"/>
        <v>276.43051021060285</v>
      </c>
      <c r="CY15" s="59">
        <f ca="1">AVERAGE(OFFSET($CX$3,0,0,'Données projet'!$E$13+1,1))-AVERAGE(OFFSET($H$3,0,0,'Données projet'!$E$13+1,1))</f>
        <v>319.88925869887464</v>
      </c>
      <c r="CZ15" s="59">
        <f t="shared" si="42"/>
        <v>258.2857172412098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3.2373333333333334</v>
      </c>
      <c r="DO15" s="12">
        <f>IF('Données projet'!$A$166&gt;35,DO14+DN15-DW14,IF(A15&lt;'Données projet'!$A$166,$DL$205^A15,IF(A15='Données projet'!$A$166,'Données projet'!$B$166,DO14+DN15-DW14)))</f>
        <v>22.336902187598508</v>
      </c>
      <c r="DP15" s="17">
        <f>DO15*VLOOKUP('Données projet'!$B$14,Paramètres!$A$1:$I$89,3,0)*VLOOKUP('Données projet'!$B$14,Paramètres!$A$1:$I$89,5,0)</f>
        <v>13.357467508183909</v>
      </c>
      <c r="DQ15" s="13">
        <f t="shared" si="43"/>
        <v>4.5524156010654915</v>
      </c>
      <c r="DR15" s="20">
        <f t="shared" si="16"/>
        <v>31.193046415276033</v>
      </c>
      <c r="DS15" s="59">
        <f t="shared" si="17"/>
        <v>286.1795974548773</v>
      </c>
      <c r="DT15" s="59">
        <f ca="1">AVERAGE(OFFSET($DS$3,0,0,'Données projet'!$E$14+1,1))-AVERAGE(OFFSET($H$3,0,0,'Données projet'!$E$14+1,1))</f>
        <v>443.64905827069435</v>
      </c>
      <c r="DU15" s="59">
        <f t="shared" si="44"/>
        <v>381.14782516862385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12.733333333333333</v>
      </c>
      <c r="EJ15" s="12">
        <f>IF('Données projet'!$A$192&gt;35,EJ14+EI15-ER14,IF(A15&lt;'Données projet'!$A$192,$EG$205^A15,IF(A15='Données projet'!$A$192,'Données projet'!$B$192,EJ14+EI15-ER14)))</f>
        <v>66.807726661397766</v>
      </c>
      <c r="EK15" s="17">
        <f>EJ15*VLOOKUP('Données projet'!$B$15,Paramètres!$A$1:$I$89,3,0)*VLOOKUP('Données projet'!$B$15,Paramètres!$A$1:$I$89,5,0)</f>
        <v>60.4476310832327</v>
      </c>
      <c r="EL15" s="13">
        <f t="shared" si="45"/>
        <v>17.281395189746284</v>
      </c>
      <c r="EM15" s="20">
        <f t="shared" si="19"/>
        <v>135.37805409210506</v>
      </c>
      <c r="EN15" s="59">
        <f t="shared" si="20"/>
        <v>390.3646051317063</v>
      </c>
      <c r="EO15" s="59">
        <f ca="1">AVERAGE(OFFSET($EN$3,0,0,'Données projet'!$E$15+1,1))-AVERAGE(OFFSET($H$3,0,0,'Données projet'!$E$15+1,1))</f>
        <v>504.37890861635196</v>
      </c>
      <c r="EP15" s="59">
        <f t="shared" si="46"/>
        <v>611.82129317522913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1.2</v>
      </c>
      <c r="FE15" s="12">
        <f>IF('Données projet'!$A$218&gt;35,FE14+FD15-FM14,IF(A15&lt;'Données projet'!$A$218,$FB$205^A15,IF(A15='Données projet'!$A$218,'Données projet'!$B$218,FE14+FD15-FM14)))</f>
        <v>5.1170328173444979</v>
      </c>
      <c r="FF15" s="17">
        <f>FE15*VLOOKUP('Données projet'!$B$16,Paramètres!$A$1:$I$89,3,0)*VLOOKUP('Données projet'!$B$16,Paramètres!$A$1:$I$89,5,0)</f>
        <v>5.5079741245896177</v>
      </c>
      <c r="FG15" s="13">
        <f t="shared" si="47"/>
        <v>2.0810978477317659</v>
      </c>
      <c r="FH15" s="20">
        <f t="shared" si="22"/>
        <v>13.217633685126408</v>
      </c>
      <c r="FI15" s="59">
        <f t="shared" si="23"/>
        <v>268.20418472472767</v>
      </c>
      <c r="FJ15" s="59">
        <f ca="1">AVERAGE(OFFSET($FI$3,0,0,'Données projet'!$E$16+1,1))-AVERAGE(OFFSET($H$3,0,0,'Données projet'!$E$16+1,1))</f>
        <v>334.01098870576732</v>
      </c>
      <c r="FK15" s="59">
        <f t="shared" si="48"/>
        <v>171.1802153303471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2.4666666666666668</v>
      </c>
      <c r="FZ15" s="12">
        <f>IF('Données projet'!$A$244&gt;35,FZ14+FY15-GH14,IF(A15&lt;'Données projet'!$A$244,$FW$205^A15,IF(A15='Données projet'!$A$244,'Données projet'!$B$244,FZ14+FY15-GH14)))</f>
        <v>17.970550417308221</v>
      </c>
      <c r="GA15" s="17">
        <f>FZ15*VLOOKUP('Données projet'!$B$17,Paramètres!$A$1:$I$89,3,0)*VLOOKUP('Données projet'!$B$17,Paramètres!$A$1:$I$89,5,0)</f>
        <v>15.699072844560465</v>
      </c>
      <c r="GB15" s="13">
        <f t="shared" si="49"/>
        <v>5.250810382962916</v>
      </c>
      <c r="GC15" s="20">
        <f t="shared" si="25"/>
        <v>36.48771328793655</v>
      </c>
      <c r="GD15" s="59">
        <f t="shared" si="26"/>
        <v>291.47426432753781</v>
      </c>
      <c r="GE15" s="59">
        <f ca="1">AVERAGE(OFFSET($GD$3,0,0,'Données projet'!$E$17+1,1))-AVERAGE(OFFSET($H$3,0,0,'Données projet'!$E$17+1,1))</f>
        <v>330.12856974146598</v>
      </c>
      <c r="GF15" s="59">
        <f t="shared" si="50"/>
        <v>321.23368446552286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65.541786647163974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2.1</v>
      </c>
      <c r="GU15" s="12">
        <f>IF('Données projet'!$A$270&gt;35,GU14+GT15-HC14,IF(A15&lt;'Données projet'!$A$270,$GR$205^A15,IF(A15='Données projet'!$A$270,'Données projet'!$B$270,GU14+GT15-HC14)))</f>
        <v>9.4178024044149407</v>
      </c>
      <c r="GV15" s="17">
        <f>GU15*VLOOKUP('Données projet'!$B$18,Paramètres!$A$1:$I$89,3,0)*VLOOKUP('Données projet'!$B$18,Paramètres!$A$1:$I$89,5,0)</f>
        <v>6.3174618528815421</v>
      </c>
      <c r="GW15" s="13">
        <f t="shared" si="51"/>
        <v>2.3491542326671957</v>
      </c>
      <c r="GX15" s="20">
        <f t="shared" si="28"/>
        <v>15.094356348997385</v>
      </c>
      <c r="GY15" s="59">
        <f t="shared" si="29"/>
        <v>270.08090738859863</v>
      </c>
      <c r="GZ15" s="59">
        <f ca="1">AVERAGE(OFFSET($GY$3,0,0,'Données projet'!$E$18+1,1))-AVERAGE(OFFSET($H$3,0,0,'Données projet'!$E$18+1,1))</f>
        <v>296.67751292332753</v>
      </c>
      <c r="HA15" s="59">
        <f t="shared" si="52"/>
        <v>197.99510031603018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1.1000000000000001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4.0333333333333341</v>
      </c>
      <c r="H16" s="67">
        <f t="shared" si="1"/>
        <v>240.5333333333333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290.75406126712636</v>
      </c>
      <c r="S16" s="59">
        <f ca="1">AVERAGE(OFFSET($R$3,0,0,'Données projet'!$E$9+1,1))-AVERAGE(OFFSET($H$3,0,0,'Données projet'!$E$9+1,1))</f>
        <v>461.20962581398715</v>
      </c>
      <c r="T16" s="59">
        <f t="shared" si="34"/>
        <v>348.44322874953923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294.76157983576394</v>
      </c>
      <c r="AN16" s="59">
        <f ca="1">AVERAGE(OFFSET($AM$3,0,0,'Données projet'!$E$10+1,1))-AVERAGE(OFFSET($H$3,0,0,'Données projet'!$E$10+1,1))</f>
        <v>510.86584023875525</v>
      </c>
      <c r="AO16" s="59">
        <f t="shared" si="36"/>
        <v>384.62921487244125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1.6</v>
      </c>
      <c r="BD16" s="12">
        <f>IF('Données projet'!$A$88&gt;35,BD15+BC16-BL15,IF(A16&lt;'Données projet'!$A$88,$BA$205^A16,IF(A16='Données projet'!$A$88,'Données projet'!$B$88,BD15+BC16-BL15)))</f>
        <v>9.5136569200217629</v>
      </c>
      <c r="BE16" s="13">
        <f>BD16*VLOOKUP('Données projet'!$B$11,Paramètres!$A$1:$I$89,3,0)*VLOOKUP('Données projet'!$B$11,Paramètres!$A$1:$I$89,5,0)</f>
        <v>6.9754132537599567</v>
      </c>
      <c r="BF16" s="13">
        <f t="shared" si="37"/>
        <v>2.5640734738934627</v>
      </c>
      <c r="BG16" s="20">
        <f t="shared" si="7"/>
        <v>16.614606050663038</v>
      </c>
      <c r="BH16" s="59">
        <f t="shared" si="8"/>
        <v>273.10695943935252</v>
      </c>
      <c r="BI16" s="59">
        <f ca="1">AVERAGE(OFFSET($BH$3,0,0,'Données projet'!$E$11+1,1))-AVERAGE(OFFSET($H$3,0,0,'Données projet'!$E$11+1,1))</f>
        <v>201.7253431547006</v>
      </c>
      <c r="BJ16" s="59">
        <f t="shared" si="38"/>
        <v>229.70004720044096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14.8</v>
      </c>
      <c r="BY16" s="12">
        <f>IF('Données projet'!$A$114&gt;35,BY15+BX16-CG15,IF(A16&lt;'Données projet'!$A$114,$BV$205^A16,IF(A16='Données projet'!$A$114,'Données projet'!$B$114,BY15+BX16-CG15)))</f>
        <v>64.399999999999991</v>
      </c>
      <c r="BZ16" s="13">
        <f>BY16*VLOOKUP('Données projet'!$B$12,Paramètres!$A$1:$I$89,3,0)*VLOOKUP('Données projet'!$B$12,Paramètres!$A$1:$I$89,5,0)</f>
        <v>35.999599999999994</v>
      </c>
      <c r="CA16" s="13">
        <f t="shared" si="39"/>
        <v>10.931926188715341</v>
      </c>
      <c r="CB16" s="20">
        <f t="shared" si="10"/>
        <v>81.73907477867921</v>
      </c>
      <c r="CC16" s="59">
        <f t="shared" si="11"/>
        <v>338.23142816736868</v>
      </c>
      <c r="CD16" s="59">
        <f ca="1">AVERAGE(OFFSET($CC$3,0,0,'Données projet'!$E$12+1,1))-AVERAGE(OFFSET($H$3,0,0,'Données projet'!$E$12+1,1))</f>
        <v>462.09240749760784</v>
      </c>
      <c r="CE16" s="59">
        <f t="shared" si="40"/>
        <v>403.52202223463337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</v>
      </c>
      <c r="CT16" s="12">
        <f>IF('Données projet'!$A$140&gt;35,CT15+CS16-DB15,IF(A16&lt;'Données projet'!$A$140,$CQ$205^A16,IF(A16='Données projet'!$A$140,'Données projet'!$B$140,CT15+CS16-DB15)))</f>
        <v>24.830371836403501</v>
      </c>
      <c r="CU16" s="17">
        <f>CT16*VLOOKUP('Données projet'!$B$13,Paramètres!$A$1:$I$89,3,0)*VLOOKUP('Données projet'!$B$13,Paramètres!$A$1:$I$89,5,0)</f>
        <v>11.620614019436839</v>
      </c>
      <c r="CV16" s="13">
        <f t="shared" si="41"/>
        <v>4.0252093855239011</v>
      </c>
      <c r="CW16" s="20">
        <f t="shared" si="13"/>
        <v>27.249809096973291</v>
      </c>
      <c r="CX16" s="59">
        <f t="shared" si="14"/>
        <v>283.74216248566279</v>
      </c>
      <c r="CY16" s="59">
        <f ca="1">AVERAGE(OFFSET($CX$3,0,0,'Données projet'!$E$13+1,1))-AVERAGE(OFFSET($H$3,0,0,'Données projet'!$E$13+1,1))</f>
        <v>319.88925869887464</v>
      </c>
      <c r="CZ16" s="59">
        <f t="shared" si="42"/>
        <v>258.2857172412098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3.2373333333333334</v>
      </c>
      <c r="DO16" s="12">
        <f>IF('Données projet'!$A$166&gt;35,DO15+DN16-DW15,IF(A16&lt;'Données projet'!$A$166,$DL$205^A16,IF(A16='Données projet'!$A$166,'Données projet'!$B$166,DO15+DN16-DW15)))</f>
        <v>28.936201565056958</v>
      </c>
      <c r="DP16" s="17">
        <f>DO16*VLOOKUP('Données projet'!$B$14,Paramètres!$A$1:$I$89,3,0)*VLOOKUP('Données projet'!$B$14,Paramètres!$A$1:$I$89,5,0)</f>
        <v>17.303848535904063</v>
      </c>
      <c r="DQ16" s="13">
        <f t="shared" si="43"/>
        <v>5.7223571370017456</v>
      </c>
      <c r="DR16" s="20">
        <f t="shared" si="16"/>
        <v>40.10397488031095</v>
      </c>
      <c r="DS16" s="59">
        <f t="shared" si="17"/>
        <v>296.59632826900042</v>
      </c>
      <c r="DT16" s="59">
        <f ca="1">AVERAGE(OFFSET($DS$3,0,0,'Données projet'!$E$14+1,1))-AVERAGE(OFFSET($H$3,0,0,'Données projet'!$E$14+1,1))</f>
        <v>443.64905827069435</v>
      </c>
      <c r="DU16" s="59">
        <f t="shared" si="44"/>
        <v>381.14782516862385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12.733333333333333</v>
      </c>
      <c r="EJ16" s="12">
        <f>IF('Données projet'!$A$192&gt;35,EJ15+EI16-ER15,IF(A16&lt;'Données projet'!$A$192,$EG$205^A16,IF(A16='Données projet'!$A$192,'Données projet'!$B$192,EJ15+EI16-ER15)))</f>
        <v>94.819046763506762</v>
      </c>
      <c r="EK16" s="17">
        <f>EJ16*VLOOKUP('Données projet'!$B$15,Paramètres!$A$1:$I$89,3,0)*VLOOKUP('Données projet'!$B$15,Paramètres!$A$1:$I$89,5,0)</f>
        <v>85.79227351162092</v>
      </c>
      <c r="EL16" s="13">
        <f t="shared" si="45"/>
        <v>23.547612147996816</v>
      </c>
      <c r="EM16" s="20">
        <f t="shared" si="19"/>
        <v>190.4336341905009</v>
      </c>
      <c r="EN16" s="59">
        <f t="shared" si="20"/>
        <v>446.92598757919041</v>
      </c>
      <c r="EO16" s="59">
        <f ca="1">AVERAGE(OFFSET($EN$3,0,0,'Données projet'!$E$15+1,1))-AVERAGE(OFFSET($H$3,0,0,'Données projet'!$E$15+1,1))</f>
        <v>504.37890861635196</v>
      </c>
      <c r="EP16" s="59">
        <f t="shared" si="46"/>
        <v>611.82129317522913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1.2</v>
      </c>
      <c r="FE16" s="12">
        <f>IF('Données projet'!$A$218&gt;35,FE15+FD16-FM15,IF(A16&lt;'Données projet'!$A$218,$FB$205^A16,IF(A16='Données projet'!$A$218,'Données projet'!$B$218,FE15+FD16-FM15)))</f>
        <v>5.8627726400958746</v>
      </c>
      <c r="FF16" s="17">
        <f>FE16*VLOOKUP('Données projet'!$B$16,Paramètres!$A$1:$I$89,3,0)*VLOOKUP('Données projet'!$B$16,Paramètres!$A$1:$I$89,5,0)</f>
        <v>6.3106884697991985</v>
      </c>
      <c r="FG16" s="13">
        <f t="shared" si="47"/>
        <v>2.346928580158357</v>
      </c>
      <c r="FH16" s="20">
        <f t="shared" si="22"/>
        <v>15.078683028676075</v>
      </c>
      <c r="FI16" s="59">
        <f t="shared" si="23"/>
        <v>271.57103641736558</v>
      </c>
      <c r="FJ16" s="59">
        <f ca="1">AVERAGE(OFFSET($FI$3,0,0,'Données projet'!$E$16+1,1))-AVERAGE(OFFSET($H$3,0,0,'Données projet'!$E$16+1,1))</f>
        <v>334.01098870576732</v>
      </c>
      <c r="FK16" s="59">
        <f t="shared" si="48"/>
        <v>171.1802153303471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2.4666666666666668</v>
      </c>
      <c r="FZ16" s="12">
        <f>IF('Données projet'!$A$244&gt;35,FZ15+FY16-GH15,IF(A16&lt;'Données projet'!$A$244,$FW$205^A16,IF(A16='Données projet'!$A$244,'Données projet'!$B$244,FZ15+FY16-GH15)))</f>
        <v>22.86168101684942</v>
      </c>
      <c r="GA16" s="17">
        <f>FZ16*VLOOKUP('Données projet'!$B$17,Paramètres!$A$1:$I$89,3,0)*VLOOKUP('Données projet'!$B$17,Paramètres!$A$1:$I$89,5,0)</f>
        <v>19.971964536319657</v>
      </c>
      <c r="GB16" s="13">
        <f t="shared" si="49"/>
        <v>6.4953696479137237</v>
      </c>
      <c r="GC16" s="20">
        <f t="shared" si="25"/>
        <v>46.097273704206465</v>
      </c>
      <c r="GD16" s="59">
        <f t="shared" si="26"/>
        <v>302.58962709289597</v>
      </c>
      <c r="GE16" s="59">
        <f ca="1">AVERAGE(OFFSET($GD$3,0,0,'Données projet'!$E$17+1,1))-AVERAGE(OFFSET($H$3,0,0,'Données projet'!$E$17+1,1))</f>
        <v>330.12856974146598</v>
      </c>
      <c r="GF16" s="59">
        <f t="shared" si="50"/>
        <v>321.23368446552286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65.619126681763802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2.1</v>
      </c>
      <c r="GU16" s="12">
        <f>IF('Données projet'!$A$270&gt;35,GU15+GT16-HC15,IF(A16&lt;'Données projet'!$A$270,$GR$205^A16,IF(A16='Données projet'!$A$270,'Données projet'!$B$270,GU15+GT16-HC15)))</f>
        <v>11.35303662145153</v>
      </c>
      <c r="GV16" s="17">
        <f>GU16*VLOOKUP('Données projet'!$B$18,Paramètres!$A$1:$I$89,3,0)*VLOOKUP('Données projet'!$B$18,Paramètres!$A$1:$I$89,5,0)</f>
        <v>7.6156169656696866</v>
      </c>
      <c r="GW16" s="13">
        <f t="shared" si="51"/>
        <v>2.7709372105119989</v>
      </c>
      <c r="GX16" s="20">
        <f t="shared" si="28"/>
        <v>18.089915190183103</v>
      </c>
      <c r="GY16" s="59">
        <f t="shared" si="29"/>
        <v>274.58226857887257</v>
      </c>
      <c r="GZ16" s="59">
        <f ca="1">AVERAGE(OFFSET($GY$3,0,0,'Données projet'!$E$18+1,1))-AVERAGE(OFFSET($H$3,0,0,'Données projet'!$E$18+1,1))</f>
        <v>296.67751292332753</v>
      </c>
      <c r="HA16" s="59">
        <f t="shared" si="52"/>
        <v>197.99510031603018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1.1000000000000001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4.0333333333333341</v>
      </c>
      <c r="H17" s="67">
        <f t="shared" si="1"/>
        <v>240.5333333333333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300.18883255323516</v>
      </c>
      <c r="S17" s="59">
        <f ca="1">AVERAGE(OFFSET($R$3,0,0,'Données projet'!$E$9+1,1))-AVERAGE(OFFSET($H$3,0,0,'Données projet'!$E$9+1,1))</f>
        <v>461.20962581398715</v>
      </c>
      <c r="T17" s="59">
        <f t="shared" si="34"/>
        <v>348.44322874953923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305.12727587562654</v>
      </c>
      <c r="AN17" s="59">
        <f ca="1">AVERAGE(OFFSET($AM$3,0,0,'Données projet'!$E$10+1,1))-AVERAGE(OFFSET($H$3,0,0,'Données projet'!$E$10+1,1))</f>
        <v>510.86584023875525</v>
      </c>
      <c r="AO17" s="59">
        <f t="shared" si="36"/>
        <v>384.62921487244125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1.6</v>
      </c>
      <c r="BD17" s="12">
        <f>IF('Données projet'!$A$88&gt;35,BD16+BC17-BL16,IF(A17&lt;'Données projet'!$A$88,$BA$205^A17,IF(A17='Données projet'!$A$88,'Données projet'!$B$88,BD16+BC17-BL16)))</f>
        <v>11.313708498984752</v>
      </c>
      <c r="BE17" s="13">
        <f>BD17*VLOOKUP('Données projet'!$B$11,Paramètres!$A$1:$I$89,3,0)*VLOOKUP('Données projet'!$B$11,Paramètres!$A$1:$I$89,5,0)</f>
        <v>8.2952110714556202</v>
      </c>
      <c r="BF17" s="13">
        <f t="shared" si="37"/>
        <v>2.9883261267049792</v>
      </c>
      <c r="BG17" s="20">
        <f t="shared" si="7"/>
        <v>19.65216062012971</v>
      </c>
      <c r="BH17" s="59">
        <f t="shared" si="8"/>
        <v>277.64539687669657</v>
      </c>
      <c r="BI17" s="59">
        <f ca="1">AVERAGE(OFFSET($BH$3,0,0,'Données projet'!$E$11+1,1))-AVERAGE(OFFSET($H$3,0,0,'Données projet'!$E$11+1,1))</f>
        <v>201.7253431547006</v>
      </c>
      <c r="BJ17" s="59">
        <f t="shared" si="38"/>
        <v>229.70004720044096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14.8</v>
      </c>
      <c r="BY17" s="12">
        <f>IF('Données projet'!$A$114&gt;35,BY16+BX17-CG16,IF(A17&lt;'Données projet'!$A$114,$BV$205^A17,IF(A17='Données projet'!$A$114,'Données projet'!$B$114,BY16+BX17-CG16)))</f>
        <v>79.199999999999989</v>
      </c>
      <c r="BZ17" s="13">
        <f>BY17*VLOOKUP('Données projet'!$B$12,Paramètres!$A$1:$I$89,3,0)*VLOOKUP('Données projet'!$B$12,Paramètres!$A$1:$I$89,5,0)</f>
        <v>44.272799999999997</v>
      </c>
      <c r="CA17" s="13">
        <f t="shared" si="39"/>
        <v>13.12437735336696</v>
      </c>
      <c r="CB17" s="20">
        <f t="shared" si="10"/>
        <v>99.966750557114111</v>
      </c>
      <c r="CC17" s="59">
        <f t="shared" si="11"/>
        <v>357.95998681368093</v>
      </c>
      <c r="CD17" s="59">
        <f ca="1">AVERAGE(OFFSET($CC$3,0,0,'Données projet'!$E$12+1,1))-AVERAGE(OFFSET($H$3,0,0,'Données projet'!$E$12+1,1))</f>
        <v>462.09240749760784</v>
      </c>
      <c r="CE17" s="59">
        <f t="shared" si="40"/>
        <v>403.52202223463337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</v>
      </c>
      <c r="CT17" s="12">
        <f>IF('Données projet'!$A$140&gt;35,CT16+CS17-DB16,IF(A17&lt;'Données projet'!$A$140,$CQ$205^A17,IF(A17='Données projet'!$A$140,'Données projet'!$B$140,CT16+CS17-DB16)))</f>
        <v>31.789933905600495</v>
      </c>
      <c r="CU17" s="17">
        <f>CT17*VLOOKUP('Données projet'!$B$13,Paramètres!$A$1:$I$89,3,0)*VLOOKUP('Données projet'!$B$13,Paramètres!$A$1:$I$89,5,0)</f>
        <v>14.877689067821033</v>
      </c>
      <c r="CV17" s="13">
        <f t="shared" si="41"/>
        <v>5.0073092401102919</v>
      </c>
      <c r="CW17" s="20">
        <f t="shared" si="13"/>
        <v>34.633038719647061</v>
      </c>
      <c r="CX17" s="59">
        <f t="shared" si="14"/>
        <v>292.62627497621389</v>
      </c>
      <c r="CY17" s="59">
        <f ca="1">AVERAGE(OFFSET($CX$3,0,0,'Données projet'!$E$13+1,1))-AVERAGE(OFFSET($H$3,0,0,'Données projet'!$E$13+1,1))</f>
        <v>319.88925869887464</v>
      </c>
      <c r="CZ17" s="59">
        <f t="shared" si="42"/>
        <v>258.2857172412098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3.2373333333333334</v>
      </c>
      <c r="DO17" s="12">
        <f>IF('Données projet'!$A$166&gt;35,DO16+DN17-DW16,IF(A17&lt;'Données projet'!$A$166,$DL$205^A17,IF(A17='Données projet'!$A$166,'Données projet'!$B$166,DO16+DN17-DW16)))</f>
        <v>37.485223061883545</v>
      </c>
      <c r="DP17" s="17">
        <f>DO17*VLOOKUP('Données projet'!$B$14,Paramètres!$A$1:$I$89,3,0)*VLOOKUP('Données projet'!$B$14,Paramètres!$A$1:$I$89,5,0)</f>
        <v>22.416163391006364</v>
      </c>
      <c r="DQ17" s="13">
        <f t="shared" si="43"/>
        <v>7.1929661245626981</v>
      </c>
      <c r="DR17" s="20">
        <f t="shared" si="16"/>
        <v>51.569233906282783</v>
      </c>
      <c r="DS17" s="59">
        <f t="shared" si="17"/>
        <v>309.56247016284959</v>
      </c>
      <c r="DT17" s="59">
        <f ca="1">AVERAGE(OFFSET($DS$3,0,0,'Données projet'!$E$14+1,1))-AVERAGE(OFFSET($H$3,0,0,'Données projet'!$E$14+1,1))</f>
        <v>443.64905827069435</v>
      </c>
      <c r="DU17" s="59">
        <f t="shared" si="44"/>
        <v>381.14782516862385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12.733333333333333</v>
      </c>
      <c r="EJ17" s="12">
        <f>IF('Données projet'!$A$192&gt;35,EJ16+EI17-ER16,IF(A17&lt;'Données projet'!$A$192,$EG$205^A17,IF(A17='Données projet'!$A$192,'Données projet'!$B$192,EJ16+EI17-ER16)))</f>
        <v>134.57502714779514</v>
      </c>
      <c r="EK17" s="17">
        <f>EJ17*VLOOKUP('Données projet'!$B$15,Paramètres!$A$1:$I$89,3,0)*VLOOKUP('Données projet'!$B$15,Paramètres!$A$1:$I$89,5,0)</f>
        <v>121.76348456332504</v>
      </c>
      <c r="EL17" s="13">
        <f t="shared" si="45"/>
        <v>32.085953233769388</v>
      </c>
      <c r="EM17" s="20">
        <f t="shared" si="19"/>
        <v>267.95443749660615</v>
      </c>
      <c r="EN17" s="59">
        <f t="shared" si="20"/>
        <v>525.94767375317292</v>
      </c>
      <c r="EO17" s="59">
        <f ca="1">AVERAGE(OFFSET($EN$3,0,0,'Données projet'!$E$15+1,1))-AVERAGE(OFFSET($H$3,0,0,'Données projet'!$E$15+1,1))</f>
        <v>504.37890861635196</v>
      </c>
      <c r="EP17" s="59">
        <f t="shared" si="46"/>
        <v>611.82129317522913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1.2</v>
      </c>
      <c r="FE17" s="12">
        <f>IF('Données projet'!$A$218&gt;35,FE16+FD17-FM16,IF(A17&lt;'Données projet'!$A$218,$FB$205^A17,IF(A17='Données projet'!$A$218,'Données projet'!$B$218,FE16+FD17-FM16)))</f>
        <v>6.7171941741218459</v>
      </c>
      <c r="FF17" s="17">
        <f>FE17*VLOOKUP('Données projet'!$B$16,Paramètres!$A$1:$I$89,3,0)*VLOOKUP('Données projet'!$B$16,Paramètres!$A$1:$I$89,5,0)</f>
        <v>7.2303878090247551</v>
      </c>
      <c r="FG17" s="13">
        <f t="shared" si="47"/>
        <v>2.6467154181950132</v>
      </c>
      <c r="FH17" s="20">
        <f t="shared" si="22"/>
        <v>17.202621454074428</v>
      </c>
      <c r="FI17" s="59">
        <f t="shared" si="23"/>
        <v>275.19585771064123</v>
      </c>
      <c r="FJ17" s="59">
        <f ca="1">AVERAGE(OFFSET($FI$3,0,0,'Données projet'!$E$16+1,1))-AVERAGE(OFFSET($H$3,0,0,'Données projet'!$E$16+1,1))</f>
        <v>334.01098870576732</v>
      </c>
      <c r="FK17" s="59">
        <f t="shared" si="48"/>
        <v>171.1802153303471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2.4666666666666668</v>
      </c>
      <c r="FZ17" s="12">
        <f>IF('Données projet'!$A$244&gt;35,FZ16+FY17-GH16,IF(A17&lt;'Données projet'!$A$244,$FW$205^A17,IF(A17='Données projet'!$A$244,'Données projet'!$B$244,FZ16+FY17-GH16)))</f>
        <v>29.084054009429774</v>
      </c>
      <c r="GA17" s="17">
        <f>FZ17*VLOOKUP('Données projet'!$B$17,Paramètres!$A$1:$I$89,3,0)*VLOOKUP('Données projet'!$B$17,Paramètres!$A$1:$I$89,5,0)</f>
        <v>25.407829582637852</v>
      </c>
      <c r="GB17" s="13">
        <f t="shared" si="49"/>
        <v>8.0349172386667025</v>
      </c>
      <c r="GC17" s="20">
        <f t="shared" si="25"/>
        <v>58.246117380438761</v>
      </c>
      <c r="GD17" s="59">
        <f t="shared" si="26"/>
        <v>316.23935363700559</v>
      </c>
      <c r="GE17" s="59">
        <f ca="1">AVERAGE(OFFSET($GD$3,0,0,'Données projet'!$E$17+1,1))-AVERAGE(OFFSET($H$3,0,0,'Données projet'!$E$17+1,1))</f>
        <v>330.12856974146598</v>
      </c>
      <c r="GF17" s="59">
        <f t="shared" si="50"/>
        <v>321.23368446552286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65.695125039669733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2.1</v>
      </c>
      <c r="GU17" s="12">
        <f>IF('Données projet'!$A$270&gt;35,GU16+GT17-HC16,IF(A17&lt;'Données projet'!$A$270,$GR$205^A17,IF(A17='Données projet'!$A$270,'Données projet'!$B$270,GU16+GT17-HC16)))</f>
        <v>13.685935953338433</v>
      </c>
      <c r="GV17" s="17">
        <f>GU17*VLOOKUP('Données projet'!$B$18,Paramètres!$A$1:$I$89,3,0)*VLOOKUP('Données projet'!$B$18,Paramètres!$A$1:$I$89,5,0)</f>
        <v>9.1805258374994221</v>
      </c>
      <c r="GW17" s="13">
        <f t="shared" si="51"/>
        <v>3.2684499458694205</v>
      </c>
      <c r="GX17" s="20">
        <f t="shared" si="28"/>
        <v>21.681966156034065</v>
      </c>
      <c r="GY17" s="59">
        <f t="shared" si="29"/>
        <v>279.67520241260092</v>
      </c>
      <c r="GZ17" s="59">
        <f ca="1">AVERAGE(OFFSET($GY$3,0,0,'Données projet'!$E$18+1,1))-AVERAGE(OFFSET($H$3,0,0,'Données projet'!$E$18+1,1))</f>
        <v>296.67751292332753</v>
      </c>
      <c r="HA17" s="59">
        <f t="shared" si="52"/>
        <v>197.99510031603018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1.1000000000000001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4.0333333333333341</v>
      </c>
      <c r="H18" s="67">
        <f t="shared" si="1"/>
        <v>240.5333333333333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311.46203127394836</v>
      </c>
      <c r="S18" s="59">
        <f ca="1">AVERAGE(OFFSET($R$3,0,0,'Données projet'!$E$9+1,1))-AVERAGE(OFFSET($H$3,0,0,'Données projet'!$E$9+1,1))</f>
        <v>461.20962581398715</v>
      </c>
      <c r="T18" s="59">
        <f t="shared" si="34"/>
        <v>348.44322874953923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317.54830748735424</v>
      </c>
      <c r="AN18" s="59">
        <f ca="1">AVERAGE(OFFSET($AM$3,0,0,'Données projet'!$E$10+1,1))-AVERAGE(OFFSET($H$3,0,0,'Données projet'!$E$10+1,1))</f>
        <v>510.86584023875525</v>
      </c>
      <c r="AO18" s="59">
        <f t="shared" si="36"/>
        <v>384.62921487244125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1.6</v>
      </c>
      <c r="BD18" s="12">
        <f>IF('Données projet'!$A$88&gt;35,BD17+BC18-BL17,IF(A18&lt;'Données projet'!$A$88,$BA$205^A18,IF(A18='Données projet'!$A$88,'Données projet'!$B$88,BD17+BC18-BL17)))</f>
        <v>13.454342644059421</v>
      </c>
      <c r="BE18" s="13">
        <f>BD18*VLOOKUP('Données projet'!$B$11,Paramètres!$A$1:$I$89,3,0)*VLOOKUP('Données projet'!$B$11,Paramètres!$A$1:$I$89,5,0)</f>
        <v>9.8647240266243674</v>
      </c>
      <c r="BF18" s="13">
        <f t="shared" si="37"/>
        <v>3.4827757981472831</v>
      </c>
      <c r="BG18" s="20">
        <f t="shared" si="7"/>
        <v>23.246895528143956</v>
      </c>
      <c r="BH18" s="59">
        <f t="shared" si="8"/>
        <v>282.7361805133778</v>
      </c>
      <c r="BI18" s="59">
        <f ca="1">AVERAGE(OFFSET($BH$3,0,0,'Données projet'!$E$11+1,1))-AVERAGE(OFFSET($H$3,0,0,'Données projet'!$E$11+1,1))</f>
        <v>201.7253431547006</v>
      </c>
      <c r="BJ18" s="59">
        <f t="shared" si="38"/>
        <v>229.70004720044096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94</v>
      </c>
      <c r="BW18" s="12">
        <f>VLOOKUP(A18,'Données projet'!$A$113:$I$133,9,0)</f>
        <v>14.8</v>
      </c>
      <c r="BX18" s="12">
        <f t="array" ref="BX18">INDEX(BW:BW,MIN(IF(ISNUMBER(BW18:BW214),ROW(BW18:BW214),"")))</f>
        <v>14.8</v>
      </c>
      <c r="BY18" s="12">
        <f>IF('Données projet'!$A$114&gt;35,BY17+BX18-CG17,IF(A18&lt;'Données projet'!$A$114,$BV$205^A18,IF(A18='Données projet'!$A$114,'Données projet'!$B$114,BY17+BX18-CG17)))</f>
        <v>93.999999999999986</v>
      </c>
      <c r="BZ18" s="13">
        <f>BY18*VLOOKUP('Données projet'!$B$12,Paramètres!$A$1:$I$89,3,0)*VLOOKUP('Données projet'!$B$12,Paramètres!$A$1:$I$89,5,0)</f>
        <v>52.545999999999992</v>
      </c>
      <c r="CA18" s="13">
        <f t="shared" si="39"/>
        <v>15.269362648914152</v>
      </c>
      <c r="CB18" s="20">
        <f t="shared" si="10"/>
        <v>118.11175661352546</v>
      </c>
      <c r="CC18" s="59">
        <f t="shared" si="11"/>
        <v>377.60104159875931</v>
      </c>
      <c r="CD18" s="59">
        <f ca="1">AVERAGE(OFFSET($CC$3,0,0,'Données projet'!$E$12+1,1))-AVERAGE(OFFSET($H$3,0,0,'Données projet'!$E$12+1,1))</f>
        <v>462.09240749760784</v>
      </c>
      <c r="CE18" s="59">
        <f t="shared" si="40"/>
        <v>403.52202223463337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21</v>
      </c>
      <c r="CH18" s="16">
        <f>IF(ISNA(VLOOKUP(A18,'Données projet'!$A$113:$I$133,5,0)),0%,VLOOKUP(A18,'Données projet'!$A$113:$I$133,5,0)*VLOOKUP('Données projet'!$B$12,Paramètres!$A$1:$I$89,7,0))</f>
        <v>0.11000000000000001</v>
      </c>
      <c r="CI18" s="16">
        <f>IF(ISNA(VLOOKUP(A18,'Données projet'!$A$113:$I$133,6,0)),0%,VLOOKUP(A18,'Données projet'!$A$113:$I$133,6,0)*VLOOKUP('Données projet'!$B$12,Paramètres!$A$1:$I$89,7,0))</f>
        <v>0.24750000000000003</v>
      </c>
      <c r="CJ18" s="16">
        <f>IF(ISNA(VLOOKUP(A18,'Données projet'!$A$113:$I$133,7,0)),0%,VLOOKUP(A18,'Données projet'!$A$113:$I$133,7,0))</f>
        <v>0.35</v>
      </c>
      <c r="CK18" s="21">
        <f>EXP(-LN(2)/35)*CK17+(1-EXP(-LN(2)/35))/(LN(2)/35)*CG18*CH18*VLOOKUP('Données projet'!$B$12,Paramètres!$A$1:$I$89,3,0)*0.475*44/12</f>
        <v>1.7129794156645239</v>
      </c>
      <c r="CL18" s="21">
        <f>EXP(-LN(2)/25)*CL17+(1-EXP(-LN(2)/25))/(LN(2)/25)*Calculateur!CG18*Calculateur!CI18*VLOOKUP('Données projet'!$B$12,Paramètres!$A$1:$I$89,3,0)*0.475*44/12</f>
        <v>3.839028216769631</v>
      </c>
      <c r="CM18" s="21">
        <f>EXP(-LN(2)/2)*CM17+(1-EXP(-LN(2)/2))/(LN(2)/2)*CG18*CJ18*VLOOKUP('Données projet'!$B$12,Paramètres!$A$1:$I$89,3,0)*0.475*44/12</f>
        <v>4.651946229232113</v>
      </c>
      <c r="CN18" s="22">
        <f t="shared" si="12"/>
        <v>10.203953861666267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</v>
      </c>
      <c r="CT18" s="12">
        <f>IF('Données projet'!$A$140&gt;35,CT17+CS18-DB17,IF(A18&lt;'Données projet'!$A$140,$CQ$205^A18,IF(A18='Données projet'!$A$140,'Données projet'!$B$140,CT17+CS18-DB17)))</f>
        <v>40.70015158777526</v>
      </c>
      <c r="CU18" s="17">
        <f>CT18*VLOOKUP('Données projet'!$B$13,Paramètres!$A$1:$I$89,3,0)*VLOOKUP('Données projet'!$B$13,Paramètres!$A$1:$I$89,5,0)</f>
        <v>19.04767094307882</v>
      </c>
      <c r="CV18" s="13">
        <f t="shared" si="41"/>
        <v>6.2290289584104483</v>
      </c>
      <c r="CW18" s="20">
        <f t="shared" si="13"/>
        <v>44.023585661760478</v>
      </c>
      <c r="CX18" s="59">
        <f t="shared" si="14"/>
        <v>303.51287064699432</v>
      </c>
      <c r="CY18" s="59">
        <f ca="1">AVERAGE(OFFSET($CX$3,0,0,'Données projet'!$E$13+1,1))-AVERAGE(OFFSET($H$3,0,0,'Données projet'!$E$13+1,1))</f>
        <v>319.88925869887464</v>
      </c>
      <c r="CZ18" s="59">
        <f t="shared" si="42"/>
        <v>258.2857172412098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48.56</v>
      </c>
      <c r="DM18" s="12">
        <f>VLOOKUP(A18,'Données projet'!$A$165:$I$185,9,0)</f>
        <v>3.2373333333333334</v>
      </c>
      <c r="DN18" s="12">
        <f t="array" ref="DN18">INDEX(DM:DM,MIN(IF(ISNUMBER(DM18:DM214),ROW(DM18:DM214),"")))</f>
        <v>3.2373333333333334</v>
      </c>
      <c r="DO18" s="12">
        <f>IF('Données projet'!$A$166&gt;35,DO17+DN18-DW17,IF(A18&lt;'Données projet'!$A$166,$DL$205^A18,IF(A18='Données projet'!$A$166,'Données projet'!$B$166,DO17+DN18-DW17)))</f>
        <v>48.56</v>
      </c>
      <c r="DP18" s="17">
        <f>DO18*VLOOKUP('Données projet'!$B$14,Paramètres!$A$1:$I$89,3,0)*VLOOKUP('Données projet'!$B$14,Paramètres!$A$1:$I$89,5,0)</f>
        <v>29.038880000000002</v>
      </c>
      <c r="DQ18" s="13">
        <f t="shared" si="43"/>
        <v>9.0415121654247592</v>
      </c>
      <c r="DR18" s="20">
        <f t="shared" si="16"/>
        <v>66.323349688114789</v>
      </c>
      <c r="DS18" s="59">
        <f t="shared" si="17"/>
        <v>325.81263467334861</v>
      </c>
      <c r="DT18" s="59">
        <f ca="1">AVERAGE(OFFSET($DS$3,0,0,'Données projet'!$E$14+1,1))-AVERAGE(OFFSET($H$3,0,0,'Données projet'!$E$14+1,1))</f>
        <v>443.64905827069435</v>
      </c>
      <c r="DU18" s="59">
        <f t="shared" si="44"/>
        <v>381.14782516862385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191</v>
      </c>
      <c r="EH18" s="12">
        <f>VLOOKUP(A18,'Données projet'!$A$191:$I$211,9,0)</f>
        <v>12.733333333333333</v>
      </c>
      <c r="EI18" s="12">
        <f t="array" ref="EI18">INDEX(EH:EH,MIN(IF(ISNUMBER(EH18:EH214),ROW(EH18:EH214),"")))</f>
        <v>12.733333333333333</v>
      </c>
      <c r="EJ18" s="12">
        <f>IF('Données projet'!$A$192&gt;35,EJ17+EI18-ER17,IF(A18&lt;'Données projet'!$A$192,$EG$205^A18,IF(A18='Données projet'!$A$192,'Données projet'!$B$192,EJ17+EI18-ER17)))</f>
        <v>191</v>
      </c>
      <c r="EK18" s="17">
        <f>EJ18*VLOOKUP('Données projet'!$B$15,Paramètres!$A$1:$I$89,3,0)*VLOOKUP('Données projet'!$B$15,Paramètres!$A$1:$I$89,5,0)</f>
        <v>172.81679999999997</v>
      </c>
      <c r="EL18" s="13">
        <f t="shared" si="45"/>
        <v>43.720288428787327</v>
      </c>
      <c r="EM18" s="20">
        <f t="shared" si="19"/>
        <v>377.13542901347114</v>
      </c>
      <c r="EN18" s="59">
        <f t="shared" si="20"/>
        <v>636.62471399870492</v>
      </c>
      <c r="EO18" s="59">
        <f ca="1">AVERAGE(OFFSET($EN$3,0,0,'Données projet'!$E$15+1,1))-AVERAGE(OFFSET($H$3,0,0,'Données projet'!$E$15+1,1))</f>
        <v>504.37890861635196</v>
      </c>
      <c r="EP18" s="59">
        <f t="shared" si="46"/>
        <v>611.82129317522913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49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1.2</v>
      </c>
      <c r="FE18" s="12">
        <f>IF('Données projet'!$A$218&gt;35,FE17+FD18-FM17,IF(A18&lt;'Données projet'!$A$218,$FB$205^A18,IF(A18='Données projet'!$A$218,'Données projet'!$B$218,FE17+FD18-FM17)))</f>
        <v>7.6961363407260848</v>
      </c>
      <c r="FF18" s="17">
        <f>FE18*VLOOKUP('Données projet'!$B$16,Paramètres!$A$1:$I$89,3,0)*VLOOKUP('Données projet'!$B$16,Paramètres!$A$1:$I$89,5,0)</f>
        <v>8.284121157157557</v>
      </c>
      <c r="FG18" s="13">
        <f t="shared" si="47"/>
        <v>2.9847957727109624</v>
      </c>
      <c r="FH18" s="20">
        <f t="shared" si="22"/>
        <v>19.626696986187671</v>
      </c>
      <c r="FI18" s="59">
        <f t="shared" si="23"/>
        <v>279.11598197142149</v>
      </c>
      <c r="FJ18" s="59">
        <f ca="1">AVERAGE(OFFSET($FI$3,0,0,'Données projet'!$E$16+1,1))-AVERAGE(OFFSET($H$3,0,0,'Données projet'!$E$16+1,1))</f>
        <v>334.01098870576732</v>
      </c>
      <c r="FK18" s="59">
        <f t="shared" si="48"/>
        <v>171.1802153303471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37</v>
      </c>
      <c r="FX18" s="12">
        <f>VLOOKUP(A18,'Données projet'!$A$243:$I$263,9,0)</f>
        <v>2.4666666666666668</v>
      </c>
      <c r="FY18" s="12">
        <f t="array" ref="FY18">INDEX(FX:FX,MIN(IF(ISNUMBER(FX18:FX214),ROW(FX18:FX214),"")))</f>
        <v>2.4666666666666668</v>
      </c>
      <c r="FZ18" s="12">
        <f>IF('Données projet'!$A$244&gt;35,FZ17+FY18-GH17,IF(A18&lt;'Données projet'!$A$244,$FW$205^A18,IF(A18='Données projet'!$A$244,'Données projet'!$B$244,FZ17+FY18-GH17)))</f>
        <v>37</v>
      </c>
      <c r="GA18" s="17">
        <f>FZ18*VLOOKUP('Données projet'!$B$17,Paramètres!$A$1:$I$89,3,0)*VLOOKUP('Données projet'!$B$17,Paramètres!$A$1:$I$89,5,0)</f>
        <v>32.323200000000007</v>
      </c>
      <c r="GB18" s="13">
        <f t="shared" si="49"/>
        <v>9.9393719729191545</v>
      </c>
      <c r="GC18" s="20">
        <f t="shared" si="25"/>
        <v>73.607312852834198</v>
      </c>
      <c r="GD18" s="59">
        <f t="shared" si="26"/>
        <v>333.09659783806802</v>
      </c>
      <c r="GE18" s="59">
        <f ca="1">AVERAGE(OFFSET($GD$3,0,0,'Données projet'!$E$17+1,1))-AVERAGE(OFFSET($H$3,0,0,'Données projet'!$E$17+1,1))</f>
        <v>330.12856974146598</v>
      </c>
      <c r="GF18" s="59">
        <f t="shared" si="50"/>
        <v>321.23368446552286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15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65.769804995972862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2.1</v>
      </c>
      <c r="GU18" s="12">
        <f>IF('Données projet'!$A$270&gt;35,GU17+GT18-HC17,IF(A18&lt;'Données projet'!$A$270,$GR$205^A18,IF(A18='Données projet'!$A$270,'Données projet'!$B$270,GU17+GT18-HC17)))</f>
        <v>16.498215337821566</v>
      </c>
      <c r="GV18" s="17">
        <f>GU18*VLOOKUP('Données projet'!$B$18,Paramètres!$A$1:$I$89,3,0)*VLOOKUP('Données projet'!$B$18,Paramètres!$A$1:$I$89,5,0)</f>
        <v>11.067002848610706</v>
      </c>
      <c r="GW18" s="13">
        <f t="shared" si="51"/>
        <v>3.8552894696159199</v>
      </c>
      <c r="GX18" s="20">
        <f t="shared" si="28"/>
        <v>25.989659120911373</v>
      </c>
      <c r="GY18" s="59">
        <f t="shared" si="29"/>
        <v>285.47894410614521</v>
      </c>
      <c r="GZ18" s="59">
        <f ca="1">AVERAGE(OFFSET($GY$3,0,0,'Données projet'!$E$18+1,1))-AVERAGE(OFFSET($H$3,0,0,'Données projet'!$E$18+1,1))</f>
        <v>296.67751292332753</v>
      </c>
      <c r="HA18" s="59">
        <f t="shared" si="52"/>
        <v>197.99510031603018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1.1000000000000001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4.0333333333333341</v>
      </c>
      <c r="H19" s="67">
        <f t="shared" si="1"/>
        <v>240.5333333333333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325.00328294872298</v>
      </c>
      <c r="S19" s="59">
        <f ca="1">AVERAGE(OFFSET($R$3,0,0,'Données projet'!$E$9+1,1))-AVERAGE(OFFSET($H$3,0,0,'Données projet'!$E$9+1,1))</f>
        <v>461.20962581398715</v>
      </c>
      <c r="T19" s="59">
        <f t="shared" si="34"/>
        <v>348.44322874953923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332.50498216018849</v>
      </c>
      <c r="AN19" s="59">
        <f ca="1">AVERAGE(OFFSET($AM$3,0,0,'Données projet'!$E$10+1,1))-AVERAGE(OFFSET($H$3,0,0,'Données projet'!$E$10+1,1))</f>
        <v>510.86584023875525</v>
      </c>
      <c r="AO19" s="59">
        <f t="shared" si="36"/>
        <v>384.62921487244125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1.6</v>
      </c>
      <c r="BD19" s="12">
        <f>IF('Données projet'!$A$88&gt;35,BD18+BC19-BL18,IF(A19&lt;'Données projet'!$A$88,$BA$205^A19,IF(A19='Données projet'!$A$88,'Données projet'!$B$88,BD18+BC19-BL18)))</f>
        <v>15.999999999999986</v>
      </c>
      <c r="BE19" s="13">
        <f>BD19*VLOOKUP('Données projet'!$B$11,Paramètres!$A$1:$I$89,3,0)*VLOOKUP('Données projet'!$B$11,Paramètres!$A$1:$I$89,5,0)</f>
        <v>11.731199999999989</v>
      </c>
      <c r="BF19" s="13">
        <f t="shared" si="37"/>
        <v>4.0590373158283972</v>
      </c>
      <c r="BG19" s="20">
        <f t="shared" si="7"/>
        <v>27.501329991734437</v>
      </c>
      <c r="BH19" s="59">
        <f t="shared" si="8"/>
        <v>288.48191342793285</v>
      </c>
      <c r="BI19" s="59">
        <f ca="1">AVERAGE(OFFSET($BH$3,0,0,'Données projet'!$E$11+1,1))-AVERAGE(OFFSET($H$3,0,0,'Données projet'!$E$11+1,1))</f>
        <v>201.7253431547006</v>
      </c>
      <c r="BJ19" s="59">
        <f t="shared" si="38"/>
        <v>229.70004720044096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20.2</v>
      </c>
      <c r="BY19" s="12">
        <f>IF('Données projet'!$A$114&gt;35,BY18+BX19-CG18,IF(A19&lt;'Données projet'!$A$114,$BV$205^A19,IF(A19='Données projet'!$A$114,'Données projet'!$B$114,BY18+BX19-CG18)))</f>
        <v>93.199999999999989</v>
      </c>
      <c r="BZ19" s="13">
        <f>BY19*VLOOKUP('Données projet'!$B$12,Paramètres!$A$1:$I$89,3,0)*VLOOKUP('Données projet'!$B$12,Paramètres!$A$1:$I$89,5,0)</f>
        <v>52.09879999999999</v>
      </c>
      <c r="CA19" s="13">
        <f t="shared" si="39"/>
        <v>15.154479985527493</v>
      </c>
      <c r="CB19" s="20">
        <f t="shared" si="10"/>
        <v>117.13279597479369</v>
      </c>
      <c r="CC19" s="59">
        <f t="shared" si="11"/>
        <v>378.11337941099208</v>
      </c>
      <c r="CD19" s="59">
        <f ca="1">AVERAGE(OFFSET($CC$3,0,0,'Données projet'!$E$12+1,1))-AVERAGE(OFFSET($H$3,0,0,'Données projet'!$E$12+1,1))</f>
        <v>462.09240749760784</v>
      </c>
      <c r="CE19" s="59">
        <f t="shared" si="40"/>
        <v>403.52202223463337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1.6793889341376194</v>
      </c>
      <c r="CL19" s="21">
        <f>EXP(-LN(2)/25)*CL18+(1-EXP(-LN(2)/25))/(LN(2)/25)*Calculateur!CG19*Calculateur!CI19*VLOOKUP('Données projet'!$B$12,Paramètres!$A$1:$I$89,3,0)*0.475*44/12</f>
        <v>3.7340497882963457</v>
      </c>
      <c r="CM19" s="21">
        <f>EXP(-LN(2)/2)*CM18+(1-EXP(-LN(2)/2))/(LN(2)/2)*CG19*CJ19*VLOOKUP('Données projet'!$B$12,Paramètres!$A$1:$I$89,3,0)*0.475*44/12</f>
        <v>3.2894227244052168</v>
      </c>
      <c r="CN19" s="22">
        <f t="shared" si="12"/>
        <v>8.7028614468391829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</v>
      </c>
      <c r="CT19" s="12">
        <f>IF('Données projet'!$A$140&gt;35,CT18+CS19-DB18,IF(A19&lt;'Données projet'!$A$140,$CQ$205^A19,IF(A19='Données projet'!$A$140,'Données projet'!$B$140,CT18+CS19-DB18)))</f>
        <v>52.107762922276969</v>
      </c>
      <c r="CU19" s="17">
        <f>CT19*VLOOKUP('Données projet'!$B$13,Paramètres!$A$1:$I$89,3,0)*VLOOKUP('Données projet'!$B$13,Paramètres!$A$1:$I$89,5,0)</f>
        <v>24.386433047625623</v>
      </c>
      <c r="CV19" s="13">
        <f t="shared" si="41"/>
        <v>7.7488327371331547</v>
      </c>
      <c r="CW19" s="20">
        <f t="shared" si="13"/>
        <v>55.968921241788202</v>
      </c>
      <c r="CX19" s="59">
        <f t="shared" si="14"/>
        <v>316.94950467798662</v>
      </c>
      <c r="CY19" s="59">
        <f ca="1">AVERAGE(OFFSET($CX$3,0,0,'Données projet'!$E$13+1,1))-AVERAGE(OFFSET($H$3,0,0,'Données projet'!$E$13+1,1))</f>
        <v>319.88925869887464</v>
      </c>
      <c r="CZ19" s="59">
        <f t="shared" si="42"/>
        <v>258.2857172412098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19.814999999999998</v>
      </c>
      <c r="DO19" s="12">
        <f>IF('Données projet'!$A$166&gt;35,DO18+DN19-DW18,IF(A19&lt;'Données projet'!$A$166,$DL$205^A19,IF(A19='Données projet'!$A$166,'Données projet'!$B$166,DO18+DN19-DW18)))</f>
        <v>68.375</v>
      </c>
      <c r="DP19" s="17">
        <f>DO19*VLOOKUP('Données projet'!$B$14,Paramètres!$A$1:$I$89,3,0)*VLOOKUP('Données projet'!$B$14,Paramètres!$A$1:$I$89,5,0)</f>
        <v>40.888249999999999</v>
      </c>
      <c r="DQ19" s="13">
        <f t="shared" si="43"/>
        <v>12.233775880721598</v>
      </c>
      <c r="DR19" s="20">
        <f t="shared" si="16"/>
        <v>92.52086174225677</v>
      </c>
      <c r="DS19" s="59">
        <f t="shared" si="17"/>
        <v>353.50144517845519</v>
      </c>
      <c r="DT19" s="59">
        <f ca="1">AVERAGE(OFFSET($DS$3,0,0,'Données projet'!$E$14+1,1))-AVERAGE(OFFSET($H$3,0,0,'Données projet'!$E$14+1,1))</f>
        <v>443.64905827069435</v>
      </c>
      <c r="DU19" s="59">
        <f t="shared" si="44"/>
        <v>381.14782516862385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17.2</v>
      </c>
      <c r="EJ19" s="12">
        <f>IF('Données projet'!$A$192&gt;35,EJ18+EI19-ER18,IF(A19&lt;'Données projet'!$A$192,$EG$205^A19,IF(A19='Données projet'!$A$192,'Données projet'!$B$192,EJ18+EI19-ER18)))</f>
        <v>159.19999999999999</v>
      </c>
      <c r="EK19" s="17">
        <f>EJ19*VLOOKUP('Données projet'!$B$15,Paramètres!$A$1:$I$89,3,0)*VLOOKUP('Données projet'!$B$15,Paramètres!$A$1:$I$89,5,0)</f>
        <v>144.04415999999998</v>
      </c>
      <c r="EL19" s="13">
        <f t="shared" si="45"/>
        <v>37.221924674283542</v>
      </c>
      <c r="EM19" s="20">
        <f t="shared" si="19"/>
        <v>315.70509747437711</v>
      </c>
      <c r="EN19" s="59">
        <f t="shared" si="20"/>
        <v>576.68568091057546</v>
      </c>
      <c r="EO19" s="59">
        <f ca="1">AVERAGE(OFFSET($EN$3,0,0,'Données projet'!$E$15+1,1))-AVERAGE(OFFSET($H$3,0,0,'Données projet'!$E$15+1,1))</f>
        <v>504.37890861635196</v>
      </c>
      <c r="EP19" s="59">
        <f t="shared" si="46"/>
        <v>611.82129317522913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1.2</v>
      </c>
      <c r="FE19" s="12">
        <f>IF('Données projet'!$A$218&gt;35,FE18+FD19-FM18,IF(A19&lt;'Données projet'!$A$218,$FB$205^A19,IF(A19='Données projet'!$A$218,'Données projet'!$B$218,FE18+FD19-FM18)))</f>
        <v>8.8177463744060987</v>
      </c>
      <c r="FF19" s="17">
        <f>FE19*VLOOKUP('Données projet'!$B$16,Paramètres!$A$1:$I$89,3,0)*VLOOKUP('Données projet'!$B$16,Paramètres!$A$1:$I$89,5,0)</f>
        <v>9.4914221974107242</v>
      </c>
      <c r="FG19" s="13">
        <f t="shared" si="47"/>
        <v>3.3660610972935361</v>
      </c>
      <c r="FH19" s="20">
        <f t="shared" si="22"/>
        <v>22.393450071609919</v>
      </c>
      <c r="FI19" s="59">
        <f t="shared" si="23"/>
        <v>283.37403350780835</v>
      </c>
      <c r="FJ19" s="59">
        <f ca="1">AVERAGE(OFFSET($FI$3,0,0,'Données projet'!$E$16+1,1))-AVERAGE(OFFSET($H$3,0,0,'Données projet'!$E$16+1,1))</f>
        <v>334.01098870576732</v>
      </c>
      <c r="FK19" s="59">
        <f t="shared" si="48"/>
        <v>171.1802153303471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11.6</v>
      </c>
      <c r="FZ19" s="12">
        <f>IF('Données projet'!$A$244&gt;35,FZ18+FY19-GH18,IF(A19&lt;'Données projet'!$A$244,$FW$205^A19,IF(A19='Données projet'!$A$244,'Données projet'!$B$244,FZ18+FY19-GH18)))</f>
        <v>33.6</v>
      </c>
      <c r="GA19" s="17">
        <f>FZ19*VLOOKUP('Données projet'!$B$17,Paramètres!$A$1:$I$89,3,0)*VLOOKUP('Données projet'!$B$17,Paramètres!$A$1:$I$89,5,0)</f>
        <v>29.352960000000007</v>
      </c>
      <c r="GB19" s="13">
        <f t="shared" si="49"/>
        <v>9.1278666361046881</v>
      </c>
      <c r="GC19" s="20">
        <f t="shared" si="25"/>
        <v>67.020773057882352</v>
      </c>
      <c r="GD19" s="59">
        <f t="shared" si="26"/>
        <v>328.00135649408077</v>
      </c>
      <c r="GE19" s="59">
        <f ca="1">AVERAGE(OFFSET($GD$3,0,0,'Données projet'!$E$17+1,1))-AVERAGE(OFFSET($H$3,0,0,'Données projet'!$E$17+1,1))</f>
        <v>330.12856974146598</v>
      </c>
      <c r="GF19" s="59">
        <f t="shared" si="50"/>
        <v>321.23368446552286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65.843189421993515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2.1</v>
      </c>
      <c r="GU19" s="12">
        <f>IF('Données projet'!$A$270&gt;35,GU18+GT19-HC18,IF(A19&lt;'Données projet'!$A$270,$GR$205^A19,IF(A19='Données projet'!$A$270,'Données projet'!$B$270,GU18+GT19-HC18)))</f>
        <v>19.888381054913147</v>
      </c>
      <c r="GV19" s="17">
        <f>GU19*VLOOKUP('Données projet'!$B$18,Paramètres!$A$1:$I$89,3,0)*VLOOKUP('Données projet'!$B$18,Paramètres!$A$1:$I$89,5,0)</f>
        <v>13.34112601163574</v>
      </c>
      <c r="GW19" s="13">
        <f t="shared" si="51"/>
        <v>4.5474941151585293</v>
      </c>
      <c r="GX19" s="20">
        <f t="shared" si="28"/>
        <v>31.156013387500014</v>
      </c>
      <c r="GY19" s="59">
        <f t="shared" si="29"/>
        <v>292.13659682369843</v>
      </c>
      <c r="GZ19" s="59">
        <f ca="1">AVERAGE(OFFSET($GY$3,0,0,'Données projet'!$E$18+1,1))-AVERAGE(OFFSET($H$3,0,0,'Données projet'!$E$18+1,1))</f>
        <v>296.67751292332753</v>
      </c>
      <c r="HA19" s="59">
        <f t="shared" si="52"/>
        <v>197.99510031603018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1.1000000000000001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4.0333333333333341</v>
      </c>
      <c r="H20" s="67">
        <f t="shared" si="1"/>
        <v>240.5333333333333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341.34258888357243</v>
      </c>
      <c r="S20" s="59">
        <f ca="1">AVERAGE(OFFSET($R$3,0,0,'Données projet'!$E$9+1,1))-AVERAGE(OFFSET($H$3,0,0,'Données projet'!$E$9+1,1))</f>
        <v>461.20962581398715</v>
      </c>
      <c r="T20" s="59">
        <f t="shared" si="34"/>
        <v>348.44322874953923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350.58985571606894</v>
      </c>
      <c r="AN20" s="59">
        <f ca="1">AVERAGE(OFFSET($AM$3,0,0,'Données projet'!$E$10+1,1))-AVERAGE(OFFSET($H$3,0,0,'Données projet'!$E$10+1,1))</f>
        <v>510.86584023875525</v>
      </c>
      <c r="AO20" s="59">
        <f t="shared" si="36"/>
        <v>384.62921487244125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1.6</v>
      </c>
      <c r="BD20" s="12">
        <f>IF('Données projet'!$A$88&gt;35,BD19+BC20-BL19,IF(A20&lt;'Données projet'!$A$88,$BA$205^A20,IF(A20='Données projet'!$A$88,'Données projet'!$B$88,BD19+BC20-BL19)))</f>
        <v>19.027313840043519</v>
      </c>
      <c r="BE20" s="13">
        <f>BD20*VLOOKUP('Données projet'!$B$11,Paramètres!$A$1:$I$89,3,0)*VLOOKUP('Données projet'!$B$11,Paramètres!$A$1:$I$89,5,0)</f>
        <v>13.950826507519906</v>
      </c>
      <c r="BF20" s="13">
        <f t="shared" si="37"/>
        <v>4.7306473015150585</v>
      </c>
      <c r="BG20" s="20">
        <f t="shared" si="7"/>
        <v>32.536900217402561</v>
      </c>
      <c r="BH20" s="59">
        <f t="shared" si="8"/>
        <v>295.00411423356127</v>
      </c>
      <c r="BI20" s="59">
        <f ca="1">AVERAGE(OFFSET($BH$3,0,0,'Données projet'!$E$11+1,1))-AVERAGE(OFFSET($H$3,0,0,'Données projet'!$E$11+1,1))</f>
        <v>201.7253431547006</v>
      </c>
      <c r="BJ20" s="59">
        <f t="shared" si="38"/>
        <v>229.70004720044096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20.2</v>
      </c>
      <c r="BY20" s="12">
        <f>IF('Données projet'!$A$114&gt;35,BY19+BX20-CG19,IF(A20&lt;'Données projet'!$A$114,$BV$205^A20,IF(A20='Données projet'!$A$114,'Données projet'!$B$114,BY19+BX20-CG19)))</f>
        <v>113.39999999999999</v>
      </c>
      <c r="BZ20" s="13">
        <f>BY20*VLOOKUP('Données projet'!$B$12,Paramètres!$A$1:$I$89,3,0)*VLOOKUP('Données projet'!$B$12,Paramètres!$A$1:$I$89,5,0)</f>
        <v>63.390599999999992</v>
      </c>
      <c r="CA20" s="13">
        <f t="shared" si="39"/>
        <v>18.022757255392179</v>
      </c>
      <c r="CB20" s="20">
        <f t="shared" si="10"/>
        <v>141.79493055314137</v>
      </c>
      <c r="CC20" s="59">
        <f t="shared" si="11"/>
        <v>404.26214456930006</v>
      </c>
      <c r="CD20" s="59">
        <f ca="1">AVERAGE(OFFSET($CC$3,0,0,'Données projet'!$E$12+1,1))-AVERAGE(OFFSET($H$3,0,0,'Données projet'!$E$12+1,1))</f>
        <v>462.09240749760784</v>
      </c>
      <c r="CE20" s="59">
        <f t="shared" si="40"/>
        <v>403.52202223463337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1.6464571414652867</v>
      </c>
      <c r="CL20" s="21">
        <f>EXP(-LN(2)/25)*CL19+(1-EXP(-LN(2)/25))/(LN(2)/25)*Calculateur!CG20*Calculateur!CI20*VLOOKUP('Données projet'!$B$12,Paramètres!$A$1:$I$89,3,0)*0.475*44/12</f>
        <v>3.6319420004702381</v>
      </c>
      <c r="CM20" s="21">
        <f>EXP(-LN(2)/2)*CM19+(1-EXP(-LN(2)/2))/(LN(2)/2)*CG20*CJ20*VLOOKUP('Données projet'!$B$12,Paramètres!$A$1:$I$89,3,0)*0.475*44/12</f>
        <v>2.3259731146160569</v>
      </c>
      <c r="CN20" s="22">
        <f t="shared" si="12"/>
        <v>7.6043722565515814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</v>
      </c>
      <c r="CT20" s="12">
        <f>IF('Données projet'!$A$140&gt;35,CT19+CS20-DB19,IF(A20&lt;'Données projet'!$A$140,$CQ$205^A20,IF(A20='Données projet'!$A$140,'Données projet'!$B$140,CT19+CS20-DB19)))</f>
        <v>66.712748008038588</v>
      </c>
      <c r="CU20" s="17">
        <f>CT20*VLOOKUP('Données projet'!$B$13,Paramètres!$A$1:$I$89,3,0)*VLOOKUP('Données projet'!$B$13,Paramètres!$A$1:$I$89,5,0)</f>
        <v>31.221566067762058</v>
      </c>
      <c r="CV20" s="13">
        <f t="shared" si="41"/>
        <v>9.6394492928138327</v>
      </c>
      <c r="CW20" s="20">
        <f t="shared" si="13"/>
        <v>71.166268419669663</v>
      </c>
      <c r="CX20" s="59">
        <f t="shared" si="14"/>
        <v>333.6334824358284</v>
      </c>
      <c r="CY20" s="59">
        <f ca="1">AVERAGE(OFFSET($CX$3,0,0,'Données projet'!$E$13+1,1))-AVERAGE(OFFSET($H$3,0,0,'Données projet'!$E$13+1,1))</f>
        <v>319.88925869887464</v>
      </c>
      <c r="CZ20" s="59">
        <f t="shared" si="42"/>
        <v>258.2857172412098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19.814999999999998</v>
      </c>
      <c r="DO20" s="12">
        <f>IF('Données projet'!$A$166&gt;35,DO19+DN20-DW19,IF(A20&lt;'Données projet'!$A$166,$DL$205^A20,IF(A20='Données projet'!$A$166,'Données projet'!$B$166,DO19+DN20-DW19)))</f>
        <v>88.19</v>
      </c>
      <c r="DP20" s="17">
        <f>DO20*VLOOKUP('Données projet'!$B$14,Paramètres!$A$1:$I$89,3,0)*VLOOKUP('Données projet'!$B$14,Paramètres!$A$1:$I$89,5,0)</f>
        <v>52.73762</v>
      </c>
      <c r="DQ20" s="13">
        <f t="shared" si="43"/>
        <v>15.318553658088213</v>
      </c>
      <c r="DR20" s="20">
        <f t="shared" si="16"/>
        <v>118.53116912117031</v>
      </c>
      <c r="DS20" s="59">
        <f t="shared" si="17"/>
        <v>380.99838313732903</v>
      </c>
      <c r="DT20" s="59">
        <f ca="1">AVERAGE(OFFSET($DS$3,0,0,'Données projet'!$E$14+1,1))-AVERAGE(OFFSET($H$3,0,0,'Données projet'!$E$14+1,1))</f>
        <v>443.64905827069435</v>
      </c>
      <c r="DU20" s="59">
        <f t="shared" si="44"/>
        <v>381.14782516862385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17.2</v>
      </c>
      <c r="EJ20" s="12">
        <f>IF('Données projet'!$A$192&gt;35,EJ19+EI20-ER19,IF(A20&lt;'Données projet'!$A$192,$EG$205^A20,IF(A20='Données projet'!$A$192,'Données projet'!$B$192,EJ19+EI20-ER19)))</f>
        <v>176.39999999999998</v>
      </c>
      <c r="EK20" s="17">
        <f>EJ20*VLOOKUP('Données projet'!$B$15,Paramètres!$A$1:$I$89,3,0)*VLOOKUP('Données projet'!$B$15,Paramètres!$A$1:$I$89,5,0)</f>
        <v>159.60671999999997</v>
      </c>
      <c r="EL20" s="13">
        <f t="shared" si="45"/>
        <v>40.753797303493201</v>
      </c>
      <c r="EM20" s="20">
        <f t="shared" si="19"/>
        <v>348.96123430358392</v>
      </c>
      <c r="EN20" s="59">
        <f t="shared" si="20"/>
        <v>611.42844831974264</v>
      </c>
      <c r="EO20" s="59">
        <f ca="1">AVERAGE(OFFSET($EN$3,0,0,'Données projet'!$E$15+1,1))-AVERAGE(OFFSET($H$3,0,0,'Données projet'!$E$15+1,1))</f>
        <v>504.37890861635196</v>
      </c>
      <c r="EP20" s="59">
        <f t="shared" si="46"/>
        <v>611.82129317522913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1.2</v>
      </c>
      <c r="FE20" s="12">
        <f>IF('Données projet'!$A$218&gt;35,FE19+FD20-FM19,IF(A20&lt;'Données projet'!$A$218,$FB$205^A20,IF(A20='Données projet'!$A$218,'Données projet'!$B$218,FE19+FD20-FM19)))</f>
        <v>10.102816228956828</v>
      </c>
      <c r="FF20" s="17">
        <f>FE20*VLOOKUP('Données projet'!$B$16,Paramètres!$A$1:$I$89,3,0)*VLOOKUP('Données projet'!$B$16,Paramètres!$A$1:$I$89,5,0)</f>
        <v>10.874671388849128</v>
      </c>
      <c r="FG20" s="13">
        <f t="shared" si="47"/>
        <v>3.7960276593470508</v>
      </c>
      <c r="FH20" s="20">
        <f t="shared" si="22"/>
        <v>25.551467508941673</v>
      </c>
      <c r="FI20" s="59">
        <f t="shared" si="23"/>
        <v>288.01868152510042</v>
      </c>
      <c r="FJ20" s="59">
        <f ca="1">AVERAGE(OFFSET($FI$3,0,0,'Données projet'!$E$16+1,1))-AVERAGE(OFFSET($H$3,0,0,'Données projet'!$E$16+1,1))</f>
        <v>334.01098870576732</v>
      </c>
      <c r="FK20" s="59">
        <f t="shared" si="48"/>
        <v>171.1802153303471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11.6</v>
      </c>
      <c r="FZ20" s="12">
        <f>IF('Données projet'!$A$244&gt;35,FZ19+FY20-GH19,IF(A20&lt;'Données projet'!$A$244,$FW$205^A20,IF(A20='Données projet'!$A$244,'Données projet'!$B$244,FZ19+FY20-GH19)))</f>
        <v>45.2</v>
      </c>
      <c r="GA20" s="17">
        <f>FZ20*VLOOKUP('Données projet'!$B$17,Paramètres!$A$1:$I$89,3,0)*VLOOKUP('Données projet'!$B$17,Paramètres!$A$1:$I$89,5,0)</f>
        <v>39.486720000000005</v>
      </c>
      <c r="GB20" s="13">
        <f t="shared" si="49"/>
        <v>11.862499896265861</v>
      </c>
      <c r="GC20" s="20">
        <f t="shared" si="25"/>
        <v>89.433224652663043</v>
      </c>
      <c r="GD20" s="59">
        <f t="shared" si="26"/>
        <v>351.90043866882178</v>
      </c>
      <c r="GE20" s="59">
        <f ca="1">AVERAGE(OFFSET($GD$3,0,0,'Données projet'!$E$17+1,1))-AVERAGE(OFFSET($H$3,0,0,'Données projet'!$E$17+1,1))</f>
        <v>330.12856974146598</v>
      </c>
      <c r="GF20" s="59">
        <f t="shared" si="50"/>
        <v>321.23368446552286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65.915300792285706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2.1</v>
      </c>
      <c r="GU20" s="12">
        <f>IF('Données projet'!$A$270&gt;35,GU19+GT20-HC19,IF(A20&lt;'Données projet'!$A$270,$GR$205^A20,IF(A20='Données projet'!$A$270,'Données projet'!$B$270,GU19+GT20-HC19)))</f>
        <v>23.975181126327602</v>
      </c>
      <c r="GV20" s="17">
        <f>GU20*VLOOKUP('Données projet'!$B$18,Paramètres!$A$1:$I$89,3,0)*VLOOKUP('Données projet'!$B$18,Paramètres!$A$1:$I$89,5,0)</f>
        <v>16.082551499540557</v>
      </c>
      <c r="GW20" s="13">
        <f t="shared" si="51"/>
        <v>5.363981846338933</v>
      </c>
      <c r="GX20" s="20">
        <f t="shared" si="28"/>
        <v>37.352712244073444</v>
      </c>
      <c r="GY20" s="59">
        <f t="shared" si="29"/>
        <v>299.81992626023214</v>
      </c>
      <c r="GZ20" s="59">
        <f ca="1">AVERAGE(OFFSET($GY$3,0,0,'Données projet'!$E$18+1,1))-AVERAGE(OFFSET($H$3,0,0,'Données projet'!$E$18+1,1))</f>
        <v>296.67751292332753</v>
      </c>
      <c r="HA20" s="59">
        <f t="shared" si="52"/>
        <v>197.99510031603018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1.1000000000000001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4.0333333333333341</v>
      </c>
      <c r="H21" s="67">
        <f t="shared" si="1"/>
        <v>240.5333333333333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361.13384273339972</v>
      </c>
      <c r="S21" s="59">
        <f ca="1">AVERAGE(OFFSET($R$3,0,0,'Données projet'!$E$9+1,1))-AVERAGE(OFFSET($H$3,0,0,'Données projet'!$E$9+1,1))</f>
        <v>461.20962581398715</v>
      </c>
      <c r="T21" s="59">
        <f t="shared" si="34"/>
        <v>348.44322874953923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372.53403657799066</v>
      </c>
      <c r="AN21" s="59">
        <f ca="1">AVERAGE(OFFSET($AM$3,0,0,'Données projet'!$E$10+1,1))-AVERAGE(OFFSET($H$3,0,0,'Données projet'!$E$10+1,1))</f>
        <v>510.86584023875525</v>
      </c>
      <c r="AO21" s="59">
        <f t="shared" si="36"/>
        <v>384.62921487244125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1.6</v>
      </c>
      <c r="BD21" s="12">
        <f>IF('Données projet'!$A$88&gt;35,BD20+BC21-BL20,IF(A21&lt;'Données projet'!$A$88,$BA$205^A21,IF(A21='Données projet'!$A$88,'Données projet'!$B$88,BD20+BC21-BL20)))</f>
        <v>22.627416997969497</v>
      </c>
      <c r="BE21" s="13">
        <f>BD21*VLOOKUP('Données projet'!$B$11,Paramètres!$A$1:$I$89,3,0)*VLOOKUP('Données projet'!$B$11,Paramètres!$A$1:$I$89,5,0)</f>
        <v>16.590422142911237</v>
      </c>
      <c r="BF21" s="13">
        <f t="shared" si="37"/>
        <v>5.5133821519855717</v>
      </c>
      <c r="BG21" s="20">
        <f t="shared" si="7"/>
        <v>38.497459146945268</v>
      </c>
      <c r="BH21" s="59">
        <f t="shared" si="8"/>
        <v>302.44671684918598</v>
      </c>
      <c r="BI21" s="59">
        <f ca="1">AVERAGE(OFFSET($BH$3,0,0,'Données projet'!$E$11+1,1))-AVERAGE(OFFSET($H$3,0,0,'Données projet'!$E$11+1,1))</f>
        <v>201.7253431547006</v>
      </c>
      <c r="BJ21" s="59">
        <f t="shared" si="38"/>
        <v>229.70004720044096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20.2</v>
      </c>
      <c r="BY21" s="12">
        <f>IF('Données projet'!$A$114&gt;35,BY20+BX21-CG20,IF(A21&lt;'Données projet'!$A$114,$BV$205^A21,IF(A21='Données projet'!$A$114,'Données projet'!$B$114,BY20+BX21-CG20)))</f>
        <v>133.6</v>
      </c>
      <c r="BZ21" s="13">
        <f>BY21*VLOOKUP('Données projet'!$B$12,Paramètres!$A$1:$I$89,3,0)*VLOOKUP('Données projet'!$B$12,Paramètres!$A$1:$I$89,5,0)</f>
        <v>74.682399999999987</v>
      </c>
      <c r="CA21" s="13">
        <f t="shared" si="39"/>
        <v>20.831844482519283</v>
      </c>
      <c r="CB21" s="20">
        <f t="shared" si="10"/>
        <v>166.35397580705441</v>
      </c>
      <c r="CC21" s="59">
        <f t="shared" si="11"/>
        <v>430.30323350929507</v>
      </c>
      <c r="CD21" s="59">
        <f ca="1">AVERAGE(OFFSET($CC$3,0,0,'Données projet'!$E$12+1,1))-AVERAGE(OFFSET($H$3,0,0,'Données projet'!$E$12+1,1))</f>
        <v>462.09240749760784</v>
      </c>
      <c r="CE21" s="59">
        <f t="shared" si="40"/>
        <v>403.52202223463337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1.6141711211608483</v>
      </c>
      <c r="CL21" s="21">
        <f>EXP(-LN(2)/25)*CL20+(1-EXP(-LN(2)/25))/(LN(2)/25)*Calculateur!CG21*Calculateur!CI21*VLOOKUP('Données projet'!$B$12,Paramètres!$A$1:$I$89,3,0)*0.475*44/12</f>
        <v>3.5326263554718507</v>
      </c>
      <c r="CM21" s="21">
        <f>EXP(-LN(2)/2)*CM20+(1-EXP(-LN(2)/2))/(LN(2)/2)*CG21*CJ21*VLOOKUP('Données projet'!$B$12,Paramètres!$A$1:$I$89,3,0)*0.475*44/12</f>
        <v>1.6447113622026086</v>
      </c>
      <c r="CN21" s="22">
        <f t="shared" si="12"/>
        <v>6.7915088388353073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</v>
      </c>
      <c r="CT21" s="12">
        <f>IF('Données projet'!$A$140&gt;35,CT20+CS21-DB20,IF(A21&lt;'Données projet'!$A$140,$CQ$205^A21,IF(A21='Données projet'!$A$140,'Données projet'!$B$140,CT20+CS21-DB20)))</f>
        <v>85.411280338833194</v>
      </c>
      <c r="CU21" s="17">
        <f>CT21*VLOOKUP('Données projet'!$B$13,Paramètres!$A$1:$I$89,3,0)*VLOOKUP('Données projet'!$B$13,Paramètres!$A$1:$I$89,5,0)</f>
        <v>39.972479198573936</v>
      </c>
      <c r="CV21" s="13">
        <f t="shared" si="41"/>
        <v>11.991352223084183</v>
      </c>
      <c r="CW21" s="20">
        <f t="shared" si="13"/>
        <v>90.503673059387893</v>
      </c>
      <c r="CX21" s="59">
        <f t="shared" si="14"/>
        <v>354.45293076162858</v>
      </c>
      <c r="CY21" s="59">
        <f ca="1">AVERAGE(OFFSET($CX$3,0,0,'Données projet'!$E$13+1,1))-AVERAGE(OFFSET($H$3,0,0,'Données projet'!$E$13+1,1))</f>
        <v>319.88925869887464</v>
      </c>
      <c r="CZ21" s="59">
        <f t="shared" si="42"/>
        <v>258.2857172412098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19.814999999999998</v>
      </c>
      <c r="DO21" s="12">
        <f>IF('Données projet'!$A$166&gt;35,DO20+DN21-DW20,IF(A21&lt;'Données projet'!$A$166,$DL$205^A21,IF(A21='Données projet'!$A$166,'Données projet'!$B$166,DO20+DN21-DW20)))</f>
        <v>108.005</v>
      </c>
      <c r="DP21" s="17">
        <f>DO21*VLOOKUP('Données projet'!$B$14,Paramètres!$A$1:$I$89,3,0)*VLOOKUP('Données projet'!$B$14,Paramètres!$A$1:$I$89,5,0)</f>
        <v>64.58699</v>
      </c>
      <c r="DQ21" s="13">
        <f t="shared" si="43"/>
        <v>18.32298503252624</v>
      </c>
      <c r="DR21" s="20">
        <f t="shared" si="16"/>
        <v>144.4015398483165</v>
      </c>
      <c r="DS21" s="59">
        <f t="shared" si="17"/>
        <v>408.35079755055722</v>
      </c>
      <c r="DT21" s="59">
        <f ca="1">AVERAGE(OFFSET($DS$3,0,0,'Données projet'!$E$14+1,1))-AVERAGE(OFFSET($H$3,0,0,'Données projet'!$E$14+1,1))</f>
        <v>443.64905827069435</v>
      </c>
      <c r="DU21" s="59">
        <f t="shared" si="44"/>
        <v>381.14782516862385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17.2</v>
      </c>
      <c r="EJ21" s="12">
        <f>IF('Données projet'!$A$192&gt;35,EJ20+EI21-ER20,IF(A21&lt;'Données projet'!$A$192,$EG$205^A21,IF(A21='Données projet'!$A$192,'Données projet'!$B$192,EJ20+EI21-ER20)))</f>
        <v>193.59999999999997</v>
      </c>
      <c r="EK21" s="17">
        <f>EJ21*VLOOKUP('Données projet'!$B$15,Paramètres!$A$1:$I$89,3,0)*VLOOKUP('Données projet'!$B$15,Paramètres!$A$1:$I$89,5,0)</f>
        <v>175.16927999999996</v>
      </c>
      <c r="EL21" s="13">
        <f t="shared" si="45"/>
        <v>44.245744278741768</v>
      </c>
      <c r="EM21" s="20">
        <f t="shared" si="19"/>
        <v>382.14783395214181</v>
      </c>
      <c r="EN21" s="59">
        <f t="shared" si="20"/>
        <v>646.09709165438244</v>
      </c>
      <c r="EO21" s="59">
        <f ca="1">AVERAGE(OFFSET($EN$3,0,0,'Données projet'!$E$15+1,1))-AVERAGE(OFFSET($H$3,0,0,'Données projet'!$E$15+1,1))</f>
        <v>504.37890861635196</v>
      </c>
      <c r="EP21" s="59">
        <f t="shared" si="46"/>
        <v>611.82129317522913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1.2</v>
      </c>
      <c r="FE21" s="12">
        <f>IF('Données projet'!$A$218&gt;35,FE20+FD21-FM20,IF(A21&lt;'Données projet'!$A$218,$FB$205^A21,IF(A21='Données projet'!$A$218,'Données projet'!$B$218,FE20+FD21-FM20)))</f>
        <v>11.575168010312384</v>
      </c>
      <c r="FF21" s="17">
        <f>FE21*VLOOKUP('Données projet'!$B$16,Paramètres!$A$1:$I$89,3,0)*VLOOKUP('Données projet'!$B$16,Paramètres!$A$1:$I$89,5,0)</f>
        <v>12.459510846300249</v>
      </c>
      <c r="FG21" s="13">
        <f t="shared" si="47"/>
        <v>4.2809163511957635</v>
      </c>
      <c r="FH21" s="20">
        <f t="shared" si="22"/>
        <v>29.156244035638881</v>
      </c>
      <c r="FI21" s="59">
        <f t="shared" si="23"/>
        <v>293.10550173787959</v>
      </c>
      <c r="FJ21" s="59">
        <f ca="1">AVERAGE(OFFSET($FI$3,0,0,'Données projet'!$E$16+1,1))-AVERAGE(OFFSET($H$3,0,0,'Données projet'!$E$16+1,1))</f>
        <v>334.01098870576732</v>
      </c>
      <c r="FK21" s="59">
        <f t="shared" si="48"/>
        <v>171.1802153303471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11.6</v>
      </c>
      <c r="FZ21" s="12">
        <f>IF('Données projet'!$A$244&gt;35,FZ20+FY21-GH20,IF(A21&lt;'Données projet'!$A$244,$FW$205^A21,IF(A21='Données projet'!$A$244,'Données projet'!$B$244,FZ20+FY21-GH20)))</f>
        <v>56.800000000000004</v>
      </c>
      <c r="GA21" s="17">
        <f>FZ21*VLOOKUP('Données projet'!$B$17,Paramètres!$A$1:$I$89,3,0)*VLOOKUP('Données projet'!$B$17,Paramètres!$A$1:$I$89,5,0)</f>
        <v>49.620480000000015</v>
      </c>
      <c r="GB21" s="13">
        <f t="shared" si="49"/>
        <v>14.515703547444382</v>
      </c>
      <c r="GC21" s="20">
        <f t="shared" si="25"/>
        <v>111.70385301179901</v>
      </c>
      <c r="GD21" s="59">
        <f t="shared" si="26"/>
        <v>375.65311071403971</v>
      </c>
      <c r="GE21" s="59">
        <f ca="1">AVERAGE(OFFSET($GD$3,0,0,'Données projet'!$E$17+1,1))-AVERAGE(OFFSET($H$3,0,0,'Données projet'!$E$17+1,1))</f>
        <v>330.12856974146598</v>
      </c>
      <c r="GF21" s="59">
        <f t="shared" si="50"/>
        <v>321.23368446552286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65.986161191520182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2.1</v>
      </c>
      <c r="GU21" s="12">
        <f>IF('Données projet'!$A$270&gt;35,GU20+GT21-HC20,IF(A21&lt;'Données projet'!$A$270,$GR$205^A21,IF(A21='Données projet'!$A$270,'Données projet'!$B$270,GU20+GT21-HC20)))</f>
        <v>28.901764726506816</v>
      </c>
      <c r="GV21" s="17">
        <f>GU21*VLOOKUP('Données projet'!$B$18,Paramètres!$A$1:$I$89,3,0)*VLOOKUP('Données projet'!$B$18,Paramètres!$A$1:$I$89,5,0)</f>
        <v>19.387303778540772</v>
      </c>
      <c r="GW21" s="13">
        <f t="shared" si="51"/>
        <v>6.32706728568259</v>
      </c>
      <c r="GX21" s="20">
        <f t="shared" si="28"/>
        <v>44.785862936855693</v>
      </c>
      <c r="GY21" s="59">
        <f t="shared" si="29"/>
        <v>308.73512063909641</v>
      </c>
      <c r="GZ21" s="59">
        <f ca="1">AVERAGE(OFFSET($GY$3,0,0,'Données projet'!$E$18+1,1))-AVERAGE(OFFSET($H$3,0,0,'Données projet'!$E$18+1,1))</f>
        <v>296.67751292332753</v>
      </c>
      <c r="HA21" s="59">
        <f t="shared" si="52"/>
        <v>197.99510031603018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1.1000000000000001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4.0333333333333341</v>
      </c>
      <c r="H22" s="67">
        <f t="shared" si="1"/>
        <v>240.5333333333333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385.18386936154178</v>
      </c>
      <c r="S22" s="59">
        <f ca="1">AVERAGE(OFFSET($R$3,0,0,'Données projet'!$E$9+1,1))-AVERAGE(OFFSET($H$3,0,0,'Données projet'!$E$9+1,1))</f>
        <v>461.20962581398715</v>
      </c>
      <c r="T22" s="59">
        <f t="shared" si="34"/>
        <v>348.44322874953923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399.23966828067171</v>
      </c>
      <c r="AN22" s="59">
        <f ca="1">AVERAGE(OFFSET($AM$3,0,0,'Données projet'!$E$10+1,1))-AVERAGE(OFFSET($H$3,0,0,'Données projet'!$E$10+1,1))</f>
        <v>510.86584023875525</v>
      </c>
      <c r="AO22" s="59">
        <f t="shared" si="36"/>
        <v>384.62921487244125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1.6</v>
      </c>
      <c r="BD22" s="12">
        <f>IF('Données projet'!$A$88&gt;35,BD21+BC22-BL21,IF(A22&lt;'Données projet'!$A$88,$BA$205^A22,IF(A22='Données projet'!$A$88,'Données projet'!$B$88,BD21+BC22-BL21)))</f>
        <v>26.908685288118836</v>
      </c>
      <c r="BE22" s="13">
        <f>BD22*VLOOKUP('Données projet'!$B$11,Paramètres!$A$1:$I$89,3,0)*VLOOKUP('Données projet'!$B$11,Paramètres!$A$1:$I$89,5,0)</f>
        <v>19.729448053248728</v>
      </c>
      <c r="BF22" s="13">
        <f t="shared" si="37"/>
        <v>6.4256286331255001</v>
      </c>
      <c r="BG22" s="20">
        <f t="shared" si="7"/>
        <v>45.553425228768447</v>
      </c>
      <c r="BH22" s="59">
        <f t="shared" si="8"/>
        <v>310.98021929556694</v>
      </c>
      <c r="BI22" s="59">
        <f ca="1">AVERAGE(OFFSET($BH$3,0,0,'Données projet'!$E$11+1,1))-AVERAGE(OFFSET($H$3,0,0,'Données projet'!$E$11+1,1))</f>
        <v>201.7253431547006</v>
      </c>
      <c r="BJ22" s="59">
        <f t="shared" si="38"/>
        <v>229.70004720044096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20.2</v>
      </c>
      <c r="BY22" s="12">
        <f>IF('Données projet'!$A$114&gt;35,BY21+BX22-CG21,IF(A22&lt;'Données projet'!$A$114,$BV$205^A22,IF(A22='Données projet'!$A$114,'Données projet'!$B$114,BY21+BX22-CG21)))</f>
        <v>153.79999999999998</v>
      </c>
      <c r="BZ22" s="13">
        <f>BY22*VLOOKUP('Données projet'!$B$12,Paramètres!$A$1:$I$89,3,0)*VLOOKUP('Données projet'!$B$12,Paramètres!$A$1:$I$89,5,0)</f>
        <v>85.974199999999982</v>
      </c>
      <c r="CA22" s="13">
        <f t="shared" si="39"/>
        <v>23.591728214333447</v>
      </c>
      <c r="CB22" s="20">
        <f t="shared" si="10"/>
        <v>190.82732497329735</v>
      </c>
      <c r="CC22" s="59">
        <f t="shared" si="11"/>
        <v>456.25411904009582</v>
      </c>
      <c r="CD22" s="59">
        <f ca="1">AVERAGE(OFFSET($CC$3,0,0,'Données projet'!$E$12+1,1))-AVERAGE(OFFSET($H$3,0,0,'Données projet'!$E$12+1,1))</f>
        <v>462.09240749760784</v>
      </c>
      <c r="CE22" s="59">
        <f t="shared" si="40"/>
        <v>403.52202223463337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1.5825182100220521</v>
      </c>
      <c r="CL22" s="21">
        <f>EXP(-LN(2)/25)*CL21+(1-EXP(-LN(2)/25))/(LN(2)/25)*Calculateur!CG22*Calculateur!CI22*VLOOKUP('Données projet'!$B$12,Paramètres!$A$1:$I$89,3,0)*0.475*44/12</f>
        <v>3.4360265020087266</v>
      </c>
      <c r="CM22" s="21">
        <f>EXP(-LN(2)/2)*CM21+(1-EXP(-LN(2)/2))/(LN(2)/2)*CG22*CJ22*VLOOKUP('Données projet'!$B$12,Paramètres!$A$1:$I$89,3,0)*0.475*44/12</f>
        <v>1.1629865573080285</v>
      </c>
      <c r="CN22" s="22">
        <f t="shared" si="12"/>
        <v>6.1815312693388069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</v>
      </c>
      <c r="CT22" s="12">
        <f>IF('Données projet'!$A$140&gt;35,CT21+CS22-DB21,IF(A22&lt;'Données projet'!$A$140,$CQ$205^A22,IF(A22='Données projet'!$A$140,'Données projet'!$B$140,CT21+CS22-DB21)))</f>
        <v>109.35071672118391</v>
      </c>
      <c r="CU22" s="17">
        <f>CT22*VLOOKUP('Données projet'!$B$13,Paramètres!$A$1:$I$89,3,0)*VLOOKUP('Données projet'!$B$13,Paramètres!$A$1:$I$89,5,0)</f>
        <v>51.176135425514076</v>
      </c>
      <c r="CV22" s="13">
        <f t="shared" si="41"/>
        <v>14.917089531791261</v>
      </c>
      <c r="CW22" s="20">
        <f t="shared" si="13"/>
        <v>115.11236680064013</v>
      </c>
      <c r="CX22" s="59">
        <f t="shared" si="14"/>
        <v>380.53916086743862</v>
      </c>
      <c r="CY22" s="59">
        <f ca="1">AVERAGE(OFFSET($CX$3,0,0,'Données projet'!$E$13+1,1))-AVERAGE(OFFSET($H$3,0,0,'Données projet'!$E$13+1,1))</f>
        <v>319.88925869887464</v>
      </c>
      <c r="CZ22" s="59">
        <f t="shared" si="42"/>
        <v>258.2857172412098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>
        <f>VLOOKUP(A22,'Données projet'!$A$165:$I$185,2,0)</f>
        <v>127.82</v>
      </c>
      <c r="DM22" s="12">
        <f>VLOOKUP(A22,'Données projet'!$A$165:$I$185,9,0)</f>
        <v>19.814999999999998</v>
      </c>
      <c r="DN22" s="12">
        <f t="array" ref="DN22">INDEX(DM:DM,MIN(IF(ISNUMBER(DM22:DM218),ROW(DM22:DM218),"")))</f>
        <v>19.814999999999998</v>
      </c>
      <c r="DO22" s="12">
        <f>IF('Données projet'!$A$166&gt;35,DO21+DN22-DW21,IF(A22&lt;'Données projet'!$A$166,$DL$205^A22,IF(A22='Données projet'!$A$166,'Données projet'!$B$166,DO21+DN22-DW21)))</f>
        <v>127.82</v>
      </c>
      <c r="DP22" s="17">
        <f>DO22*VLOOKUP('Données projet'!$B$14,Paramètres!$A$1:$I$89,3,0)*VLOOKUP('Données projet'!$B$14,Paramètres!$A$1:$I$89,5,0)</f>
        <v>76.436359999999993</v>
      </c>
      <c r="DQ22" s="13">
        <f t="shared" si="43"/>
        <v>21.263558306949722</v>
      </c>
      <c r="DR22" s="20">
        <f t="shared" si="16"/>
        <v>170.16069105127073</v>
      </c>
      <c r="DS22" s="59">
        <f t="shared" si="17"/>
        <v>435.58748511806925</v>
      </c>
      <c r="DT22" s="59">
        <f ca="1">AVERAGE(OFFSET($DS$3,0,0,'Données projet'!$E$14+1,1))-AVERAGE(OFFSET($H$3,0,0,'Données projet'!$E$14+1,1))</f>
        <v>443.64905827069435</v>
      </c>
      <c r="DU22" s="59">
        <f t="shared" si="44"/>
        <v>381.14782516862385</v>
      </c>
      <c r="DV22" s="15">
        <f>IF(ISNA(VLOOKUP(A22,'Données projet'!$A$165:$I$185,3,0)),0,VLOOKUP(A22,'Données projet'!$A$165:$I$185,3,0))</f>
        <v>2</v>
      </c>
      <c r="DW22" s="15">
        <f>IF(ISNA(VLOOKUP(A22,'Données projet'!$A$165:$I$185,4,0)),0,VLOOKUP(A22,'Données projet'!$A$165:$I$185,4,0))</f>
        <v>46.3</v>
      </c>
      <c r="DX22" s="16">
        <f>IF(ISNA(VLOOKUP(A22,'Données projet'!$A$165:$I$185,5,0)),0%,VLOOKUP(A22,'Données projet'!$A$165:$I$185,5,0)*VLOOKUP('Données projet'!$B$14,Paramètres!$A$1:$I$89,7,0))</f>
        <v>9.0000000000000011E-2</v>
      </c>
      <c r="DY22" s="16">
        <f>IF(ISNA(VLOOKUP(A22,'Données projet'!$A$165:$I$185,6,0)),0%,VLOOKUP(A22,'Données projet'!$A$165:$I$185,6,0)*VLOOKUP('Données projet'!$B$14,Paramètres!$A$1:$I$89,7,0))</f>
        <v>0.20250000000000001</v>
      </c>
      <c r="DZ22" s="16">
        <f>IF(ISNA(VLOOKUP(A22,'Données projet'!$A$165:$I$185,7,0)),0%,VLOOKUP(A22,'Données projet'!$A$165:$I$185,7,0))</f>
        <v>0.35</v>
      </c>
      <c r="EA22" s="21">
        <f>EXP(-LN(2)/35)*EA21+(1-EXP(-LN(2)/35))/(LN(2)/35)*DW22*DX22*VLOOKUP('Données projet'!$B$14,Paramètres!$A$1:$I$89,3,0)*0.475*44/12</f>
        <v>3.3056208633183055</v>
      </c>
      <c r="EB22" s="21">
        <f>EXP(-LN(2)/25)*EB21+(1-EXP(-LN(2)/25))/(LN(2)/25)*Calculateur!DW22*Calculateur!DY22*VLOOKUP('Données projet'!$B$14,Paramètres!$A$1:$I$89,3,0)*0.475*44/12</f>
        <v>7.4083620924880345</v>
      </c>
      <c r="EC22" s="21">
        <f>EXP(-LN(2)/2)*EC21+(1-EXP(-LN(2)/2))/(LN(2)/2)*DW22*DZ22*VLOOKUP('Données projet'!$B$14,Paramètres!$A$1:$I$89,3,0)*0.475*44/12</f>
        <v>10.971998980086994</v>
      </c>
      <c r="ED22" s="22">
        <f t="shared" si="18"/>
        <v>21.685981935893334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17.2</v>
      </c>
      <c r="EJ22" s="12">
        <f>IF('Données projet'!$A$192&gt;35,EJ21+EI22-ER21,IF(A22&lt;'Données projet'!$A$192,$EG$205^A22,IF(A22='Données projet'!$A$192,'Données projet'!$B$192,EJ21+EI22-ER21)))</f>
        <v>210.79999999999995</v>
      </c>
      <c r="EK22" s="17">
        <f>EJ22*VLOOKUP('Données projet'!$B$15,Paramètres!$A$1:$I$89,3,0)*VLOOKUP('Données projet'!$B$15,Paramètres!$A$1:$I$89,5,0)</f>
        <v>190.73183999999995</v>
      </c>
      <c r="EL22" s="13">
        <f t="shared" si="45"/>
        <v>47.701716065041907</v>
      </c>
      <c r="EM22" s="20">
        <f t="shared" si="19"/>
        <v>415.27177681328118</v>
      </c>
      <c r="EN22" s="59">
        <f t="shared" si="20"/>
        <v>680.69857088007961</v>
      </c>
      <c r="EO22" s="59">
        <f ca="1">AVERAGE(OFFSET($EN$3,0,0,'Données projet'!$E$15+1,1))-AVERAGE(OFFSET($H$3,0,0,'Données projet'!$E$15+1,1))</f>
        <v>504.37890861635196</v>
      </c>
      <c r="EP22" s="59">
        <f t="shared" si="46"/>
        <v>611.82129317522913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1.2</v>
      </c>
      <c r="FE22" s="12">
        <f>IF('Données projet'!$A$218&gt;35,FE21+FD22-FM21,IF(A22&lt;'Données projet'!$A$218,$FB$205^A22,IF(A22='Données projet'!$A$218,'Données projet'!$B$218,FE21+FD22-FM21)))</f>
        <v>13.262095581124292</v>
      </c>
      <c r="FF22" s="17">
        <f>FE22*VLOOKUP('Données projet'!$B$16,Paramètres!$A$1:$I$89,3,0)*VLOOKUP('Données projet'!$B$16,Paramètres!$A$1:$I$89,5,0)</f>
        <v>14.275319683522188</v>
      </c>
      <c r="FG22" s="13">
        <f t="shared" si="47"/>
        <v>4.8277426959232219</v>
      </c>
      <c r="FH22" s="20">
        <f t="shared" si="22"/>
        <v>33.271166977534087</v>
      </c>
      <c r="FI22" s="59">
        <f t="shared" si="23"/>
        <v>298.6979610443326</v>
      </c>
      <c r="FJ22" s="59">
        <f ca="1">AVERAGE(OFFSET($FI$3,0,0,'Données projet'!$E$16+1,1))-AVERAGE(OFFSET($H$3,0,0,'Données projet'!$E$16+1,1))</f>
        <v>334.01098870576732</v>
      </c>
      <c r="FK22" s="59">
        <f t="shared" si="48"/>
        <v>171.1802153303471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11.6</v>
      </c>
      <c r="FZ22" s="12">
        <f>IF('Données projet'!$A$244&gt;35,FZ21+FY22-GH21,IF(A22&lt;'Données projet'!$A$244,$FW$205^A22,IF(A22='Données projet'!$A$244,'Données projet'!$B$244,FZ21+FY22-GH21)))</f>
        <v>68.400000000000006</v>
      </c>
      <c r="GA22" s="17">
        <f>FZ22*VLOOKUP('Données projet'!$B$17,Paramètres!$A$1:$I$89,3,0)*VLOOKUP('Données projet'!$B$17,Paramètres!$A$1:$I$89,5,0)</f>
        <v>59.754240000000017</v>
      </c>
      <c r="GB22" s="13">
        <f t="shared" si="49"/>
        <v>17.106118338764027</v>
      </c>
      <c r="GC22" s="20">
        <f t="shared" si="25"/>
        <v>133.8651241066807</v>
      </c>
      <c r="GD22" s="59">
        <f t="shared" si="26"/>
        <v>399.29191817347919</v>
      </c>
      <c r="GE22" s="59">
        <f ca="1">AVERAGE(OFFSET($GD$3,0,0,'Données projet'!$E$17+1,1))-AVERAGE(OFFSET($H$3,0,0,'Données projet'!$E$17+1,1))</f>
        <v>330.12856974146598</v>
      </c>
      <c r="GF22" s="59">
        <f t="shared" si="50"/>
        <v>321.23368446552286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66.055792321248077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2.1</v>
      </c>
      <c r="GU22" s="12">
        <f>IF('Données projet'!$A$270&gt;35,GU21+GT22-HC21,IF(A22&lt;'Données projet'!$A$270,$GR$205^A22,IF(A22='Données projet'!$A$270,'Données projet'!$B$270,GU21+GT22-HC21)))</f>
        <v>34.840696297767764</v>
      </c>
      <c r="GV22" s="17">
        <f>GU22*VLOOKUP('Données projet'!$B$18,Paramètres!$A$1:$I$89,3,0)*VLOOKUP('Données projet'!$B$18,Paramètres!$A$1:$I$89,5,0)</f>
        <v>23.371139076542615</v>
      </c>
      <c r="GW22" s="13">
        <f t="shared" si="51"/>
        <v>7.463071573383055</v>
      </c>
      <c r="GX22" s="20">
        <f t="shared" si="28"/>
        <v>53.702916881953875</v>
      </c>
      <c r="GY22" s="59">
        <f t="shared" si="29"/>
        <v>319.12971094875235</v>
      </c>
      <c r="GZ22" s="59">
        <f ca="1">AVERAGE(OFFSET($GY$3,0,0,'Données projet'!$E$18+1,1))-AVERAGE(OFFSET($H$3,0,0,'Données projet'!$E$18+1,1))</f>
        <v>296.67751292332753</v>
      </c>
      <c r="HA22" s="59">
        <f t="shared" si="52"/>
        <v>197.99510031603018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1.1000000000000001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4.0333333333333341</v>
      </c>
      <c r="H23" s="67">
        <f t="shared" si="1"/>
        <v>240.5333333333333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414.48828550613086</v>
      </c>
      <c r="S23" s="59">
        <f ca="1">AVERAGE(OFFSET($R$3,0,0,'Données projet'!$E$9+1,1))-AVERAGE(OFFSET($H$3,0,0,'Données projet'!$E$9+1,1))</f>
        <v>461.20962581398715</v>
      </c>
      <c r="T23" s="59">
        <f t="shared" si="34"/>
        <v>348.44322874953923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431.82004437090109</v>
      </c>
      <c r="AN23" s="59">
        <f ca="1">AVERAGE(OFFSET($AM$3,0,0,'Données projet'!$E$10+1,1))-AVERAGE(OFFSET($H$3,0,0,'Données projet'!$E$10+1,1))</f>
        <v>510.86584023875525</v>
      </c>
      <c r="AO23" s="59">
        <f t="shared" si="36"/>
        <v>384.62921487244125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32</v>
      </c>
      <c r="BB23" s="12">
        <f>VLOOKUP(A23,'Données projet'!$A$87:$I$107,9,0)</f>
        <v>1.6</v>
      </c>
      <c r="BC23" s="12">
        <f t="array" ref="BC23">INDEX(BB:BB,MIN(IF(ISNUMBER(BB23:BB219),ROW(BB23:BB219),"")))</f>
        <v>1.6</v>
      </c>
      <c r="BD23" s="12">
        <f>IF('Données projet'!$A$88&gt;35,BD22+BC23-BL22,IF(A23&lt;'Données projet'!$A$88,$BA$205^A23,IF(A23='Données projet'!$A$88,'Données projet'!$B$88,BD22+BC23-BL22)))</f>
        <v>32</v>
      </c>
      <c r="BE23" s="13">
        <f>BD23*VLOOKUP('Données projet'!$B$11,Paramètres!$A$1:$I$89,3,0)*VLOOKUP('Données projet'!$B$11,Paramètres!$A$1:$I$89,5,0)</f>
        <v>23.462399999999999</v>
      </c>
      <c r="BF23" s="13">
        <f t="shared" si="37"/>
        <v>7.4888157926750578</v>
      </c>
      <c r="BG23" s="20">
        <f t="shared" si="7"/>
        <v>53.906700838909053</v>
      </c>
      <c r="BH23" s="59">
        <f t="shared" si="8"/>
        <v>320.80660214069275</v>
      </c>
      <c r="BI23" s="59">
        <f ca="1">AVERAGE(OFFSET($BH$3,0,0,'Données projet'!$E$11+1,1))-AVERAGE(OFFSET($H$3,0,0,'Données projet'!$E$11+1,1))</f>
        <v>201.7253431547006</v>
      </c>
      <c r="BJ23" s="59">
        <f t="shared" si="38"/>
        <v>229.70004720044096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174</v>
      </c>
      <c r="BW23" s="12">
        <f>VLOOKUP(A23,'Données projet'!$A$113:$I$133,9,0)</f>
        <v>20.2</v>
      </c>
      <c r="BX23" s="12">
        <f t="array" ref="BX23">INDEX(BW:BW,MIN(IF(ISNUMBER(BW23:BW219),ROW(BW23:BW219),"")))</f>
        <v>20.2</v>
      </c>
      <c r="BY23" s="12">
        <f>IF('Données projet'!$A$114&gt;35,BY22+BX23-CG22,IF(A23&lt;'Données projet'!$A$114,$BV$205^A23,IF(A23='Données projet'!$A$114,'Données projet'!$B$114,BY22+BX23-CG22)))</f>
        <v>173.99999999999997</v>
      </c>
      <c r="BZ23" s="13">
        <f>BY23*VLOOKUP('Données projet'!$B$12,Paramètres!$A$1:$I$89,3,0)*VLOOKUP('Données projet'!$B$12,Paramètres!$A$1:$I$89,5,0)</f>
        <v>97.265999999999991</v>
      </c>
      <c r="CA23" s="13">
        <f t="shared" si="39"/>
        <v>26.309612648745627</v>
      </c>
      <c r="CB23" s="20">
        <f t="shared" si="10"/>
        <v>215.22752536323196</v>
      </c>
      <c r="CC23" s="59">
        <f t="shared" si="11"/>
        <v>482.12742666501566</v>
      </c>
      <c r="CD23" s="59">
        <f ca="1">AVERAGE(OFFSET($CC$3,0,0,'Données projet'!$E$12+1,1))-AVERAGE(OFFSET($H$3,0,0,'Données projet'!$E$12+1,1))</f>
        <v>462.09240749760784</v>
      </c>
      <c r="CE23" s="59">
        <f t="shared" si="40"/>
        <v>403.52202223463337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63</v>
      </c>
      <c r="CH23" s="16">
        <f>IF(ISNA(VLOOKUP(A23,'Données projet'!$A$113:$I$133,5,0)),0%,VLOOKUP(A23,'Données projet'!$A$113:$I$133,5,0)*VLOOKUP('Données projet'!$B$12,Paramètres!$A$1:$I$89,7,0))</f>
        <v>0.22000000000000003</v>
      </c>
      <c r="CI23" s="16">
        <f>IF(ISNA(VLOOKUP(A23,'Données projet'!$A$113:$I$133,6,0)),0%,VLOOKUP(A23,'Données projet'!$A$113:$I$133,6,0)*VLOOKUP('Données projet'!$B$12,Paramètres!$A$1:$I$89,7,0))</f>
        <v>0.18700000000000003</v>
      </c>
      <c r="CJ23" s="16">
        <f>IF(ISNA(VLOOKUP(A23,'Données projet'!$A$113:$I$133,7,0)),0%,VLOOKUP(A23,'Données projet'!$A$113:$I$133,7,0))</f>
        <v>0.26</v>
      </c>
      <c r="CK23" s="21">
        <f>EXP(-LN(2)/35)*CK22+(1-EXP(-LN(2)/35))/(LN(2)/35)*CG23*CH23*VLOOKUP('Données projet'!$B$12,Paramètres!$A$1:$I$89,3,0)*0.475*44/12</f>
        <v>11.829362487151464</v>
      </c>
      <c r="CL23" s="21">
        <f>EXP(-LN(2)/25)*CL22+(1-EXP(-LN(2)/25))/(LN(2)/25)*Calculateur!CG23*Calculateur!CI23*VLOOKUP('Données projet'!$B$12,Paramètres!$A$1:$I$89,3,0)*0.475*44/12</f>
        <v>12.043865467963016</v>
      </c>
      <c r="CM23" s="21">
        <f>EXP(-LN(2)/2)*CM22+(1-EXP(-LN(2)/2))/(LN(2)/2)*CG23*CJ23*VLOOKUP('Données projet'!$B$12,Paramètres!$A$1:$I$89,3,0)*0.475*44/12</f>
        <v>11.189550134818589</v>
      </c>
      <c r="CN23" s="22">
        <f t="shared" si="12"/>
        <v>35.062778089933069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140</v>
      </c>
      <c r="CR23" s="12">
        <f>VLOOKUP(A23,'Données projet'!$A$139:$I$159,9,0)</f>
        <v>7</v>
      </c>
      <c r="CS23" s="12">
        <f t="array" ref="CS23">INDEX(CR:CR,MIN(IF(ISNUMBER(CR23:CR219),ROW(CR23:CR219),"")))</f>
        <v>7</v>
      </c>
      <c r="CT23" s="12">
        <f>IF('Données projet'!$A$140&gt;35,CT22+CS23-DB22,IF(A23&lt;'Données projet'!$A$140,$CQ$205^A23,IF(A23='Données projet'!$A$140,'Données projet'!$B$140,CT22+CS23-DB22)))</f>
        <v>140</v>
      </c>
      <c r="CU23" s="17">
        <f>CT23*VLOOKUP('Données projet'!$B$13,Paramètres!$A$1:$I$89,3,0)*VLOOKUP('Données projet'!$B$13,Paramètres!$A$1:$I$89,5,0)</f>
        <v>65.52</v>
      </c>
      <c r="CV23" s="13">
        <f t="shared" si="41"/>
        <v>18.556669503136725</v>
      </c>
      <c r="CW23" s="20">
        <f t="shared" si="13"/>
        <v>146.43353271796309</v>
      </c>
      <c r="CX23" s="59">
        <f t="shared" si="14"/>
        <v>413.33343401974679</v>
      </c>
      <c r="CY23" s="59">
        <f ca="1">AVERAGE(OFFSET($CX$3,0,0,'Données projet'!$E$13+1,1))-AVERAGE(OFFSET($H$3,0,0,'Données projet'!$E$13+1,1))</f>
        <v>319.88925869887464</v>
      </c>
      <c r="CZ23" s="59">
        <f t="shared" si="42"/>
        <v>258.2857172412098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0.30800000000000005</v>
      </c>
      <c r="DE23" s="16">
        <f>IF(ISNA(VLOOKUP(A23,'Données projet'!$A$139:$I$159,7,0)),0%,VLOOKUP(A23,'Données projet'!$A$139:$I$159,7,0))</f>
        <v>0.44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7.6185366162250032</v>
      </c>
      <c r="DH23" s="21">
        <f>EXP(-LN(2)/2)*DH22+(1-EXP(-LN(2)/2))/(LN(2)/2)*DB23*DE23*VLOOKUP('Données projet'!$B$13,Paramètres!$A$1:$I$89,3,0)*0.475*44/12</f>
        <v>9.3259709882659934</v>
      </c>
      <c r="DI23" s="22">
        <f t="shared" si="15"/>
        <v>16.944507604490997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19.68</v>
      </c>
      <c r="DO23" s="12">
        <f>IF('Données projet'!$A$166&gt;35,DO22+DN23-DW22,IF(A23&lt;'Données projet'!$A$166,$DL$205^A23,IF(A23='Données projet'!$A$166,'Données projet'!$B$166,DO22+DN23-DW22)))</f>
        <v>101.2</v>
      </c>
      <c r="DP23" s="17">
        <f>DO23*VLOOKUP('Données projet'!$B$14,Paramètres!$A$1:$I$89,3,0)*VLOOKUP('Données projet'!$B$14,Paramètres!$A$1:$I$89,5,0)</f>
        <v>60.517600000000009</v>
      </c>
      <c r="DQ23" s="13">
        <f t="shared" si="43"/>
        <v>17.299069038249009</v>
      </c>
      <c r="DR23" s="20">
        <f t="shared" si="16"/>
        <v>135.53069857495038</v>
      </c>
      <c r="DS23" s="59">
        <f t="shared" si="17"/>
        <v>402.43059987673405</v>
      </c>
      <c r="DT23" s="59">
        <f ca="1">AVERAGE(OFFSET($DS$3,0,0,'Données projet'!$E$14+1,1))-AVERAGE(OFFSET($H$3,0,0,'Données projet'!$E$14+1,1))</f>
        <v>443.64905827069435</v>
      </c>
      <c r="DU23" s="59">
        <f t="shared" si="44"/>
        <v>381.14782516862385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3.2407996544182742</v>
      </c>
      <c r="EB23" s="21">
        <f>EXP(-LN(2)/25)*EB22+(1-EXP(-LN(2)/25))/(LN(2)/25)*Calculateur!DW23*Calculateur!DY23*VLOOKUP('Données projet'!$B$14,Paramètres!$A$1:$I$89,3,0)*0.475*44/12</f>
        <v>7.2057800414801187</v>
      </c>
      <c r="EC23" s="21">
        <f>EXP(-LN(2)/2)*EC22+(1-EXP(-LN(2)/2))/(LN(2)/2)*DW23*DZ23*VLOOKUP('Données projet'!$B$14,Paramètres!$A$1:$I$89,3,0)*0.475*44/12</f>
        <v>7.7583748819913971</v>
      </c>
      <c r="ED23" s="22">
        <f t="shared" si="18"/>
        <v>18.20495457788979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228</v>
      </c>
      <c r="EH23" s="12">
        <f>VLOOKUP(A23,'Données projet'!$A$191:$I$211,9,0)</f>
        <v>17.2</v>
      </c>
      <c r="EI23" s="12">
        <f t="array" ref="EI23">INDEX(EH:EH,MIN(IF(ISNUMBER(EH23:EH219),ROW(EH23:EH219),"")))</f>
        <v>17.2</v>
      </c>
      <c r="EJ23" s="12">
        <f>IF('Données projet'!$A$192&gt;35,EJ22+EI23-ER22,IF(A23&lt;'Données projet'!$A$192,$EG$205^A23,IF(A23='Données projet'!$A$192,'Données projet'!$B$192,EJ22+EI23-ER22)))</f>
        <v>227.99999999999994</v>
      </c>
      <c r="EK23" s="17">
        <f>EJ23*VLOOKUP('Données projet'!$B$15,Paramètres!$A$1:$I$89,3,0)*VLOOKUP('Données projet'!$B$15,Paramètres!$A$1:$I$89,5,0)</f>
        <v>206.29439999999994</v>
      </c>
      <c r="EL23" s="13">
        <f t="shared" si="45"/>
        <v>51.124981739560724</v>
      </c>
      <c r="EM23" s="20">
        <f t="shared" si="19"/>
        <v>448.33875652973478</v>
      </c>
      <c r="EN23" s="59">
        <f t="shared" si="20"/>
        <v>715.23865783151848</v>
      </c>
      <c r="EO23" s="59">
        <f ca="1">AVERAGE(OFFSET($EN$3,0,0,'Données projet'!$E$15+1,1))-AVERAGE(OFFSET($H$3,0,0,'Données projet'!$E$15+1,1))</f>
        <v>504.37890861635196</v>
      </c>
      <c r="EP23" s="59">
        <f t="shared" si="46"/>
        <v>611.82129317522913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1.2</v>
      </c>
      <c r="FE23" s="12">
        <f>IF('Données projet'!$A$218&gt;35,FE22+FD23-FM22,IF(A23&lt;'Données projet'!$A$218,$FB$205^A23,IF(A23='Données projet'!$A$218,'Données projet'!$B$218,FE22+FD23-FM22)))</f>
        <v>15.194870523363559</v>
      </c>
      <c r="FF23" s="17">
        <f>FE23*VLOOKUP('Données projet'!$B$16,Paramètres!$A$1:$I$89,3,0)*VLOOKUP('Données projet'!$B$16,Paramètres!$A$1:$I$89,5,0)</f>
        <v>16.355758631348532</v>
      </c>
      <c r="FG23" s="13">
        <f t="shared" si="47"/>
        <v>5.4444183501809773</v>
      </c>
      <c r="FH23" s="20">
        <f t="shared" si="22"/>
        <v>37.968641576163897</v>
      </c>
      <c r="FI23" s="59">
        <f t="shared" si="23"/>
        <v>304.86854287794762</v>
      </c>
      <c r="FJ23" s="59">
        <f ca="1">AVERAGE(OFFSET($FI$3,0,0,'Données projet'!$E$16+1,1))-AVERAGE(OFFSET($H$3,0,0,'Données projet'!$E$16+1,1))</f>
        <v>334.01098870576732</v>
      </c>
      <c r="FK23" s="59">
        <f t="shared" si="48"/>
        <v>171.1802153303471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80</v>
      </c>
      <c r="FX23" s="12">
        <f>VLOOKUP(A23,'Données projet'!$A$243:$I$263,9,0)</f>
        <v>11.6</v>
      </c>
      <c r="FY23" s="12">
        <f t="array" ref="FY23">INDEX(FX:FX,MIN(IF(ISNUMBER(FX23:FX219),ROW(FX23:FX219),"")))</f>
        <v>11.6</v>
      </c>
      <c r="FZ23" s="12">
        <f>IF('Données projet'!$A$244&gt;35,FZ22+FY23-GH22,IF(A23&lt;'Données projet'!$A$244,$FW$205^A23,IF(A23='Données projet'!$A$244,'Données projet'!$B$244,FZ22+FY23-GH22)))</f>
        <v>80</v>
      </c>
      <c r="GA23" s="17">
        <f>FZ23*VLOOKUP('Données projet'!$B$17,Paramètres!$A$1:$I$89,3,0)*VLOOKUP('Données projet'!$B$17,Paramètres!$A$1:$I$89,5,0)</f>
        <v>69.888000000000005</v>
      </c>
      <c r="GB23" s="13">
        <f t="shared" si="49"/>
        <v>19.645641432461961</v>
      </c>
      <c r="GC23" s="20">
        <f t="shared" si="25"/>
        <v>155.93775882820458</v>
      </c>
      <c r="GD23" s="59">
        <f t="shared" si="26"/>
        <v>422.83766012998831</v>
      </c>
      <c r="GE23" s="59">
        <f ca="1">AVERAGE(OFFSET($GD$3,0,0,'Données projet'!$E$17+1,1))-AVERAGE(OFFSET($H$3,0,0,'Données projet'!$E$17+1,1))</f>
        <v>330.12856974146598</v>
      </c>
      <c r="GF23" s="59">
        <f t="shared" si="50"/>
        <v>321.23368446552286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28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66.124215506547074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42</v>
      </c>
      <c r="GS23" s="12">
        <f>VLOOKUP(A23,'Données projet'!$A$269:$I$289,9,0)</f>
        <v>2.1</v>
      </c>
      <c r="GT23" s="12">
        <f t="array" ref="GT23">INDEX(GS:GS,MIN(IF(ISNUMBER(GS23:GS219),ROW(GS23:GS219),"")))</f>
        <v>2.1</v>
      </c>
      <c r="GU23" s="12">
        <f>IF('Données projet'!$A$270&gt;35,GU22+GT23-HC22,IF(A23&lt;'Données projet'!$A$270,$GR$205^A23,IF(A23='Données projet'!$A$270,'Données projet'!$B$270,GU22+GT23-HC22)))</f>
        <v>42</v>
      </c>
      <c r="GV23" s="17">
        <f>GU23*VLOOKUP('Données projet'!$B$18,Paramètres!$A$1:$I$89,3,0)*VLOOKUP('Données projet'!$B$18,Paramètres!$A$1:$I$89,5,0)</f>
        <v>28.1736</v>
      </c>
      <c r="GW23" s="13">
        <f t="shared" si="51"/>
        <v>8.8030417244771453</v>
      </c>
      <c r="GX23" s="20">
        <f t="shared" si="28"/>
        <v>64.400984336797691</v>
      </c>
      <c r="GY23" s="59">
        <f t="shared" si="29"/>
        <v>331.30088563858141</v>
      </c>
      <c r="GZ23" s="59">
        <f ca="1">AVERAGE(OFFSET($GY$3,0,0,'Données projet'!$E$18+1,1))-AVERAGE(OFFSET($H$3,0,0,'Données projet'!$E$18+1,1))</f>
        <v>296.67751292332753</v>
      </c>
      <c r="HA23" s="59">
        <f t="shared" si="52"/>
        <v>197.99510031603018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1.1000000000000001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4.0333333333333341</v>
      </c>
      <c r="H24" s="67">
        <f t="shared" si="1"/>
        <v>240.5333333333333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80.2</v>
      </c>
      <c r="O24" s="13">
        <f>N24*VLOOKUP('Données projet'!$B$9,Paramètres!$A$1:$I$89,3,0)*VLOOKUP('Données projet'!$B$9,Paramètres!$A$1:$I$89,5,0)</f>
        <v>72.564959999999999</v>
      </c>
      <c r="P24" s="13">
        <f t="shared" si="33"/>
        <v>20.30908732150932</v>
      </c>
      <c r="Q24" s="20">
        <f t="shared" si="2"/>
        <v>161.75563241829539</v>
      </c>
      <c r="R24" s="59">
        <f t="shared" si="0"/>
        <v>430.12428866098776</v>
      </c>
      <c r="S24" s="59">
        <f ca="1">AVERAGE(OFFSET($R$3,0,0,'Données projet'!$E$9+1,1))-AVERAGE(OFFSET($H$3,0,0,'Données projet'!$E$9+1,1))</f>
        <v>461.20962581398715</v>
      </c>
      <c r="T24" s="59">
        <f t="shared" si="34"/>
        <v>348.44322874953923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80.2</v>
      </c>
      <c r="AJ24" s="13">
        <f>AI24*VLOOKUP('Données projet'!$B$10,Paramètres!$A$1:$I$89,3,0)*VLOOKUP('Données projet'!$B$10,Paramètres!$A$1:$I$89,5,0)</f>
        <v>81.322800000000001</v>
      </c>
      <c r="AK24" s="13">
        <f t="shared" si="35"/>
        <v>22.460306254032997</v>
      </c>
      <c r="AL24" s="20">
        <f t="shared" si="4"/>
        <v>180.75557672577415</v>
      </c>
      <c r="AM24" s="59">
        <f t="shared" si="5"/>
        <v>449.12423296846646</v>
      </c>
      <c r="AN24" s="59">
        <f ca="1">AVERAGE(OFFSET($AM$3,0,0,'Données projet'!$E$10+1,1))-AVERAGE(OFFSET($H$3,0,0,'Données projet'!$E$10+1,1))</f>
        <v>510.86584023875525</v>
      </c>
      <c r="AO24" s="59">
        <f t="shared" si="36"/>
        <v>384.62921487244125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8.8000000000000007</v>
      </c>
      <c r="BD24" s="12">
        <f>IF('Données projet'!$A$88&gt;35,BD23+BC24-BL23,IF(A24&lt;'Données projet'!$A$88,$BA$205^A24,IF(A24='Données projet'!$A$88,'Données projet'!$B$88,BD23+BC24-BL23)))</f>
        <v>40.799999999999997</v>
      </c>
      <c r="BE24" s="13">
        <f>BD24*VLOOKUP('Données projet'!$B$11,Paramètres!$A$1:$I$89,3,0)*VLOOKUP('Données projet'!$B$11,Paramètres!$A$1:$I$89,5,0)</f>
        <v>29.914559999999998</v>
      </c>
      <c r="BF24" s="13">
        <f t="shared" si="37"/>
        <v>9.2820081914942723</v>
      </c>
      <c r="BG24" s="20">
        <f t="shared" si="7"/>
        <v>68.267356266852531</v>
      </c>
      <c r="BH24" s="59">
        <f t="shared" si="8"/>
        <v>336.63601250954486</v>
      </c>
      <c r="BI24" s="59">
        <f ca="1">AVERAGE(OFFSET($BH$3,0,0,'Données projet'!$E$11+1,1))-AVERAGE(OFFSET($H$3,0,0,'Données projet'!$E$11+1,1))</f>
        <v>201.7253431547006</v>
      </c>
      <c r="BJ24" s="59">
        <f t="shared" si="38"/>
        <v>229.70004720044096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24.2</v>
      </c>
      <c r="BY24" s="12">
        <f>IF('Données projet'!$A$114&gt;35,BY23+BX24-CG23,IF(A24&lt;'Données projet'!$A$114,$BV$205^A24,IF(A24='Données projet'!$A$114,'Données projet'!$B$114,BY23+BX24-CG23)))</f>
        <v>135.19999999999996</v>
      </c>
      <c r="BZ24" s="13">
        <f>BY24*VLOOKUP('Données projet'!$B$12,Paramètres!$A$1:$I$89,3,0)*VLOOKUP('Données projet'!$B$12,Paramètres!$A$1:$I$89,5,0)</f>
        <v>75.576799999999977</v>
      </c>
      <c r="CA24" s="13">
        <f t="shared" si="39"/>
        <v>21.052134839428394</v>
      </c>
      <c r="CB24" s="20">
        <f t="shared" si="10"/>
        <v>168.29539484533774</v>
      </c>
      <c r="CC24" s="59">
        <f t="shared" si="11"/>
        <v>436.66405108803008</v>
      </c>
      <c r="CD24" s="59">
        <f ca="1">AVERAGE(OFFSET($CC$3,0,0,'Données projet'!$E$12+1,1))-AVERAGE(OFFSET($H$3,0,0,'Données projet'!$E$12+1,1))</f>
        <v>462.09240749760784</v>
      </c>
      <c r="CE24" s="59">
        <f t="shared" si="40"/>
        <v>403.52202223463337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11.597395903977098</v>
      </c>
      <c r="CL24" s="21">
        <f>EXP(-LN(2)/25)*CL23+(1-EXP(-LN(2)/25))/(LN(2)/25)*Calculateur!CG24*Calculateur!CI24*VLOOKUP('Données projet'!$B$12,Paramètres!$A$1:$I$89,3,0)*0.475*44/12</f>
        <v>11.714525333382209</v>
      </c>
      <c r="CM24" s="21">
        <f>EXP(-LN(2)/2)*CM23+(1-EXP(-LN(2)/2))/(LN(2)/2)*CG24*CJ24*VLOOKUP('Données projet'!$B$12,Paramètres!$A$1:$I$89,3,0)*0.475*44/12</f>
        <v>7.9122067787570716</v>
      </c>
      <c r="CN24" s="22">
        <f t="shared" si="12"/>
        <v>31.224128016116378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11</v>
      </c>
      <c r="CT24" s="12">
        <f>IF('Données projet'!$A$140&gt;35,CT23+CS24-DB23,IF(A24&lt;'Données projet'!$A$140,$CQ$205^A24,IF(A24='Données projet'!$A$140,'Données projet'!$B$140,CT23+CS24-DB23)))</f>
        <v>111</v>
      </c>
      <c r="CU24" s="17">
        <f>CT24*VLOOKUP('Données projet'!$B$13,Paramètres!$A$1:$I$89,3,0)*VLOOKUP('Données projet'!$B$13,Paramètres!$A$1:$I$89,5,0)</f>
        <v>51.948</v>
      </c>
      <c r="CV24" s="13">
        <f t="shared" si="41"/>
        <v>15.115714645211892</v>
      </c>
      <c r="CW24" s="20">
        <f t="shared" si="13"/>
        <v>116.8026363404107</v>
      </c>
      <c r="CX24" s="59">
        <f t="shared" si="14"/>
        <v>385.17129258310302</v>
      </c>
      <c r="CY24" s="59">
        <f ca="1">AVERAGE(OFFSET($CX$3,0,0,'Données projet'!$E$13+1,1))-AVERAGE(OFFSET($H$3,0,0,'Données projet'!$E$13+1,1))</f>
        <v>319.88925869887464</v>
      </c>
      <c r="CZ24" s="59">
        <f t="shared" si="42"/>
        <v>258.2857172412098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7.4102073318129023</v>
      </c>
      <c r="DH24" s="21">
        <f>EXP(-LN(2)/2)*DH23+(1-EXP(-LN(2)/2))/(LN(2)/2)*DB24*DE24*VLOOKUP('Données projet'!$B$13,Paramètres!$A$1:$I$89,3,0)*0.475*44/12</f>
        <v>6.5944573269518925</v>
      </c>
      <c r="DI24" s="22">
        <f t="shared" si="15"/>
        <v>14.004664658764796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19.68</v>
      </c>
      <c r="DO24" s="12">
        <f>IF('Données projet'!$A$166&gt;35,DO23+DN24-DW23,IF(A24&lt;'Données projet'!$A$166,$DL$205^A24,IF(A24='Données projet'!$A$166,'Données projet'!$B$166,DO23+DN24-DW23)))</f>
        <v>120.88</v>
      </c>
      <c r="DP24" s="17">
        <f>DO24*VLOOKUP('Données projet'!$B$14,Paramètres!$A$1:$I$89,3,0)*VLOOKUP('Données projet'!$B$14,Paramètres!$A$1:$I$89,5,0)</f>
        <v>72.286239999999992</v>
      </c>
      <c r="DQ24" s="13">
        <f t="shared" si="43"/>
        <v>20.240145222851208</v>
      </c>
      <c r="DR24" s="20">
        <f t="shared" si="16"/>
        <v>161.15012092979916</v>
      </c>
      <c r="DS24" s="59">
        <f t="shared" si="17"/>
        <v>429.51877717249147</v>
      </c>
      <c r="DT24" s="59">
        <f ca="1">AVERAGE(OFFSET($DS$3,0,0,'Données projet'!$E$14+1,1))-AVERAGE(OFFSET($H$3,0,0,'Données projet'!$E$14+1,1))</f>
        <v>443.64905827069435</v>
      </c>
      <c r="DU24" s="59">
        <f t="shared" si="44"/>
        <v>381.14782516862385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3.1772495498877387</v>
      </c>
      <c r="EB24" s="21">
        <f>EXP(-LN(2)/25)*EB23+(1-EXP(-LN(2)/25))/(LN(2)/25)*Calculateur!DW24*Calculateur!DY24*VLOOKUP('Données projet'!$B$14,Paramètres!$A$1:$I$89,3,0)*0.475*44/12</f>
        <v>7.0087376073103416</v>
      </c>
      <c r="EC24" s="21">
        <f>EXP(-LN(2)/2)*EC23+(1-EXP(-LN(2)/2))/(LN(2)/2)*DW24*DZ24*VLOOKUP('Données projet'!$B$14,Paramètres!$A$1:$I$89,3,0)*0.475*44/12</f>
        <v>5.4859994900434979</v>
      </c>
      <c r="ED24" s="22">
        <f t="shared" si="18"/>
        <v>15.671986647241578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14.2</v>
      </c>
      <c r="EJ24" s="12">
        <f>IF('Données projet'!$A$192&gt;35,EJ23+EI24-ER23,IF(A24&lt;'Données projet'!$A$192,$EG$205^A24,IF(A24='Données projet'!$A$192,'Données projet'!$B$192,EJ23+EI24-ER23)))</f>
        <v>204.19999999999993</v>
      </c>
      <c r="EK24" s="17">
        <f>EJ24*VLOOKUP('Données projet'!$B$15,Paramètres!$A$1:$I$89,3,0)*VLOOKUP('Données projet'!$B$15,Paramètres!$A$1:$I$89,5,0)</f>
        <v>184.76015999999993</v>
      </c>
      <c r="EL24" s="13">
        <f t="shared" si="45"/>
        <v>46.379619886034874</v>
      </c>
      <c r="EM24" s="20">
        <f t="shared" si="19"/>
        <v>402.56844996817728</v>
      </c>
      <c r="EN24" s="59">
        <f t="shared" si="20"/>
        <v>670.93710621086962</v>
      </c>
      <c r="EO24" s="59">
        <f ca="1">AVERAGE(OFFSET($EN$3,0,0,'Données projet'!$E$15+1,1))-AVERAGE(OFFSET($H$3,0,0,'Données projet'!$E$15+1,1))</f>
        <v>504.37890861635196</v>
      </c>
      <c r="EP24" s="59">
        <f t="shared" si="46"/>
        <v>611.82129317522913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1.2</v>
      </c>
      <c r="FE24" s="12">
        <f>IF('Données projet'!$A$218&gt;35,FE23+FD24-FM23,IF(A24&lt;'Données projet'!$A$218,$FB$205^A24,IF(A24='Données projet'!$A$218,'Données projet'!$B$218,FE23+FD24-FM23)))</f>
        <v>17.409321838276906</v>
      </c>
      <c r="FF24" s="17">
        <f>FE24*VLOOKUP('Données projet'!$B$16,Paramètres!$A$1:$I$89,3,0)*VLOOKUP('Données projet'!$B$16,Paramètres!$A$1:$I$89,5,0)</f>
        <v>18.739394026721261</v>
      </c>
      <c r="FG24" s="13">
        <f t="shared" si="47"/>
        <v>6.1398655725414359</v>
      </c>
      <c r="FH24" s="20">
        <f t="shared" si="22"/>
        <v>43.331377135382525</v>
      </c>
      <c r="FI24" s="59">
        <f t="shared" si="23"/>
        <v>311.70003337807486</v>
      </c>
      <c r="FJ24" s="59">
        <f ca="1">AVERAGE(OFFSET($FI$3,0,0,'Données projet'!$E$16+1,1))-AVERAGE(OFFSET($H$3,0,0,'Données projet'!$E$16+1,1))</f>
        <v>334.01098870576732</v>
      </c>
      <c r="FK24" s="59">
        <f t="shared" si="48"/>
        <v>171.1802153303471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12.6</v>
      </c>
      <c r="FZ24" s="12">
        <f>IF('Données projet'!$A$244&gt;35,FZ23+FY24-GH23,IF(A24&lt;'Données projet'!$A$244,$FW$205^A24,IF(A24='Données projet'!$A$244,'Données projet'!$B$244,FZ23+FY24-GH23)))</f>
        <v>64.599999999999994</v>
      </c>
      <c r="GA24" s="17">
        <f>FZ24*VLOOKUP('Données projet'!$B$17,Paramètres!$A$1:$I$89,3,0)*VLOOKUP('Données projet'!$B$17,Paramètres!$A$1:$I$89,5,0)</f>
        <v>56.434560000000005</v>
      </c>
      <c r="GB24" s="13">
        <f t="shared" si="49"/>
        <v>16.26362505907256</v>
      </c>
      <c r="GC24" s="20">
        <f t="shared" si="25"/>
        <v>126.61600564455136</v>
      </c>
      <c r="GD24" s="59">
        <f t="shared" si="26"/>
        <v>394.9846618872437</v>
      </c>
      <c r="GE24" s="59">
        <f ca="1">AVERAGE(OFFSET($GD$3,0,0,'Données projet'!$E$17+1,1))-AVERAGE(OFFSET($H$3,0,0,'Données projet'!$E$17+1,1))</f>
        <v>330.12856974146598</v>
      </c>
      <c r="GF24" s="59">
        <f t="shared" si="50"/>
        <v>321.23368446552286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66.191451702552456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5.6</v>
      </c>
      <c r="GU24" s="12">
        <f>IF('Données projet'!$A$270&gt;35,GU23+GT24-HC23,IF(A24&lt;'Données projet'!$A$270,$GR$205^A24,IF(A24='Données projet'!$A$270,'Données projet'!$B$270,GU23+GT24-HC23)))</f>
        <v>47.6</v>
      </c>
      <c r="GV24" s="17">
        <f>GU24*VLOOKUP('Données projet'!$B$18,Paramètres!$A$1:$I$89,3,0)*VLOOKUP('Données projet'!$B$18,Paramètres!$A$1:$I$89,5,0)</f>
        <v>31.93008</v>
      </c>
      <c r="GW24" s="13">
        <f t="shared" si="51"/>
        <v>9.8324826954040407</v>
      </c>
      <c r="GX24" s="20">
        <f t="shared" si="28"/>
        <v>72.736463361162052</v>
      </c>
      <c r="GY24" s="59">
        <f t="shared" si="29"/>
        <v>341.1051196038544</v>
      </c>
      <c r="GZ24" s="59">
        <f ca="1">AVERAGE(OFFSET($GY$3,0,0,'Données projet'!$E$18+1,1))-AVERAGE(OFFSET($H$3,0,0,'Données projet'!$E$18+1,1))</f>
        <v>296.67751292332753</v>
      </c>
      <c r="HA24" s="59">
        <f t="shared" si="52"/>
        <v>197.99510031603018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1.1000000000000001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4.0333333333333341</v>
      </c>
      <c r="H25" s="67">
        <f t="shared" si="1"/>
        <v>240.5333333333333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87.4</v>
      </c>
      <c r="O25" s="13">
        <f>N25*VLOOKUP('Données projet'!$B$9,Paramètres!$A$1:$I$89,3,0)*VLOOKUP('Données projet'!$B$9,Paramètres!$A$1:$I$89,5,0)</f>
        <v>79.079520000000002</v>
      </c>
      <c r="P25" s="13">
        <f t="shared" si="33"/>
        <v>21.911970621402002</v>
      </c>
      <c r="Q25" s="20">
        <f t="shared" si="2"/>
        <v>175.89351283227515</v>
      </c>
      <c r="R25" s="59">
        <f t="shared" si="0"/>
        <v>445.7266472243715</v>
      </c>
      <c r="S25" s="59">
        <f ca="1">AVERAGE(OFFSET($R$3,0,0,'Données projet'!$E$9+1,1))-AVERAGE(OFFSET($H$3,0,0,'Données projet'!$E$9+1,1))</f>
        <v>461.20962581398715</v>
      </c>
      <c r="T25" s="59">
        <f t="shared" si="34"/>
        <v>348.44322874953923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87.4</v>
      </c>
      <c r="AJ25" s="13">
        <f>AI25*VLOOKUP('Données projet'!$B$10,Paramètres!$A$1:$I$89,3,0)*VLOOKUP('Données projet'!$B$10,Paramètres!$A$1:$I$89,5,0)</f>
        <v>88.62360000000001</v>
      </c>
      <c r="AK25" s="13">
        <f t="shared" si="35"/>
        <v>24.232973298845781</v>
      </c>
      <c r="AL25" s="20">
        <f t="shared" si="4"/>
        <v>196.55853182882308</v>
      </c>
      <c r="AM25" s="59">
        <f t="shared" si="5"/>
        <v>466.39166622091943</v>
      </c>
      <c r="AN25" s="59">
        <f ca="1">AVERAGE(OFFSET($AM$3,0,0,'Données projet'!$E$10+1,1))-AVERAGE(OFFSET($H$3,0,0,'Données projet'!$E$10+1,1))</f>
        <v>510.86584023875525</v>
      </c>
      <c r="AO25" s="59">
        <f t="shared" si="36"/>
        <v>384.62921487244125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8.8000000000000007</v>
      </c>
      <c r="BD25" s="12">
        <f>IF('Données projet'!$A$88&gt;35,BD24+BC25-BL24,IF(A25&lt;'Données projet'!$A$88,$BA$205^A25,IF(A25='Données projet'!$A$88,'Données projet'!$B$88,BD24+BC25-BL24)))</f>
        <v>49.599999999999994</v>
      </c>
      <c r="BE25" s="13">
        <f>BD25*VLOOKUP('Données projet'!$B$11,Paramètres!$A$1:$I$89,3,0)*VLOOKUP('Données projet'!$B$11,Paramètres!$A$1:$I$89,5,0)</f>
        <v>36.366720000000001</v>
      </c>
      <c r="BF25" s="13">
        <f t="shared" si="37"/>
        <v>11.030373963242988</v>
      </c>
      <c r="BG25" s="20">
        <f t="shared" si="7"/>
        <v>82.549938652648208</v>
      </c>
      <c r="BH25" s="59">
        <f t="shared" si="8"/>
        <v>352.38307304474461</v>
      </c>
      <c r="BI25" s="59">
        <f ca="1">AVERAGE(OFFSET($BH$3,0,0,'Données projet'!$E$11+1,1))-AVERAGE(OFFSET($H$3,0,0,'Données projet'!$E$11+1,1))</f>
        <v>201.7253431547006</v>
      </c>
      <c r="BJ25" s="59">
        <f t="shared" si="38"/>
        <v>229.70004720044096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24.2</v>
      </c>
      <c r="BY25" s="12">
        <f>IF('Données projet'!$A$114&gt;35,BY24+BX25-CG24,IF(A25&lt;'Données projet'!$A$114,$BV$205^A25,IF(A25='Données projet'!$A$114,'Données projet'!$B$114,BY24+BX25-CG24)))</f>
        <v>159.39999999999995</v>
      </c>
      <c r="BZ25" s="13">
        <f>BY25*VLOOKUP('Données projet'!$B$12,Paramètres!$A$1:$I$89,3,0)*VLOOKUP('Données projet'!$B$12,Paramètres!$A$1:$I$89,5,0)</f>
        <v>89.104599999999962</v>
      </c>
      <c r="CA25" s="13">
        <f t="shared" si="39"/>
        <v>24.349150569811826</v>
      </c>
      <c r="CB25" s="20">
        <f t="shared" si="10"/>
        <v>197.5986155757555</v>
      </c>
      <c r="CC25" s="59">
        <f t="shared" si="11"/>
        <v>467.43174996785189</v>
      </c>
      <c r="CD25" s="59">
        <f ca="1">AVERAGE(OFFSET($CC$3,0,0,'Données projet'!$E$12+1,1))-AVERAGE(OFFSET($H$3,0,0,'Données projet'!$E$12+1,1))</f>
        <v>462.09240749760784</v>
      </c>
      <c r="CE25" s="59">
        <f t="shared" si="40"/>
        <v>403.52202223463337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11.369978044013138</v>
      </c>
      <c r="CL25" s="21">
        <f>EXP(-LN(2)/25)*CL24+(1-EXP(-LN(2)/25))/(LN(2)/25)*Calculateur!CG25*Calculateur!CI25*VLOOKUP('Données projet'!$B$12,Paramètres!$A$1:$I$89,3,0)*0.475*44/12</f>
        <v>11.39419102210076</v>
      </c>
      <c r="CM25" s="21">
        <f>EXP(-LN(2)/2)*CM24+(1-EXP(-LN(2)/2))/(LN(2)/2)*CG25*CJ25*VLOOKUP('Données projet'!$B$12,Paramètres!$A$1:$I$89,3,0)*0.475*44/12</f>
        <v>5.5947750674092953</v>
      </c>
      <c r="CN25" s="22">
        <f t="shared" si="12"/>
        <v>28.358944133523192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11</v>
      </c>
      <c r="CT25" s="12">
        <f>IF('Données projet'!$A$140&gt;35,CT24+CS25-DB24,IF(A25&lt;'Données projet'!$A$140,$CQ$205^A25,IF(A25='Données projet'!$A$140,'Données projet'!$B$140,CT24+CS25-DB24)))</f>
        <v>122</v>
      </c>
      <c r="CU25" s="17">
        <f>CT25*VLOOKUP('Données projet'!$B$13,Paramètres!$A$1:$I$89,3,0)*VLOOKUP('Données projet'!$B$13,Paramètres!$A$1:$I$89,5,0)</f>
        <v>57.096000000000004</v>
      </c>
      <c r="CV25" s="13">
        <f t="shared" si="41"/>
        <v>16.431940248498016</v>
      </c>
      <c r="CW25" s="20">
        <f t="shared" si="13"/>
        <v>128.06116259946739</v>
      </c>
      <c r="CX25" s="59">
        <f t="shared" si="14"/>
        <v>397.89429699156381</v>
      </c>
      <c r="CY25" s="59">
        <f ca="1">AVERAGE(OFFSET($CX$3,0,0,'Données projet'!$E$13+1,1))-AVERAGE(OFFSET($H$3,0,0,'Données projet'!$E$13+1,1))</f>
        <v>319.88925869887464</v>
      </c>
      <c r="CZ25" s="59">
        <f t="shared" si="42"/>
        <v>258.2857172412098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7.2075748226386107</v>
      </c>
      <c r="DH25" s="21">
        <f>EXP(-LN(2)/2)*DH24+(1-EXP(-LN(2)/2))/(LN(2)/2)*DB25*DE25*VLOOKUP('Données projet'!$B$13,Paramètres!$A$1:$I$89,3,0)*0.475*44/12</f>
        <v>4.6629854941329976</v>
      </c>
      <c r="DI25" s="22">
        <f t="shared" si="15"/>
        <v>11.870560316771609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19.68</v>
      </c>
      <c r="DO25" s="12">
        <f>IF('Données projet'!$A$166&gt;35,DO24+DN25-DW24,IF(A25&lt;'Données projet'!$A$166,$DL$205^A25,IF(A25='Données projet'!$A$166,'Données projet'!$B$166,DO24+DN25-DW24)))</f>
        <v>140.56</v>
      </c>
      <c r="DP25" s="17">
        <f>DO25*VLOOKUP('Données projet'!$B$14,Paramètres!$A$1:$I$89,3,0)*VLOOKUP('Données projet'!$B$14,Paramètres!$A$1:$I$89,5,0)</f>
        <v>84.054880000000011</v>
      </c>
      <c r="DQ25" s="13">
        <f t="shared" si="43"/>
        <v>23.12575242793806</v>
      </c>
      <c r="DR25" s="20">
        <f t="shared" si="16"/>
        <v>186.67293481199212</v>
      </c>
      <c r="DS25" s="59">
        <f t="shared" si="17"/>
        <v>456.50606920408848</v>
      </c>
      <c r="DT25" s="59">
        <f ca="1">AVERAGE(OFFSET($DS$3,0,0,'Données projet'!$E$14+1,1))-AVERAGE(OFFSET($H$3,0,0,'Données projet'!$E$14+1,1))</f>
        <v>443.64905827069435</v>
      </c>
      <c r="DU25" s="59">
        <f t="shared" si="44"/>
        <v>381.14782516862385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3.1149456241453106</v>
      </c>
      <c r="EB25" s="21">
        <f>EXP(-LN(2)/25)*EB24+(1-EXP(-LN(2)/25))/(LN(2)/25)*Calculateur!DW25*Calculateur!DY25*VLOOKUP('Données projet'!$B$14,Paramètres!$A$1:$I$89,3,0)*0.475*44/12</f>
        <v>6.8170833088649481</v>
      </c>
      <c r="EC25" s="21">
        <f>EXP(-LN(2)/2)*EC24+(1-EXP(-LN(2)/2))/(LN(2)/2)*DW25*DZ25*VLOOKUP('Données projet'!$B$14,Paramètres!$A$1:$I$89,3,0)*0.475*44/12</f>
        <v>3.879187440995699</v>
      </c>
      <c r="ED25" s="22">
        <f t="shared" si="18"/>
        <v>13.811216374005957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14.2</v>
      </c>
      <c r="EJ25" s="12">
        <f>IF('Données projet'!$A$192&gt;35,EJ24+EI25-ER24,IF(A25&lt;'Données projet'!$A$192,$EG$205^A25,IF(A25='Données projet'!$A$192,'Données projet'!$B$192,EJ24+EI25-ER24)))</f>
        <v>218.39999999999992</v>
      </c>
      <c r="EK25" s="17">
        <f>EJ25*VLOOKUP('Données projet'!$B$15,Paramètres!$A$1:$I$89,3,0)*VLOOKUP('Données projet'!$B$15,Paramètres!$A$1:$I$89,5,0)</f>
        <v>197.60831999999991</v>
      </c>
      <c r="EL25" s="13">
        <f t="shared" si="45"/>
        <v>49.218181392381361</v>
      </c>
      <c r="EM25" s="20">
        <f t="shared" si="19"/>
        <v>429.88948992506403</v>
      </c>
      <c r="EN25" s="59">
        <f t="shared" si="20"/>
        <v>699.72262431716035</v>
      </c>
      <c r="EO25" s="59">
        <f ca="1">AVERAGE(OFFSET($EN$3,0,0,'Données projet'!$E$15+1,1))-AVERAGE(OFFSET($H$3,0,0,'Données projet'!$E$15+1,1))</f>
        <v>504.37890861635196</v>
      </c>
      <c r="EP25" s="59">
        <f t="shared" si="46"/>
        <v>611.82129317522913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1.2</v>
      </c>
      <c r="FE25" s="12">
        <f>IF('Données projet'!$A$218&gt;35,FE24+FD25-FM24,IF(A25&lt;'Données projet'!$A$218,$FB$205^A25,IF(A25='Données projet'!$A$218,'Données projet'!$B$218,FE24+FD25-FM24)))</f>
        <v>19.946500129940819</v>
      </c>
      <c r="FF25" s="17">
        <f>FE25*VLOOKUP('Données projet'!$B$16,Paramètres!$A$1:$I$89,3,0)*VLOOKUP('Données projet'!$B$16,Paramètres!$A$1:$I$89,5,0)</f>
        <v>21.470412739868298</v>
      </c>
      <c r="FG25" s="13">
        <f t="shared" si="47"/>
        <v>6.9241463135591816</v>
      </c>
      <c r="FH25" s="20">
        <f t="shared" si="22"/>
        <v>49.453857018052851</v>
      </c>
      <c r="FI25" s="59">
        <f t="shared" si="23"/>
        <v>319.28699141014926</v>
      </c>
      <c r="FJ25" s="59">
        <f ca="1">AVERAGE(OFFSET($FI$3,0,0,'Données projet'!$E$16+1,1))-AVERAGE(OFFSET($H$3,0,0,'Données projet'!$E$16+1,1))</f>
        <v>334.01098870576732</v>
      </c>
      <c r="FK25" s="59">
        <f t="shared" si="48"/>
        <v>171.1802153303471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12.6</v>
      </c>
      <c r="FZ25" s="12">
        <f>IF('Données projet'!$A$244&gt;35,FZ24+FY25-GH24,IF(A25&lt;'Données projet'!$A$244,$FW$205^A25,IF(A25='Données projet'!$A$244,'Données projet'!$B$244,FZ24+FY25-GH24)))</f>
        <v>77.199999999999989</v>
      </c>
      <c r="GA25" s="17">
        <f>FZ25*VLOOKUP('Données projet'!$B$17,Paramètres!$A$1:$I$89,3,0)*VLOOKUP('Données projet'!$B$17,Paramètres!$A$1:$I$89,5,0)</f>
        <v>67.441919999999996</v>
      </c>
      <c r="GB25" s="13">
        <f t="shared" si="49"/>
        <v>19.036826299015036</v>
      </c>
      <c r="GC25" s="20">
        <f t="shared" si="25"/>
        <v>150.61714980411784</v>
      </c>
      <c r="GD25" s="59">
        <f t="shared" si="26"/>
        <v>420.45028419621423</v>
      </c>
      <c r="GE25" s="59">
        <f ca="1">AVERAGE(OFFSET($GD$3,0,0,'Données projet'!$E$17+1,1))-AVERAGE(OFFSET($H$3,0,0,'Données projet'!$E$17+1,1))</f>
        <v>330.12856974146598</v>
      </c>
      <c r="GF25" s="59">
        <f t="shared" si="50"/>
        <v>321.23368446552286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66.257521500874773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5.6</v>
      </c>
      <c r="GU25" s="12">
        <f>IF('Données projet'!$A$270&gt;35,GU24+GT25-HC24,IF(A25&lt;'Données projet'!$A$270,$GR$205^A25,IF(A25='Données projet'!$A$270,'Données projet'!$B$270,GU24+GT25-HC24)))</f>
        <v>53.2</v>
      </c>
      <c r="GV25" s="17">
        <f>GU25*VLOOKUP('Données projet'!$B$18,Paramètres!$A$1:$I$89,3,0)*VLOOKUP('Données projet'!$B$18,Paramètres!$A$1:$I$89,5,0)</f>
        <v>35.68656</v>
      </c>
      <c r="GW25" s="13">
        <f t="shared" si="51"/>
        <v>10.847888324418458</v>
      </c>
      <c r="GX25" s="20">
        <f t="shared" si="28"/>
        <v>81.047497498362148</v>
      </c>
      <c r="GY25" s="59">
        <f t="shared" si="29"/>
        <v>350.88063189045852</v>
      </c>
      <c r="GZ25" s="59">
        <f ca="1">AVERAGE(OFFSET($GY$3,0,0,'Données projet'!$E$18+1,1))-AVERAGE(OFFSET($H$3,0,0,'Données projet'!$E$18+1,1))</f>
        <v>296.67751292332753</v>
      </c>
      <c r="HA25" s="59">
        <f t="shared" si="52"/>
        <v>197.99510031603018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1.1000000000000001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4.0333333333333341</v>
      </c>
      <c r="H26" s="67">
        <f t="shared" si="1"/>
        <v>240.5333333333333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94.600000000000009</v>
      </c>
      <c r="O26" s="13">
        <f>N26*VLOOKUP('Données projet'!$B$9,Paramètres!$A$1:$I$89,3,0)*VLOOKUP('Données projet'!$B$9,Paramètres!$A$1:$I$89,5,0)</f>
        <v>85.594080000000005</v>
      </c>
      <c r="P26" s="13">
        <f t="shared" si="33"/>
        <v>23.499539031833248</v>
      </c>
      <c r="Q26" s="20">
        <f t="shared" si="2"/>
        <v>190.00471981377623</v>
      </c>
      <c r="R26" s="59">
        <f t="shared" si="0"/>
        <v>461.29812975654318</v>
      </c>
      <c r="S26" s="59">
        <f ca="1">AVERAGE(OFFSET($R$3,0,0,'Données projet'!$E$9+1,1))-AVERAGE(OFFSET($H$3,0,0,'Données projet'!$E$9+1,1))</f>
        <v>461.20962581398715</v>
      </c>
      <c r="T26" s="59">
        <f t="shared" si="34"/>
        <v>348.44322874953923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94.600000000000009</v>
      </c>
      <c r="AJ26" s="13">
        <f>AI26*VLOOKUP('Données projet'!$B$10,Paramètres!$A$1:$I$89,3,0)*VLOOKUP('Données projet'!$B$10,Paramètres!$A$1:$I$89,5,0)</f>
        <v>95.92440000000002</v>
      </c>
      <c r="AK26" s="13">
        <f t="shared" si="35"/>
        <v>25.988703240473907</v>
      </c>
      <c r="AL26" s="20">
        <f t="shared" si="4"/>
        <v>212.33198814382544</v>
      </c>
      <c r="AM26" s="59">
        <f t="shared" si="5"/>
        <v>483.62539808659233</v>
      </c>
      <c r="AN26" s="59">
        <f ca="1">AVERAGE(OFFSET($AM$3,0,0,'Données projet'!$E$10+1,1))-AVERAGE(OFFSET($H$3,0,0,'Données projet'!$E$10+1,1))</f>
        <v>510.86584023875525</v>
      </c>
      <c r="AO26" s="59">
        <f t="shared" si="36"/>
        <v>384.62921487244125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8.8000000000000007</v>
      </c>
      <c r="BD26" s="12">
        <f>IF('Données projet'!$A$88&gt;35,BD25+BC26-BL25,IF(A26&lt;'Données projet'!$A$88,$BA$205^A26,IF(A26='Données projet'!$A$88,'Données projet'!$B$88,BD25+BC26-BL25)))</f>
        <v>58.399999999999991</v>
      </c>
      <c r="BE26" s="13">
        <f>BD26*VLOOKUP('Données projet'!$B$11,Paramètres!$A$1:$I$89,3,0)*VLOOKUP('Données projet'!$B$11,Paramètres!$A$1:$I$89,5,0)</f>
        <v>42.818879999999993</v>
      </c>
      <c r="BF26" s="13">
        <f t="shared" si="37"/>
        <v>12.742804463043681</v>
      </c>
      <c r="BG26" s="20">
        <f t="shared" si="7"/>
        <v>96.769933773134412</v>
      </c>
      <c r="BH26" s="59">
        <f t="shared" si="8"/>
        <v>368.06334371590134</v>
      </c>
      <c r="BI26" s="59">
        <f ca="1">AVERAGE(OFFSET($BH$3,0,0,'Données projet'!$E$11+1,1))-AVERAGE(OFFSET($H$3,0,0,'Données projet'!$E$11+1,1))</f>
        <v>201.7253431547006</v>
      </c>
      <c r="BJ26" s="59">
        <f t="shared" si="38"/>
        <v>229.70004720044096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24.2</v>
      </c>
      <c r="BY26" s="12">
        <f>IF('Données projet'!$A$114&gt;35,BY25+BX26-CG25,IF(A26&lt;'Données projet'!$A$114,$BV$205^A26,IF(A26='Données projet'!$A$114,'Données projet'!$B$114,BY25+BX26-CG25)))</f>
        <v>183.59999999999994</v>
      </c>
      <c r="BZ26" s="13">
        <f>BY26*VLOOKUP('Données projet'!$B$12,Paramètres!$A$1:$I$89,3,0)*VLOOKUP('Données projet'!$B$12,Paramètres!$A$1:$I$89,5,0)</f>
        <v>102.63239999999996</v>
      </c>
      <c r="CA26" s="13">
        <f t="shared" si="39"/>
        <v>27.588179028152883</v>
      </c>
      <c r="CB26" s="20">
        <f t="shared" si="10"/>
        <v>226.8008418073662</v>
      </c>
      <c r="CC26" s="59">
        <f t="shared" si="11"/>
        <v>498.09425175013314</v>
      </c>
      <c r="CD26" s="59">
        <f ca="1">AVERAGE(OFFSET($CC$3,0,0,'Données projet'!$E$12+1,1))-AVERAGE(OFFSET($H$3,0,0,'Données projet'!$E$12+1,1))</f>
        <v>462.09240749760784</v>
      </c>
      <c r="CE26" s="59">
        <f t="shared" si="40"/>
        <v>403.52202223463337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11.147019709571872</v>
      </c>
      <c r="CL26" s="21">
        <f>EXP(-LN(2)/25)*CL25+(1-EXP(-LN(2)/25))/(LN(2)/25)*Calculateur!CG26*Calculateur!CI26*VLOOKUP('Données projet'!$B$12,Paramètres!$A$1:$I$89,3,0)*0.475*44/12</f>
        <v>11.08261626940695</v>
      </c>
      <c r="CM26" s="21">
        <f>EXP(-LN(2)/2)*CM25+(1-EXP(-LN(2)/2))/(LN(2)/2)*CG26*CJ26*VLOOKUP('Données projet'!$B$12,Paramètres!$A$1:$I$89,3,0)*0.475*44/12</f>
        <v>3.9561033893785367</v>
      </c>
      <c r="CN26" s="22">
        <f t="shared" si="12"/>
        <v>26.185739368357357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11</v>
      </c>
      <c r="CT26" s="12">
        <f>IF('Données projet'!$A$140&gt;35,CT25+CS26-DB25,IF(A26&lt;'Données projet'!$A$140,$CQ$205^A26,IF(A26='Données projet'!$A$140,'Données projet'!$B$140,CT25+CS26-DB25)))</f>
        <v>133</v>
      </c>
      <c r="CU26" s="17">
        <f>CT26*VLOOKUP('Données projet'!$B$13,Paramètres!$A$1:$I$89,3,0)*VLOOKUP('Données projet'!$B$13,Paramètres!$A$1:$I$89,5,0)</f>
        <v>62.243999999999993</v>
      </c>
      <c r="CV26" s="13">
        <f t="shared" si="41"/>
        <v>17.734404526076432</v>
      </c>
      <c r="CW26" s="20">
        <f t="shared" si="13"/>
        <v>139.29572121624975</v>
      </c>
      <c r="CX26" s="59">
        <f t="shared" si="14"/>
        <v>410.58913115901669</v>
      </c>
      <c r="CY26" s="59">
        <f ca="1">AVERAGE(OFFSET($CX$3,0,0,'Données projet'!$E$13+1,1))-AVERAGE(OFFSET($H$3,0,0,'Données projet'!$E$13+1,1))</f>
        <v>319.88925869887464</v>
      </c>
      <c r="CZ26" s="59">
        <f t="shared" si="42"/>
        <v>258.2857172412098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7.0104833100836714</v>
      </c>
      <c r="DH26" s="21">
        <f>EXP(-LN(2)/2)*DH25+(1-EXP(-LN(2)/2))/(LN(2)/2)*DB26*DE26*VLOOKUP('Données projet'!$B$13,Paramètres!$A$1:$I$89,3,0)*0.475*44/12</f>
        <v>3.2972286634759471</v>
      </c>
      <c r="DI26" s="22">
        <f t="shared" si="15"/>
        <v>10.307711973559618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19.68</v>
      </c>
      <c r="DO26" s="12">
        <f>IF('Données projet'!$A$166&gt;35,DO25+DN26-DW25,IF(A26&lt;'Données projet'!$A$166,$DL$205^A26,IF(A26='Données projet'!$A$166,'Données projet'!$B$166,DO25+DN26-DW25)))</f>
        <v>160.24</v>
      </c>
      <c r="DP26" s="17">
        <f>DO26*VLOOKUP('Données projet'!$B$14,Paramètres!$A$1:$I$89,3,0)*VLOOKUP('Données projet'!$B$14,Paramètres!$A$1:$I$89,5,0)</f>
        <v>95.823520000000016</v>
      </c>
      <c r="DQ26" s="13">
        <f t="shared" si="43"/>
        <v>25.964551808226819</v>
      </c>
      <c r="DR26" s="20">
        <f t="shared" si="16"/>
        <v>212.11422506599504</v>
      </c>
      <c r="DS26" s="59">
        <f t="shared" si="17"/>
        <v>483.40763500876199</v>
      </c>
      <c r="DT26" s="59">
        <f ca="1">AVERAGE(OFFSET($DS$3,0,0,'Données projet'!$E$14+1,1))-AVERAGE(OFFSET($H$3,0,0,'Données projet'!$E$14+1,1))</f>
        <v>443.64905827069435</v>
      </c>
      <c r="DU26" s="59">
        <f t="shared" si="44"/>
        <v>381.14782516862385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3.0538634403850495</v>
      </c>
      <c r="EB26" s="21">
        <f>EXP(-LN(2)/25)*EB25+(1-EXP(-LN(2)/25))/(LN(2)/25)*Calculateur!DW26*Calculateur!DY26*VLOOKUP('Données projet'!$B$14,Paramètres!$A$1:$I$89,3,0)*0.475*44/12</f>
        <v>6.6306698072892054</v>
      </c>
      <c r="EC26" s="21">
        <f>EXP(-LN(2)/2)*EC25+(1-EXP(-LN(2)/2))/(LN(2)/2)*DW26*DZ26*VLOOKUP('Données projet'!$B$14,Paramètres!$A$1:$I$89,3,0)*0.475*44/12</f>
        <v>2.7429997450217494</v>
      </c>
      <c r="ED26" s="22">
        <f t="shared" si="18"/>
        <v>12.427532992696005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14.2</v>
      </c>
      <c r="EJ26" s="12">
        <f>IF('Données projet'!$A$192&gt;35,EJ25+EI26-ER25,IF(A26&lt;'Données projet'!$A$192,$EG$205^A26,IF(A26='Données projet'!$A$192,'Données projet'!$B$192,EJ25+EI26-ER25)))</f>
        <v>232.59999999999991</v>
      </c>
      <c r="EK26" s="17">
        <f>EJ26*VLOOKUP('Données projet'!$B$15,Paramètres!$A$1:$I$89,3,0)*VLOOKUP('Données projet'!$B$15,Paramètres!$A$1:$I$89,5,0)</f>
        <v>210.45647999999989</v>
      </c>
      <c r="EL26" s="13">
        <f t="shared" si="45"/>
        <v>52.035325453678105</v>
      </c>
      <c r="EM26" s="20">
        <f t="shared" si="19"/>
        <v>457.17322783182249</v>
      </c>
      <c r="EN26" s="59">
        <f t="shared" si="20"/>
        <v>728.46663777458934</v>
      </c>
      <c r="EO26" s="59">
        <f ca="1">AVERAGE(OFFSET($EN$3,0,0,'Données projet'!$E$15+1,1))-AVERAGE(OFFSET($H$3,0,0,'Données projet'!$E$15+1,1))</f>
        <v>504.37890861635196</v>
      </c>
      <c r="EP26" s="59">
        <f t="shared" si="46"/>
        <v>611.82129317522913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1.2</v>
      </c>
      <c r="FE26" s="12">
        <f>IF('Données projet'!$A$218&gt;35,FE25+FD26-FM25,IF(A26&lt;'Données projet'!$A$218,$FB$205^A26,IF(A26='Données projet'!$A$218,'Données projet'!$B$218,FE25+FD26-FM25)))</f>
        <v>22.853438584779923</v>
      </c>
      <c r="FF26" s="17">
        <f>FE26*VLOOKUP('Données projet'!$B$16,Paramètres!$A$1:$I$89,3,0)*VLOOKUP('Données projet'!$B$16,Paramètres!$A$1:$I$89,5,0)</f>
        <v>24.599441292657108</v>
      </c>
      <c r="FG26" s="13">
        <f t="shared" si="47"/>
        <v>7.808607795256683</v>
      </c>
      <c r="FH26" s="20">
        <f t="shared" si="22"/>
        <v>56.444018828116505</v>
      </c>
      <c r="FI26" s="59">
        <f t="shared" si="23"/>
        <v>327.73742877088341</v>
      </c>
      <c r="FJ26" s="59">
        <f ca="1">AVERAGE(OFFSET($FI$3,0,0,'Données projet'!$E$16+1,1))-AVERAGE(OFFSET($H$3,0,0,'Données projet'!$E$16+1,1))</f>
        <v>334.01098870576732</v>
      </c>
      <c r="FK26" s="59">
        <f t="shared" si="48"/>
        <v>171.1802153303471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12.6</v>
      </c>
      <c r="FZ26" s="12">
        <f>IF('Données projet'!$A$244&gt;35,FZ25+FY26-GH25,IF(A26&lt;'Données projet'!$A$244,$FW$205^A26,IF(A26='Données projet'!$A$244,'Données projet'!$B$244,FZ25+FY26-GH25)))</f>
        <v>89.799999999999983</v>
      </c>
      <c r="GA26" s="17">
        <f>FZ26*VLOOKUP('Données projet'!$B$17,Paramètres!$A$1:$I$89,3,0)*VLOOKUP('Données projet'!$B$17,Paramètres!$A$1:$I$89,5,0)</f>
        <v>78.449280000000002</v>
      </c>
      <c r="GB26" s="13">
        <f t="shared" si="49"/>
        <v>21.757594161482565</v>
      </c>
      <c r="GC26" s="20">
        <f t="shared" si="25"/>
        <v>174.52697249791549</v>
      </c>
      <c r="GD26" s="59">
        <f t="shared" si="26"/>
        <v>445.82038244068241</v>
      </c>
      <c r="GE26" s="59">
        <f ca="1">AVERAGE(OFFSET($GD$3,0,0,'Données projet'!$E$17+1,1))-AVERAGE(OFFSET($H$3,0,0,'Données projet'!$E$17+1,1))</f>
        <v>330.12856974146598</v>
      </c>
      <c r="GF26" s="59">
        <f t="shared" si="50"/>
        <v>321.23368446552286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66.322445135906122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5.6</v>
      </c>
      <c r="GU26" s="12">
        <f>IF('Données projet'!$A$270&gt;35,GU25+GT26-HC25,IF(A26&lt;'Données projet'!$A$270,$GR$205^A26,IF(A26='Données projet'!$A$270,'Données projet'!$B$270,GU25+GT26-HC25)))</f>
        <v>58.800000000000004</v>
      </c>
      <c r="GV26" s="17">
        <f>GU26*VLOOKUP('Données projet'!$B$18,Paramètres!$A$1:$I$89,3,0)*VLOOKUP('Données projet'!$B$18,Paramètres!$A$1:$I$89,5,0)</f>
        <v>39.443040000000003</v>
      </c>
      <c r="GW26" s="13">
        <f t="shared" si="51"/>
        <v>11.850904343164064</v>
      </c>
      <c r="GX26" s="20">
        <f t="shared" si="28"/>
        <v>89.336953064344087</v>
      </c>
      <c r="GY26" s="59">
        <f t="shared" si="29"/>
        <v>360.63036300711099</v>
      </c>
      <c r="GZ26" s="59">
        <f ca="1">AVERAGE(OFFSET($GY$3,0,0,'Données projet'!$E$18+1,1))-AVERAGE(OFFSET($H$3,0,0,'Données projet'!$E$18+1,1))</f>
        <v>296.67751292332753</v>
      </c>
      <c r="HA26" s="59">
        <f t="shared" si="52"/>
        <v>197.99510031603018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1.1000000000000001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4.0333333333333341</v>
      </c>
      <c r="H27" s="67">
        <f t="shared" si="1"/>
        <v>240.5333333333333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101.80000000000001</v>
      </c>
      <c r="O27" s="13">
        <f>N27*VLOOKUP('Données projet'!$B$9,Paramètres!$A$1:$I$89,3,0)*VLOOKUP('Données projet'!$B$9,Paramètres!$A$1:$I$89,5,0)</f>
        <v>92.108640000000008</v>
      </c>
      <c r="P27" s="13">
        <f t="shared" si="33"/>
        <v>25.073090701604293</v>
      </c>
      <c r="Q27" s="20">
        <f t="shared" si="2"/>
        <v>204.09151430529414</v>
      </c>
      <c r="R27" s="59">
        <f t="shared" si="0"/>
        <v>476.84107010569051</v>
      </c>
      <c r="S27" s="59">
        <f ca="1">AVERAGE(OFFSET($R$3,0,0,'Données projet'!$E$9+1,1))-AVERAGE(OFFSET($H$3,0,0,'Données projet'!$E$9+1,1))</f>
        <v>461.20962581398715</v>
      </c>
      <c r="T27" s="59">
        <f t="shared" si="34"/>
        <v>348.44322874953923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101.80000000000001</v>
      </c>
      <c r="AJ27" s="13">
        <f>AI27*VLOOKUP('Données projet'!$B$10,Paramètres!$A$1:$I$89,3,0)*VLOOKUP('Données projet'!$B$10,Paramètres!$A$1:$I$89,5,0)</f>
        <v>103.22520000000003</v>
      </c>
      <c r="AK27" s="13">
        <f t="shared" si="35"/>
        <v>27.728931732779014</v>
      </c>
      <c r="AL27" s="20">
        <f t="shared" si="4"/>
        <v>228.07844610125684</v>
      </c>
      <c r="AM27" s="59">
        <f t="shared" si="5"/>
        <v>500.82800190165324</v>
      </c>
      <c r="AN27" s="59">
        <f ca="1">AVERAGE(OFFSET($AM$3,0,0,'Données projet'!$E$10+1,1))-AVERAGE(OFFSET($H$3,0,0,'Données projet'!$E$10+1,1))</f>
        <v>510.86584023875525</v>
      </c>
      <c r="AO27" s="59">
        <f t="shared" si="36"/>
        <v>384.62921487244125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8.8000000000000007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49.271039999999992</v>
      </c>
      <c r="BF27" s="13">
        <f t="shared" si="37"/>
        <v>14.425341953309852</v>
      </c>
      <c r="BG27" s="20">
        <f t="shared" si="7"/>
        <v>110.93786523534799</v>
      </c>
      <c r="BH27" s="59">
        <f t="shared" si="8"/>
        <v>383.68742103574436</v>
      </c>
      <c r="BI27" s="59">
        <f ca="1">AVERAGE(OFFSET($BH$3,0,0,'Données projet'!$E$11+1,1))-AVERAGE(OFFSET($H$3,0,0,'Données projet'!$E$11+1,1))</f>
        <v>201.7253431547006</v>
      </c>
      <c r="BJ27" s="59">
        <f t="shared" si="38"/>
        <v>229.70004720044096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24.2</v>
      </c>
      <c r="BY27" s="12">
        <f>IF('Données projet'!$A$114&gt;35,BY26+BX27-CG26,IF(A27&lt;'Données projet'!$A$114,$BV$205^A27,IF(A27='Données projet'!$A$114,'Données projet'!$B$114,BY26+BX27-CG26)))</f>
        <v>207.79999999999993</v>
      </c>
      <c r="BZ27" s="13">
        <f>BY27*VLOOKUP('Données projet'!$B$12,Paramètres!$A$1:$I$89,3,0)*VLOOKUP('Données projet'!$B$12,Paramètres!$A$1:$I$89,5,0)</f>
        <v>116.16019999999996</v>
      </c>
      <c r="CA27" s="13">
        <f t="shared" si="39"/>
        <v>30.777740974613856</v>
      </c>
      <c r="CB27" s="20">
        <f t="shared" si="10"/>
        <v>255.91691386411901</v>
      </c>
      <c r="CC27" s="59">
        <f t="shared" si="11"/>
        <v>528.66646966451538</v>
      </c>
      <c r="CD27" s="59">
        <f ca="1">AVERAGE(OFFSET($CC$3,0,0,'Données projet'!$E$12+1,1))-AVERAGE(OFFSET($H$3,0,0,'Données projet'!$E$12+1,1))</f>
        <v>462.09240749760784</v>
      </c>
      <c r="CE27" s="59">
        <f t="shared" si="40"/>
        <v>403.52202223463337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10.928433452077844</v>
      </c>
      <c r="CL27" s="21">
        <f>EXP(-LN(2)/25)*CL26+(1-EXP(-LN(2)/25))/(LN(2)/25)*Calculateur!CG27*Calculateur!CI27*VLOOKUP('Données projet'!$B$12,Paramètres!$A$1:$I$89,3,0)*0.475*44/12</f>
        <v>10.779561544710557</v>
      </c>
      <c r="CM27" s="21">
        <f>EXP(-LN(2)/2)*CM26+(1-EXP(-LN(2)/2))/(LN(2)/2)*CG27*CJ27*VLOOKUP('Données projet'!$B$12,Paramètres!$A$1:$I$89,3,0)*0.475*44/12</f>
        <v>2.7973875337046481</v>
      </c>
      <c r="CN27" s="22">
        <f t="shared" si="12"/>
        <v>24.505382530493048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11</v>
      </c>
      <c r="CT27" s="12">
        <f>IF('Données projet'!$A$140&gt;35,CT26+CS27-DB26,IF(A27&lt;'Données projet'!$A$140,$CQ$205^A27,IF(A27='Données projet'!$A$140,'Données projet'!$B$140,CT26+CS27-DB26)))</f>
        <v>144</v>
      </c>
      <c r="CU27" s="17">
        <f>CT27*VLOOKUP('Données projet'!$B$13,Paramètres!$A$1:$I$89,3,0)*VLOOKUP('Données projet'!$B$13,Paramètres!$A$1:$I$89,5,0)</f>
        <v>67.391999999999996</v>
      </c>
      <c r="CV27" s="13">
        <f t="shared" si="41"/>
        <v>19.02437502991798</v>
      </c>
      <c r="CW27" s="20">
        <f t="shared" si="13"/>
        <v>150.5085198437738</v>
      </c>
      <c r="CX27" s="59">
        <f t="shared" si="14"/>
        <v>423.25807564417016</v>
      </c>
      <c r="CY27" s="59">
        <f ca="1">AVERAGE(OFFSET($CX$3,0,0,'Données projet'!$E$13+1,1))-AVERAGE(OFFSET($H$3,0,0,'Données projet'!$E$13+1,1))</f>
        <v>319.88925869887464</v>
      </c>
      <c r="CZ27" s="59">
        <f t="shared" si="42"/>
        <v>258.2857172412098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6.818781275304139</v>
      </c>
      <c r="DH27" s="21">
        <f>EXP(-LN(2)/2)*DH26+(1-EXP(-LN(2)/2))/(LN(2)/2)*DB27*DE27*VLOOKUP('Données projet'!$B$13,Paramètres!$A$1:$I$89,3,0)*0.475*44/12</f>
        <v>2.3314927470664992</v>
      </c>
      <c r="DI27" s="22">
        <f t="shared" si="15"/>
        <v>9.1502740223706382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>
        <f>VLOOKUP(A27,'Données projet'!$A$165:$I$185,2,0)</f>
        <v>179.92</v>
      </c>
      <c r="DM27" s="12">
        <f>VLOOKUP(A27,'Données projet'!$A$165:$I$185,9,0)</f>
        <v>19.68</v>
      </c>
      <c r="DN27" s="12">
        <f t="array" ref="DN27">INDEX(DM:DM,MIN(IF(ISNUMBER(DM27:DM223),ROW(DM27:DM223),"")))</f>
        <v>19.68</v>
      </c>
      <c r="DO27" s="12">
        <f>IF('Données projet'!$A$166&gt;35,DO26+DN27-DW26,IF(A27&lt;'Données projet'!$A$166,$DL$205^A27,IF(A27='Données projet'!$A$166,'Données projet'!$B$166,DO26+DN27-DW26)))</f>
        <v>179.92000000000002</v>
      </c>
      <c r="DP27" s="17">
        <f>DO27*VLOOKUP('Données projet'!$B$14,Paramètres!$A$1:$I$89,3,0)*VLOOKUP('Données projet'!$B$14,Paramètres!$A$1:$I$89,5,0)</f>
        <v>107.59216000000002</v>
      </c>
      <c r="DQ27" s="13">
        <f t="shared" si="43"/>
        <v>28.762950003220435</v>
      </c>
      <c r="DR27" s="20">
        <f t="shared" si="16"/>
        <v>237.48514992227561</v>
      </c>
      <c r="DS27" s="59">
        <f t="shared" si="17"/>
        <v>510.23470572267195</v>
      </c>
      <c r="DT27" s="59">
        <f ca="1">AVERAGE(OFFSET($DS$3,0,0,'Données projet'!$E$14+1,1))-AVERAGE(OFFSET($H$3,0,0,'Données projet'!$E$14+1,1))</f>
        <v>443.64905827069435</v>
      </c>
      <c r="DU27" s="59">
        <f t="shared" si="44"/>
        <v>381.14782516862385</v>
      </c>
      <c r="DV27" s="15">
        <f>IF(ISNA(VLOOKUP(A27,'Données projet'!$A$165:$I$185,3,0)),0,VLOOKUP(A27,'Données projet'!$A$165:$I$185,3,0))</f>
        <v>3</v>
      </c>
      <c r="DW27" s="15">
        <f>IF(ISNA(VLOOKUP(A27,'Données projet'!$A$165:$I$185,4,0)),0,VLOOKUP(A27,'Données projet'!$A$165:$I$185,4,0))</f>
        <v>45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2.9939790409918738</v>
      </c>
      <c r="EB27" s="21">
        <f>EXP(-LN(2)/25)*EB26+(1-EXP(-LN(2)/25))/(LN(2)/25)*Calculateur!DW27*Calculateur!DY27*VLOOKUP('Données projet'!$B$14,Paramètres!$A$1:$I$89,3,0)*0.475*44/12</f>
        <v>6.4493537927171118</v>
      </c>
      <c r="EC27" s="21">
        <f>EXP(-LN(2)/2)*EC26+(1-EXP(-LN(2)/2))/(LN(2)/2)*DW27*DZ27*VLOOKUP('Données projet'!$B$14,Paramètres!$A$1:$I$89,3,0)*0.475*44/12</f>
        <v>1.9395937204978499</v>
      </c>
      <c r="ED27" s="22">
        <f t="shared" si="18"/>
        <v>11.382926554206836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14.2</v>
      </c>
      <c r="EJ27" s="12">
        <f>IF('Données projet'!$A$192&gt;35,EJ26+EI27-ER26,IF(A27&lt;'Données projet'!$A$192,$EG$205^A27,IF(A27='Données projet'!$A$192,'Données projet'!$B$192,EJ26+EI27-ER26)))</f>
        <v>246.7999999999999</v>
      </c>
      <c r="EK27" s="17">
        <f>EJ27*VLOOKUP('Données projet'!$B$15,Paramètres!$A$1:$I$89,3,0)*VLOOKUP('Données projet'!$B$15,Paramètres!$A$1:$I$89,5,0)</f>
        <v>223.30463999999989</v>
      </c>
      <c r="EL27" s="13">
        <f t="shared" si="45"/>
        <v>54.83250846787714</v>
      </c>
      <c r="EM27" s="20">
        <f t="shared" si="19"/>
        <v>484.42220024821904</v>
      </c>
      <c r="EN27" s="59">
        <f t="shared" si="20"/>
        <v>757.17175604861541</v>
      </c>
      <c r="EO27" s="59">
        <f ca="1">AVERAGE(OFFSET($EN$3,0,0,'Données projet'!$E$15+1,1))-AVERAGE(OFFSET($H$3,0,0,'Données projet'!$E$15+1,1))</f>
        <v>504.37890861635196</v>
      </c>
      <c r="EP27" s="59">
        <f t="shared" si="46"/>
        <v>611.82129317522913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1.2</v>
      </c>
      <c r="FE27" s="12">
        <f>IF('Données projet'!$A$218&gt;35,FE26+FD27-FM26,IF(A27&lt;'Données projet'!$A$218,$FB$205^A27,IF(A27='Données projet'!$A$218,'Données projet'!$B$218,FE26+FD27-FM26)))</f>
        <v>26.184024853780567</v>
      </c>
      <c r="FF27" s="17">
        <f>FE27*VLOOKUP('Données projet'!$B$16,Paramètres!$A$1:$I$89,3,0)*VLOOKUP('Données projet'!$B$16,Paramètres!$A$1:$I$89,5,0)</f>
        <v>28.184484352609399</v>
      </c>
      <c r="FG27" s="13">
        <f t="shared" si="47"/>
        <v>8.8060466863244411</v>
      </c>
      <c r="FH27" s="20">
        <f t="shared" si="22"/>
        <v>64.425174892809764</v>
      </c>
      <c r="FI27" s="59">
        <f t="shared" si="23"/>
        <v>337.17473069320613</v>
      </c>
      <c r="FJ27" s="59">
        <f ca="1">AVERAGE(OFFSET($FI$3,0,0,'Données projet'!$E$16+1,1))-AVERAGE(OFFSET($H$3,0,0,'Données projet'!$E$16+1,1))</f>
        <v>334.01098870576732</v>
      </c>
      <c r="FK27" s="59">
        <f t="shared" si="48"/>
        <v>171.1802153303471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12.6</v>
      </c>
      <c r="FZ27" s="12">
        <f>IF('Données projet'!$A$244&gt;35,FZ26+FY27-GH26,IF(A27&lt;'Données projet'!$A$244,$FW$205^A27,IF(A27='Données projet'!$A$244,'Données projet'!$B$244,FZ26+FY27-GH26)))</f>
        <v>102.39999999999998</v>
      </c>
      <c r="GA27" s="17">
        <f>FZ27*VLOOKUP('Données projet'!$B$17,Paramètres!$A$1:$I$89,3,0)*VLOOKUP('Données projet'!$B$17,Paramètres!$A$1:$I$89,5,0)</f>
        <v>89.456639999999993</v>
      </c>
      <c r="GB27" s="13">
        <f t="shared" si="49"/>
        <v>24.434133496437113</v>
      </c>
      <c r="GC27" s="20">
        <f t="shared" si="25"/>
        <v>198.35976383962796</v>
      </c>
      <c r="GD27" s="59">
        <f t="shared" si="26"/>
        <v>471.1093196400243</v>
      </c>
      <c r="GE27" s="59">
        <f ca="1">AVERAGE(OFFSET($GD$3,0,0,'Données projet'!$E$17+1,1))-AVERAGE(OFFSET($H$3,0,0,'Données projet'!$E$17+1,1))</f>
        <v>330.12856974146598</v>
      </c>
      <c r="GF27" s="59">
        <f t="shared" si="50"/>
        <v>321.23368446552286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66.386242491017185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5.6</v>
      </c>
      <c r="GU27" s="12">
        <f>IF('Données projet'!$A$270&gt;35,GU26+GT27-HC26,IF(A27&lt;'Données projet'!$A$270,$GR$205^A27,IF(A27='Données projet'!$A$270,'Données projet'!$B$270,GU26+GT27-HC26)))</f>
        <v>64.400000000000006</v>
      </c>
      <c r="GV27" s="17">
        <f>GU27*VLOOKUP('Données projet'!$B$18,Paramètres!$A$1:$I$89,3,0)*VLOOKUP('Données projet'!$B$18,Paramètres!$A$1:$I$89,5,0)</f>
        <v>43.199520000000007</v>
      </c>
      <c r="GW27" s="13">
        <f t="shared" si="51"/>
        <v>12.842844959465618</v>
      </c>
      <c r="GX27" s="20">
        <f t="shared" si="28"/>
        <v>97.607118971069283</v>
      </c>
      <c r="GY27" s="59">
        <f t="shared" si="29"/>
        <v>370.35667477146563</v>
      </c>
      <c r="GZ27" s="59">
        <f ca="1">AVERAGE(OFFSET($GY$3,0,0,'Données projet'!$E$18+1,1))-AVERAGE(OFFSET($H$3,0,0,'Données projet'!$E$18+1,1))</f>
        <v>296.67751292332753</v>
      </c>
      <c r="HA27" s="59">
        <f t="shared" si="52"/>
        <v>197.99510031603018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1.1000000000000001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4.0333333333333341</v>
      </c>
      <c r="H28" s="67">
        <f t="shared" si="1"/>
        <v>240.5333333333333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109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109.00000000000001</v>
      </c>
      <c r="O28" s="13">
        <f>N28*VLOOKUP('Données projet'!$B$9,Paramètres!$A$1:$I$89,3,0)*VLOOKUP('Données projet'!$B$9,Paramètres!$A$1:$I$89,5,0)</f>
        <v>98.623200000000011</v>
      </c>
      <c r="P28" s="13">
        <f t="shared" si="33"/>
        <v>26.633729748944933</v>
      </c>
      <c r="Q28" s="20">
        <f t="shared" si="2"/>
        <v>218.15581931274576</v>
      </c>
      <c r="R28" s="59">
        <f t="shared" si="0"/>
        <v>492.35746291867213</v>
      </c>
      <c r="S28" s="59">
        <f ca="1">AVERAGE(OFFSET($R$3,0,0,'Données projet'!$E$9+1,1))-AVERAGE(OFFSET($H$3,0,0,'Données projet'!$E$9+1,1))</f>
        <v>461.20962581398715</v>
      </c>
      <c r="T28" s="59">
        <f t="shared" si="34"/>
        <v>348.44322874953923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109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109.00000000000001</v>
      </c>
      <c r="AJ28" s="13">
        <f>AI28*VLOOKUP('Données projet'!$B$10,Paramètres!$A$1:$I$89,3,0)*VLOOKUP('Données projet'!$B$10,Paramètres!$A$1:$I$89,5,0)</f>
        <v>110.52600000000001</v>
      </c>
      <c r="AK28" s="13">
        <f t="shared" si="35"/>
        <v>29.454879846564946</v>
      </c>
      <c r="AL28" s="20">
        <f t="shared" si="4"/>
        <v>243.80003239943395</v>
      </c>
      <c r="AM28" s="59">
        <f t="shared" si="5"/>
        <v>518.00167600536031</v>
      </c>
      <c r="AN28" s="59">
        <f ca="1">AVERAGE(OFFSET($AM$3,0,0,'Données projet'!$E$10+1,1))-AVERAGE(OFFSET($H$3,0,0,'Données projet'!$E$10+1,1))</f>
        <v>510.86584023875525</v>
      </c>
      <c r="AO28" s="59">
        <f t="shared" si="36"/>
        <v>384.62921487244125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76</v>
      </c>
      <c r="BB28" s="12">
        <f>VLOOKUP(A28,'Données projet'!$A$87:$I$107,9,0)</f>
        <v>8.8000000000000007</v>
      </c>
      <c r="BC28" s="12">
        <f t="array" ref="BC28">INDEX(BB:BB,MIN(IF(ISNUMBER(BB28:BB224),ROW(BB28:BB224),"")))</f>
        <v>8.8000000000000007</v>
      </c>
      <c r="BD28" s="12">
        <f>IF('Données projet'!$A$88&gt;35,BD27+BC28-BL27,IF(A28&lt;'Données projet'!$A$88,$BA$205^A28,IF(A28='Données projet'!$A$88,'Données projet'!$B$88,BD27+BC28-BL27)))</f>
        <v>75.999999999999986</v>
      </c>
      <c r="BE28" s="13">
        <f>BD28*VLOOKUP('Données projet'!$B$11,Paramètres!$A$1:$I$89,3,0)*VLOOKUP('Données projet'!$B$11,Paramètres!$A$1:$I$89,5,0)</f>
        <v>55.723199999999991</v>
      </c>
      <c r="BF28" s="13">
        <f t="shared" si="37"/>
        <v>16.082350294695448</v>
      </c>
      <c r="BG28" s="20">
        <f t="shared" si="7"/>
        <v>125.06133342992787</v>
      </c>
      <c r="BH28" s="59">
        <f t="shared" si="8"/>
        <v>399.26297703585425</v>
      </c>
      <c r="BI28" s="59">
        <f ca="1">AVERAGE(OFFSET($BH$3,0,0,'Données projet'!$E$11+1,1))-AVERAGE(OFFSET($H$3,0,0,'Données projet'!$E$11+1,1))</f>
        <v>201.7253431547006</v>
      </c>
      <c r="BJ28" s="59">
        <f t="shared" si="38"/>
        <v>229.70004720044096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232</v>
      </c>
      <c r="BW28" s="12">
        <f>VLOOKUP(A28,'Données projet'!$A$113:$I$133,9,0)</f>
        <v>24.2</v>
      </c>
      <c r="BX28" s="12">
        <f t="array" ref="BX28">INDEX(BW:BW,MIN(IF(ISNUMBER(BW28:BW224),ROW(BW28:BW224),"")))</f>
        <v>24.2</v>
      </c>
      <c r="BY28" s="12">
        <f>IF('Données projet'!$A$114&gt;35,BY27+BX28-CG27,IF(A28&lt;'Données projet'!$A$114,$BV$205^A28,IF(A28='Données projet'!$A$114,'Données projet'!$B$114,BY27+BX28-CG27)))</f>
        <v>231.99999999999991</v>
      </c>
      <c r="BZ28" s="13">
        <f>BY28*VLOOKUP('Données projet'!$B$12,Paramètres!$A$1:$I$89,3,0)*VLOOKUP('Données projet'!$B$12,Paramètres!$A$1:$I$89,5,0)</f>
        <v>129.68799999999996</v>
      </c>
      <c r="CA28" s="13">
        <f t="shared" si="39"/>
        <v>33.924255213794517</v>
      </c>
      <c r="CB28" s="20">
        <f t="shared" si="10"/>
        <v>284.95801116402532</v>
      </c>
      <c r="CC28" s="59">
        <f t="shared" si="11"/>
        <v>559.15965476995166</v>
      </c>
      <c r="CD28" s="59">
        <f ca="1">AVERAGE(OFFSET($CC$3,0,0,'Données projet'!$E$12+1,1))-AVERAGE(OFFSET($H$3,0,0,'Données projet'!$E$12+1,1))</f>
        <v>462.09240749760784</v>
      </c>
      <c r="CE28" s="59">
        <f t="shared" si="40"/>
        <v>403.52202223463337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63</v>
      </c>
      <c r="CH28" s="16">
        <f>IF(ISNA(VLOOKUP(A28,'Données projet'!$A$113:$I$133,5,0)),0%,VLOOKUP(A28,'Données projet'!$A$113:$I$133,5,0)*VLOOKUP('Données projet'!$B$12,Paramètres!$A$1:$I$89,7,0))</f>
        <v>0.27500000000000002</v>
      </c>
      <c r="CI28" s="16">
        <f>IF(ISNA(VLOOKUP(A28,'Données projet'!$A$113:$I$133,6,0)),0%,VLOOKUP(A28,'Données projet'!$A$113:$I$133,6,0)*VLOOKUP('Données projet'!$B$12,Paramètres!$A$1:$I$89,7,0))</f>
        <v>0.15400000000000003</v>
      </c>
      <c r="CJ28" s="16">
        <f>IF(ISNA(VLOOKUP(A28,'Données projet'!$A$113:$I$133,7,0)),0%,VLOOKUP(A28,'Données projet'!$A$113:$I$133,7,0))</f>
        <v>0.22</v>
      </c>
      <c r="CK28" s="21">
        <f>EXP(-LN(2)/35)*CK27+(1-EXP(-LN(2)/35))/(LN(2)/35)*CG28*CH28*VLOOKUP('Données projet'!$B$12,Paramètres!$A$1:$I$89,3,0)*0.475*44/12</f>
        <v>23.561479155252751</v>
      </c>
      <c r="CL28" s="21">
        <f>EXP(-LN(2)/25)*CL27+(1-EXP(-LN(2)/25))/(LN(2)/25)*Calculateur!CG28*Calculateur!CI28*VLOOKUP('Données projet'!$B$12,Paramètres!$A$1:$I$89,3,0)*0.475*44/12</f>
        <v>17.650979872034586</v>
      </c>
      <c r="CM28" s="21">
        <f>EXP(-LN(2)/2)*CM27+(1-EXP(-LN(2)/2))/(LN(2)/2)*CG28*CJ28*VLOOKUP('Données projet'!$B$12,Paramètres!$A$1:$I$89,3,0)*0.475*44/12</f>
        <v>10.750293155526968</v>
      </c>
      <c r="CN28" s="22">
        <f t="shared" si="12"/>
        <v>51.962752182814306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11</v>
      </c>
      <c r="CT28" s="12">
        <f>IF('Données projet'!$A$140&gt;35,CT27+CS28-DB27,IF(A28&lt;'Données projet'!$A$140,$CQ$205^A28,IF(A28='Données projet'!$A$140,'Données projet'!$B$140,CT27+CS28-DB27)))</f>
        <v>155</v>
      </c>
      <c r="CU28" s="17">
        <f>CT28*VLOOKUP('Données projet'!$B$13,Paramètres!$A$1:$I$89,3,0)*VLOOKUP('Données projet'!$B$13,Paramètres!$A$1:$I$89,5,0)</f>
        <v>72.539999999999992</v>
      </c>
      <c r="CV28" s="13">
        <f t="shared" si="41"/>
        <v>20.302914660456786</v>
      </c>
      <c r="CW28" s="20">
        <f t="shared" si="13"/>
        <v>161.70140970029556</v>
      </c>
      <c r="CX28" s="59">
        <f t="shared" si="14"/>
        <v>435.90305330622198</v>
      </c>
      <c r="CY28" s="59">
        <f ca="1">AVERAGE(OFFSET($CX$3,0,0,'Données projet'!$E$13+1,1))-AVERAGE(OFFSET($H$3,0,0,'Données projet'!$E$13+1,1))</f>
        <v>319.88925869887464</v>
      </c>
      <c r="CZ28" s="59">
        <f t="shared" si="42"/>
        <v>258.2857172412098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6.6323213427468248</v>
      </c>
      <c r="DH28" s="21">
        <f>EXP(-LN(2)/2)*DH27+(1-EXP(-LN(2)/2))/(LN(2)/2)*DB28*DE28*VLOOKUP('Données projet'!$B$13,Paramètres!$A$1:$I$89,3,0)*0.475*44/12</f>
        <v>1.6486143317379738</v>
      </c>
      <c r="DI28" s="22">
        <f t="shared" si="15"/>
        <v>8.2809356744847982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20.86333333333334</v>
      </c>
      <c r="DO28" s="12">
        <f>IF('Données projet'!$A$166&gt;35,DO27+DN28-DW27,IF(A28&lt;'Données projet'!$A$166,$DL$205^A28,IF(A28='Données projet'!$A$166,'Données projet'!$B$166,DO27+DN28-DW27)))</f>
        <v>155.78333333333336</v>
      </c>
      <c r="DP28" s="17">
        <f>DO28*VLOOKUP('Données projet'!$B$14,Paramètres!$A$1:$I$89,3,0)*VLOOKUP('Données projet'!$B$14,Paramètres!$A$1:$I$89,5,0)</f>
        <v>93.158433333333363</v>
      </c>
      <c r="DQ28" s="13">
        <f t="shared" si="43"/>
        <v>25.325427193384016</v>
      </c>
      <c r="DR28" s="20">
        <f t="shared" si="16"/>
        <v>206.35939041736609</v>
      </c>
      <c r="DS28" s="59">
        <f t="shared" si="17"/>
        <v>480.56103402329245</v>
      </c>
      <c r="DT28" s="59">
        <f ca="1">AVERAGE(OFFSET($DS$3,0,0,'Données projet'!$E$14+1,1))-AVERAGE(OFFSET($H$3,0,0,'Données projet'!$E$14+1,1))</f>
        <v>443.64905827069435</v>
      </c>
      <c r="DU28" s="59">
        <f t="shared" si="44"/>
        <v>381.14782516862385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2.9352689381449211</v>
      </c>
      <c r="EB28" s="21">
        <f>EXP(-LN(2)/25)*EB27+(1-EXP(-LN(2)/25))/(LN(2)/25)*Calculateur!DW28*Calculateur!DY28*VLOOKUP('Données projet'!$B$14,Paramètres!$A$1:$I$89,3,0)*0.475*44/12</f>
        <v>6.2729958740984868</v>
      </c>
      <c r="EC28" s="21">
        <f>EXP(-LN(2)/2)*EC27+(1-EXP(-LN(2)/2))/(LN(2)/2)*DW28*DZ28*VLOOKUP('Données projet'!$B$14,Paramètres!$A$1:$I$89,3,0)*0.475*44/12</f>
        <v>1.3714998725108749</v>
      </c>
      <c r="ED28" s="22">
        <f t="shared" si="18"/>
        <v>10.579764684754283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261</v>
      </c>
      <c r="EH28" s="12">
        <f>VLOOKUP(A28,'Données projet'!$A$191:$I$211,9,0)</f>
        <v>14.2</v>
      </c>
      <c r="EI28" s="12">
        <f t="array" ref="EI28">INDEX(EH:EH,MIN(IF(ISNUMBER(EH28:EH224),ROW(EH28:EH224),"")))</f>
        <v>14.2</v>
      </c>
      <c r="EJ28" s="12">
        <f>IF('Données projet'!$A$192&gt;35,EJ27+EI28-ER27,IF(A28&lt;'Données projet'!$A$192,$EG$205^A28,IF(A28='Données projet'!$A$192,'Données projet'!$B$192,EJ27+EI28-ER27)))</f>
        <v>260.99999999999989</v>
      </c>
      <c r="EK28" s="17">
        <f>EJ28*VLOOKUP('Données projet'!$B$15,Paramètres!$A$1:$I$89,3,0)*VLOOKUP('Données projet'!$B$15,Paramètres!$A$1:$I$89,5,0)</f>
        <v>236.15279999999987</v>
      </c>
      <c r="EL28" s="13">
        <f t="shared" si="45"/>
        <v>57.61100977459931</v>
      </c>
      <c r="EM28" s="20">
        <f t="shared" si="19"/>
        <v>511.63863535742689</v>
      </c>
      <c r="EN28" s="59">
        <f t="shared" si="20"/>
        <v>785.84027896335328</v>
      </c>
      <c r="EO28" s="59">
        <f ca="1">AVERAGE(OFFSET($EN$3,0,0,'Données projet'!$E$15+1,1))-AVERAGE(OFFSET($H$3,0,0,'Données projet'!$E$15+1,1))</f>
        <v>504.37890861635196</v>
      </c>
      <c r="EP28" s="59">
        <f t="shared" si="46"/>
        <v>611.82129317522913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31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30</v>
      </c>
      <c r="FC28" s="12">
        <f>VLOOKUP(A28,'Données projet'!$A$217:$I$237,9,0)</f>
        <v>1.2</v>
      </c>
      <c r="FD28" s="12">
        <f t="array" ref="FD28">INDEX(FC:FC,MIN(IF(ISNUMBER(FC28:FC224),ROW(FC28:FC224),"")))</f>
        <v>1.2</v>
      </c>
      <c r="FE28" s="12">
        <f>IF('Données projet'!$A$218&gt;35,FE27+FD28-FM27,IF(A28&lt;'Données projet'!$A$218,$FB$205^A28,IF(A28='Données projet'!$A$218,'Données projet'!$B$218,FE27+FD28-FM27)))</f>
        <v>30</v>
      </c>
      <c r="FF28" s="17">
        <f>FE28*VLOOKUP('Données projet'!$B$16,Paramètres!$A$1:$I$89,3,0)*VLOOKUP('Données projet'!$B$16,Paramètres!$A$1:$I$89,5,0)</f>
        <v>32.292000000000002</v>
      </c>
      <c r="FG28" s="13">
        <f t="shared" si="47"/>
        <v>9.9308942483743401</v>
      </c>
      <c r="FH28" s="20">
        <f t="shared" si="22"/>
        <v>73.538207482585321</v>
      </c>
      <c r="FI28" s="59">
        <f t="shared" si="23"/>
        <v>347.73985108851173</v>
      </c>
      <c r="FJ28" s="59">
        <f ca="1">AVERAGE(OFFSET($FI$3,0,0,'Données projet'!$E$16+1,1))-AVERAGE(OFFSET($H$3,0,0,'Données projet'!$E$16+1,1))</f>
        <v>334.01098870576732</v>
      </c>
      <c r="FK28" s="59">
        <f t="shared" si="48"/>
        <v>171.1802153303471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115</v>
      </c>
      <c r="FX28" s="12">
        <f>VLOOKUP(A28,'Données projet'!$A$243:$I$263,9,0)</f>
        <v>12.6</v>
      </c>
      <c r="FY28" s="12">
        <f t="array" ref="FY28">INDEX(FX:FX,MIN(IF(ISNUMBER(FX28:FX224),ROW(FX28:FX224),"")))</f>
        <v>12.6</v>
      </c>
      <c r="FZ28" s="12">
        <f>IF('Données projet'!$A$244&gt;35,FZ27+FY28-GH27,IF(A28&lt;'Données projet'!$A$244,$FW$205^A28,IF(A28='Données projet'!$A$244,'Données projet'!$B$244,FZ27+FY28-GH27)))</f>
        <v>114.99999999999997</v>
      </c>
      <c r="GA28" s="17">
        <f>FZ28*VLOOKUP('Données projet'!$B$17,Paramètres!$A$1:$I$89,3,0)*VLOOKUP('Données projet'!$B$17,Paramètres!$A$1:$I$89,5,0)</f>
        <v>100.46399999999998</v>
      </c>
      <c r="GB28" s="13">
        <f t="shared" si="49"/>
        <v>27.072509349827456</v>
      </c>
      <c r="GC28" s="20">
        <f t="shared" si="25"/>
        <v>222.12608711761615</v>
      </c>
      <c r="GD28" s="59">
        <f t="shared" si="26"/>
        <v>496.32773072354257</v>
      </c>
      <c r="GE28" s="59">
        <f ca="1">AVERAGE(OFFSET($GD$3,0,0,'Données projet'!$E$17+1,1))-AVERAGE(OFFSET($H$3,0,0,'Données projet'!$E$17+1,1))</f>
        <v>330.12856974146598</v>
      </c>
      <c r="GF28" s="59">
        <f t="shared" si="50"/>
        <v>321.23368446552286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66.448933104646599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70</v>
      </c>
      <c r="GS28" s="12">
        <f>VLOOKUP(A28,'Données projet'!$A$269:$I$289,9,0)</f>
        <v>5.6</v>
      </c>
      <c r="GT28" s="12">
        <f t="array" ref="GT28">INDEX(GS:GS,MIN(IF(ISNUMBER(GS28:GS224),ROW(GS28:GS224),"")))</f>
        <v>5.6</v>
      </c>
      <c r="GU28" s="12">
        <f>IF('Données projet'!$A$270&gt;35,GU27+GT28-HC27,IF(A28&lt;'Données projet'!$A$270,$GR$205^A28,IF(A28='Données projet'!$A$270,'Données projet'!$B$270,GU27+GT28-HC27)))</f>
        <v>70</v>
      </c>
      <c r="GV28" s="17">
        <f>GU28*VLOOKUP('Données projet'!$B$18,Paramètres!$A$1:$I$89,3,0)*VLOOKUP('Données projet'!$B$18,Paramètres!$A$1:$I$89,5,0)</f>
        <v>46.955999999999996</v>
      </c>
      <c r="GW28" s="13">
        <f t="shared" si="51"/>
        <v>13.824782755944211</v>
      </c>
      <c r="GX28" s="20">
        <f t="shared" si="28"/>
        <v>105.85986329993615</v>
      </c>
      <c r="GY28" s="59">
        <f t="shared" si="29"/>
        <v>380.06150690586253</v>
      </c>
      <c r="GZ28" s="59">
        <f ca="1">AVERAGE(OFFSET($GY$3,0,0,'Données projet'!$E$18+1,1))-AVERAGE(OFFSET($H$3,0,0,'Données projet'!$E$18+1,1))</f>
        <v>296.67751292332753</v>
      </c>
      <c r="HA28" s="59">
        <f t="shared" si="52"/>
        <v>197.99510031603018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1.1000000000000001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4.0333333333333341</v>
      </c>
      <c r="H29" s="67">
        <f t="shared" si="1"/>
        <v>240.5333333333333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118.20000000000002</v>
      </c>
      <c r="O29" s="13">
        <f>N29*VLOOKUP('Données projet'!$B$9,Paramètres!$A$1:$I$89,3,0)*VLOOKUP('Données projet'!$B$9,Paramètres!$A$1:$I$89,5,0)</f>
        <v>106.94736000000002</v>
      </c>
      <c r="P29" s="13">
        <f t="shared" si="33"/>
        <v>28.61058496425451</v>
      </c>
      <c r="Q29" s="20">
        <f t="shared" si="2"/>
        <v>236.09675414607662</v>
      </c>
      <c r="R29" s="59">
        <f t="shared" si="0"/>
        <v>511.74649790356511</v>
      </c>
      <c r="S29" s="59">
        <f ca="1">AVERAGE(OFFSET($R$3,0,0,'Données projet'!$E$9+1,1))-AVERAGE(OFFSET($H$3,0,0,'Données projet'!$E$9+1,1))</f>
        <v>461.20962581398715</v>
      </c>
      <c r="T29" s="59">
        <f t="shared" si="34"/>
        <v>348.44322874953923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118.20000000000002</v>
      </c>
      <c r="AJ29" s="13">
        <f>AI29*VLOOKUP('Données projet'!$B$10,Paramètres!$A$1:$I$89,3,0)*VLOOKUP('Données projet'!$B$10,Paramètres!$A$1:$I$89,5,0)</f>
        <v>119.85480000000003</v>
      </c>
      <c r="AK29" s="13">
        <f t="shared" si="35"/>
        <v>31.641131392625841</v>
      </c>
      <c r="AL29" s="20">
        <f t="shared" si="4"/>
        <v>263.85541384215668</v>
      </c>
      <c r="AM29" s="59">
        <f t="shared" si="5"/>
        <v>539.50515759964514</v>
      </c>
      <c r="AN29" s="59">
        <f ca="1">AVERAGE(OFFSET($AM$3,0,0,'Données projet'!$E$10+1,1))-AVERAGE(OFFSET($H$3,0,0,'Données projet'!$E$10+1,1))</f>
        <v>510.86584023875525</v>
      </c>
      <c r="AO29" s="59">
        <f t="shared" si="36"/>
        <v>384.62921487244125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9.4</v>
      </c>
      <c r="BD29" s="12">
        <f>IF('Données projet'!$A$88&gt;35,BD28+BC29-BL28,IF(A29&lt;'Données projet'!$A$88,$BA$205^A29,IF(A29='Données projet'!$A$88,'Données projet'!$B$88,BD28+BC29-BL28)))</f>
        <v>78.399999999999991</v>
      </c>
      <c r="BE29" s="13">
        <f>BD29*VLOOKUP('Données projet'!$B$11,Paramètres!$A$1:$I$89,3,0)*VLOOKUP('Données projet'!$B$11,Paramètres!$A$1:$I$89,5,0)</f>
        <v>57.482879999999987</v>
      </c>
      <c r="BF29" s="13">
        <f t="shared" si="37"/>
        <v>16.530283435359216</v>
      </c>
      <c r="BG29" s="20">
        <f t="shared" si="7"/>
        <v>128.90625964991725</v>
      </c>
      <c r="BH29" s="59">
        <f t="shared" si="8"/>
        <v>404.5560034074058</v>
      </c>
      <c r="BI29" s="59">
        <f ca="1">AVERAGE(OFFSET($BH$3,0,0,'Données projet'!$E$11+1,1))-AVERAGE(OFFSET($H$3,0,0,'Données projet'!$E$11+1,1))</f>
        <v>201.7253431547006</v>
      </c>
      <c r="BJ29" s="59">
        <f t="shared" si="38"/>
        <v>229.70004720044096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25.6</v>
      </c>
      <c r="BY29" s="12">
        <f>IF('Données projet'!$A$114&gt;35,BY28+BX29-CG28,IF(A29&lt;'Données projet'!$A$114,$BV$205^A29,IF(A29='Données projet'!$A$114,'Données projet'!$B$114,BY28+BX29-CG28)))</f>
        <v>194.59999999999991</v>
      </c>
      <c r="BZ29" s="13">
        <f>BY29*VLOOKUP('Données projet'!$B$12,Paramètres!$A$1:$I$89,3,0)*VLOOKUP('Données projet'!$B$12,Paramètres!$A$1:$I$89,5,0)</f>
        <v>108.78139999999995</v>
      </c>
      <c r="CA29" s="13">
        <f t="shared" si="39"/>
        <v>29.043687024878693</v>
      </c>
      <c r="CB29" s="20">
        <f t="shared" si="10"/>
        <v>240.04535990166366</v>
      </c>
      <c r="CC29" s="59">
        <f t="shared" si="11"/>
        <v>515.69510365915221</v>
      </c>
      <c r="CD29" s="59">
        <f ca="1">AVERAGE(OFFSET($CC$3,0,0,'Données projet'!$E$12+1,1))-AVERAGE(OFFSET($H$3,0,0,'Données projet'!$E$12+1,1))</f>
        <v>462.09240749760784</v>
      </c>
      <c r="CE29" s="59">
        <f t="shared" si="40"/>
        <v>403.52202223463337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23.099452920101502</v>
      </c>
      <c r="CL29" s="21">
        <f>EXP(-LN(2)/25)*CL28+(1-EXP(-LN(2)/25))/(LN(2)/25)*Calculateur!CG29*Calculateur!CI29*VLOOKUP('Données projet'!$B$12,Paramètres!$A$1:$I$89,3,0)*0.475*44/12</f>
        <v>17.168312899209109</v>
      </c>
      <c r="CM29" s="21">
        <f>EXP(-LN(2)/2)*CM28+(1-EXP(-LN(2)/2))/(LN(2)/2)*CG29*CJ29*VLOOKUP('Données projet'!$B$12,Paramètres!$A$1:$I$89,3,0)*0.475*44/12</f>
        <v>7.6016051900164481</v>
      </c>
      <c r="CN29" s="22">
        <f t="shared" si="12"/>
        <v>47.869371009327061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</v>
      </c>
      <c r="CT29" s="12">
        <f>IF('Données projet'!$A$140&gt;35,CT28+CS29-DB28,IF(A29&lt;'Données projet'!$A$140,$CQ$205^A29,IF(A29='Données projet'!$A$140,'Données projet'!$B$140,CT28+CS29-DB28)))</f>
        <v>166</v>
      </c>
      <c r="CU29" s="17">
        <f>CT29*VLOOKUP('Données projet'!$B$13,Paramètres!$A$1:$I$89,3,0)*VLOOKUP('Données projet'!$B$13,Paramètres!$A$1:$I$89,5,0)</f>
        <v>77.688000000000002</v>
      </c>
      <c r="CV29" s="13">
        <f t="shared" si="41"/>
        <v>21.570926907728207</v>
      </c>
      <c r="CW29" s="20">
        <f t="shared" si="13"/>
        <v>172.87596436429328</v>
      </c>
      <c r="CX29" s="59">
        <f t="shared" si="14"/>
        <v>448.5257081217818</v>
      </c>
      <c r="CY29" s="59">
        <f ca="1">AVERAGE(OFFSET($CX$3,0,0,'Données projet'!$E$13+1,1))-AVERAGE(OFFSET($H$3,0,0,'Données projet'!$E$13+1,1))</f>
        <v>319.88925869887464</v>
      </c>
      <c r="CZ29" s="59">
        <f t="shared" si="42"/>
        <v>258.2857172412098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6.4509601668507921</v>
      </c>
      <c r="DH29" s="21">
        <f>EXP(-LN(2)/2)*DH28+(1-EXP(-LN(2)/2))/(LN(2)/2)*DB29*DE29*VLOOKUP('Données projet'!$B$13,Paramètres!$A$1:$I$89,3,0)*0.475*44/12</f>
        <v>1.1657463735332498</v>
      </c>
      <c r="DI29" s="22">
        <f t="shared" si="15"/>
        <v>7.6167065403840422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20.86333333333334</v>
      </c>
      <c r="DO29" s="12">
        <f>IF('Données projet'!$A$166&gt;35,DO28+DN29-DW28,IF(A29&lt;'Données projet'!$A$166,$DL$205^A29,IF(A29='Données projet'!$A$166,'Données projet'!$B$166,DO28+DN29-DW28)))</f>
        <v>176.6466666666667</v>
      </c>
      <c r="DP29" s="17">
        <f>DO29*VLOOKUP('Données projet'!$B$14,Paramètres!$A$1:$I$89,3,0)*VLOOKUP('Données projet'!$B$14,Paramètres!$A$1:$I$89,5,0)</f>
        <v>105.6347066666667</v>
      </c>
      <c r="DQ29" s="13">
        <f t="shared" si="43"/>
        <v>28.30007612423924</v>
      </c>
      <c r="DR29" s="20">
        <f t="shared" si="16"/>
        <v>233.2697466941612</v>
      </c>
      <c r="DS29" s="59">
        <f t="shared" si="17"/>
        <v>508.91949045164972</v>
      </c>
      <c r="DT29" s="59">
        <f ca="1">AVERAGE(OFFSET($DS$3,0,0,'Données projet'!$E$14+1,1))-AVERAGE(OFFSET($H$3,0,0,'Données projet'!$E$14+1,1))</f>
        <v>443.64905827069435</v>
      </c>
      <c r="DU29" s="59">
        <f t="shared" si="44"/>
        <v>381.14782516862385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2.8777101046051703</v>
      </c>
      <c r="EB29" s="21">
        <f>EXP(-LN(2)/25)*EB28+(1-EXP(-LN(2)/25))/(LN(2)/25)*Calculateur!DW29*Calculateur!DY29*VLOOKUP('Données projet'!$B$14,Paramètres!$A$1:$I$89,3,0)*0.475*44/12</f>
        <v>6.101460472038748</v>
      </c>
      <c r="EC29" s="21">
        <f>EXP(-LN(2)/2)*EC28+(1-EXP(-LN(2)/2))/(LN(2)/2)*DW29*DZ29*VLOOKUP('Données projet'!$B$14,Paramètres!$A$1:$I$89,3,0)*0.475*44/12</f>
        <v>0.96979686024892509</v>
      </c>
      <c r="ED29" s="22">
        <f t="shared" si="18"/>
        <v>9.9489674368928434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12.4</v>
      </c>
      <c r="EJ29" s="12">
        <f>IF('Données projet'!$A$192&gt;35,EJ28+EI29-ER28,IF(A29&lt;'Données projet'!$A$192,$EG$205^A29,IF(A29='Données projet'!$A$192,'Données projet'!$B$192,EJ28+EI29-ER28)))</f>
        <v>242.39999999999986</v>
      </c>
      <c r="EK29" s="17">
        <f>EJ29*VLOOKUP('Données projet'!$B$15,Paramètres!$A$1:$I$89,3,0)*VLOOKUP('Données projet'!$B$15,Paramètres!$A$1:$I$89,5,0)</f>
        <v>219.32351999999986</v>
      </c>
      <c r="EL29" s="13">
        <f t="shared" si="45"/>
        <v>53.967829792422748</v>
      </c>
      <c r="EM29" s="20">
        <f t="shared" si="19"/>
        <v>475.98243422180258</v>
      </c>
      <c r="EN29" s="59">
        <f t="shared" si="20"/>
        <v>751.6321779792911</v>
      </c>
      <c r="EO29" s="59">
        <f ca="1">AVERAGE(OFFSET($EN$3,0,0,'Données projet'!$E$15+1,1))-AVERAGE(OFFSET($H$3,0,0,'Données projet'!$E$15+1,1))</f>
        <v>504.37890861635196</v>
      </c>
      <c r="EP29" s="59">
        <f t="shared" si="46"/>
        <v>611.82129317522913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4.8</v>
      </c>
      <c r="FE29" s="12">
        <f>IF('Données projet'!$A$218&gt;35,FE28+FD29-FM28,IF(A29&lt;'Données projet'!$A$218,$FB$205^A29,IF(A29='Données projet'!$A$218,'Données projet'!$B$218,FE28+FD29-FM28)))</f>
        <v>34.799999999999997</v>
      </c>
      <c r="FF29" s="17">
        <f>FE29*VLOOKUP('Données projet'!$B$16,Paramètres!$A$1:$I$89,3,0)*VLOOKUP('Données projet'!$B$16,Paramètres!$A$1:$I$89,5,0)</f>
        <v>37.45872</v>
      </c>
      <c r="FG29" s="13">
        <f t="shared" si="47"/>
        <v>11.322528864493165</v>
      </c>
      <c r="FH29" s="20">
        <f t="shared" si="22"/>
        <v>84.960675105658922</v>
      </c>
      <c r="FI29" s="59">
        <f t="shared" si="23"/>
        <v>360.61041886314746</v>
      </c>
      <c r="FJ29" s="59">
        <f ca="1">AVERAGE(OFFSET($FI$3,0,0,'Données projet'!$E$16+1,1))-AVERAGE(OFFSET($H$3,0,0,'Données projet'!$E$16+1,1))</f>
        <v>334.01098870576732</v>
      </c>
      <c r="FK29" s="59">
        <f t="shared" si="48"/>
        <v>171.1802153303471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11.8</v>
      </c>
      <c r="FZ29" s="12">
        <f>IF('Données projet'!$A$244&gt;35,FZ28+FY29-GH28,IF(A29&lt;'Données projet'!$A$244,$FW$205^A29,IF(A29='Données projet'!$A$244,'Données projet'!$B$244,FZ28+FY29-GH28)))</f>
        <v>98.799999999999969</v>
      </c>
      <c r="GA29" s="17">
        <f>FZ29*VLOOKUP('Données projet'!$B$17,Paramètres!$A$1:$I$89,3,0)*VLOOKUP('Données projet'!$B$17,Paramètres!$A$1:$I$89,5,0)</f>
        <v>86.311679999999981</v>
      </c>
      <c r="GB29" s="13">
        <f t="shared" si="49"/>
        <v>23.673536308765939</v>
      </c>
      <c r="GC29" s="20">
        <f t="shared" si="25"/>
        <v>191.55758507110065</v>
      </c>
      <c r="GD29" s="59">
        <f t="shared" si="26"/>
        <v>467.2073288285892</v>
      </c>
      <c r="GE29" s="59">
        <f ca="1">AVERAGE(OFFSET($GD$3,0,0,'Données projet'!$E$17+1,1))-AVERAGE(OFFSET($H$3,0,0,'Données projet'!$E$17+1,1))</f>
        <v>330.12856974146598</v>
      </c>
      <c r="GF29" s="59">
        <f t="shared" si="50"/>
        <v>321.23368446552286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66.510536176284745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7</v>
      </c>
      <c r="GU29" s="12">
        <f>IF('Données projet'!$A$270&gt;35,GU28+GT29-HC28,IF(A29&lt;'Données projet'!$A$270,$GR$205^A29,IF(A29='Données projet'!$A$270,'Données projet'!$B$270,GU28+GT29-HC28)))</f>
        <v>77</v>
      </c>
      <c r="GV29" s="17">
        <f>GU29*VLOOKUP('Données projet'!$B$18,Paramètres!$A$1:$I$89,3,0)*VLOOKUP('Données projet'!$B$18,Paramètres!$A$1:$I$89,5,0)</f>
        <v>51.651600000000002</v>
      </c>
      <c r="GW29" s="13">
        <f t="shared" si="51"/>
        <v>15.039482479234188</v>
      </c>
      <c r="GX29" s="20">
        <f t="shared" si="28"/>
        <v>116.15363531799953</v>
      </c>
      <c r="GY29" s="59">
        <f t="shared" si="29"/>
        <v>391.80337907548807</v>
      </c>
      <c r="GZ29" s="59">
        <f ca="1">AVERAGE(OFFSET($GY$3,0,0,'Données projet'!$E$18+1,1))-AVERAGE(OFFSET($H$3,0,0,'Données projet'!$E$18+1,1))</f>
        <v>296.67751292332753</v>
      </c>
      <c r="HA29" s="59">
        <f t="shared" si="52"/>
        <v>197.99510031603018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1.1000000000000001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4.0333333333333341</v>
      </c>
      <c r="H30" s="67">
        <f t="shared" si="1"/>
        <v>240.5333333333333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127.40000000000002</v>
      </c>
      <c r="O30" s="13">
        <f>N30*VLOOKUP('Données projet'!$B$9,Paramètres!$A$1:$I$89,3,0)*VLOOKUP('Données projet'!$B$9,Paramètres!$A$1:$I$89,5,0)</f>
        <v>115.27152000000002</v>
      </c>
      <c r="P30" s="13">
        <f t="shared" si="33"/>
        <v>30.569591947650281</v>
      </c>
      <c r="Q30" s="20">
        <f t="shared" si="2"/>
        <v>254.00660330882422</v>
      </c>
      <c r="R30" s="59">
        <f t="shared" si="0"/>
        <v>531.10052874078826</v>
      </c>
      <c r="S30" s="59">
        <f ca="1">AVERAGE(OFFSET($R$3,0,0,'Données projet'!$E$9+1,1))-AVERAGE(OFFSET($H$3,0,0,'Données projet'!$E$9+1,1))</f>
        <v>461.20962581398715</v>
      </c>
      <c r="T30" s="59">
        <f t="shared" si="34"/>
        <v>348.44322874953923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127.40000000000002</v>
      </c>
      <c r="AJ30" s="13">
        <f>AI30*VLOOKUP('Données projet'!$B$10,Paramètres!$A$1:$I$89,3,0)*VLOOKUP('Données projet'!$B$10,Paramètres!$A$1:$I$89,5,0)</f>
        <v>129.18360000000004</v>
      </c>
      <c r="AK30" s="13">
        <f t="shared" si="35"/>
        <v>33.807644151387684</v>
      </c>
      <c r="AL30" s="20">
        <f t="shared" si="4"/>
        <v>283.87641689700024</v>
      </c>
      <c r="AM30" s="59">
        <f t="shared" si="5"/>
        <v>560.97034232896431</v>
      </c>
      <c r="AN30" s="59">
        <f ca="1">AVERAGE(OFFSET($AM$3,0,0,'Données projet'!$E$10+1,1))-AVERAGE(OFFSET($H$3,0,0,'Données projet'!$E$10+1,1))</f>
        <v>510.86584023875525</v>
      </c>
      <c r="AO30" s="59">
        <f t="shared" si="36"/>
        <v>384.62921487244125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9.4</v>
      </c>
      <c r="BD30" s="12">
        <f>IF('Données projet'!$A$88&gt;35,BD29+BC30-BL29,IF(A30&lt;'Données projet'!$A$88,$BA$205^A30,IF(A30='Données projet'!$A$88,'Données projet'!$B$88,BD29+BC30-BL29)))</f>
        <v>87.8</v>
      </c>
      <c r="BE30" s="13">
        <f>BD30*VLOOKUP('Données projet'!$B$11,Paramètres!$A$1:$I$89,3,0)*VLOOKUP('Données projet'!$B$11,Paramètres!$A$1:$I$89,5,0)</f>
        <v>64.374960000000002</v>
      </c>
      <c r="BF30" s="13">
        <f t="shared" si="37"/>
        <v>18.2698247508912</v>
      </c>
      <c r="BG30" s="20">
        <f t="shared" si="7"/>
        <v>143.93966677446883</v>
      </c>
      <c r="BH30" s="59">
        <f t="shared" si="8"/>
        <v>421.03359220643284</v>
      </c>
      <c r="BI30" s="59">
        <f ca="1">AVERAGE(OFFSET($BH$3,0,0,'Données projet'!$E$11+1,1))-AVERAGE(OFFSET($H$3,0,0,'Données projet'!$E$11+1,1))</f>
        <v>201.7253431547006</v>
      </c>
      <c r="BJ30" s="59">
        <f t="shared" si="38"/>
        <v>229.70004720044096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25.6</v>
      </c>
      <c r="BY30" s="12">
        <f>IF('Données projet'!$A$114&gt;35,BY29+BX30-CG29,IF(A30&lt;'Données projet'!$A$114,$BV$205^A30,IF(A30='Données projet'!$A$114,'Données projet'!$B$114,BY29+BX30-CG29)))</f>
        <v>220.1999999999999</v>
      </c>
      <c r="BZ30" s="13">
        <f>BY30*VLOOKUP('Données projet'!$B$12,Paramètres!$A$1:$I$89,3,0)*VLOOKUP('Données projet'!$B$12,Paramètres!$A$1:$I$89,5,0)</f>
        <v>123.09179999999994</v>
      </c>
      <c r="CA30" s="13">
        <f t="shared" si="39"/>
        <v>32.395039776247778</v>
      </c>
      <c r="CB30" s="20">
        <f t="shared" si="10"/>
        <v>270.80624594363144</v>
      </c>
      <c r="CC30" s="59">
        <f t="shared" si="11"/>
        <v>547.90017137559539</v>
      </c>
      <c r="CD30" s="59">
        <f ca="1">AVERAGE(OFFSET($CC$3,0,0,'Données projet'!$E$12+1,1))-AVERAGE(OFFSET($H$3,0,0,'Données projet'!$E$12+1,1))</f>
        <v>462.09240749760784</v>
      </c>
      <c r="CE30" s="59">
        <f t="shared" si="40"/>
        <v>403.52202223463337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22.646486737613394</v>
      </c>
      <c r="CL30" s="21">
        <f>EXP(-LN(2)/25)*CL29+(1-EXP(-LN(2)/25))/(LN(2)/25)*Calculateur!CG30*Calculateur!CI30*VLOOKUP('Données projet'!$B$12,Paramètres!$A$1:$I$89,3,0)*0.475*44/12</f>
        <v>16.6988444801379</v>
      </c>
      <c r="CM30" s="21">
        <f>EXP(-LN(2)/2)*CM29+(1-EXP(-LN(2)/2))/(LN(2)/2)*CG30*CJ30*VLOOKUP('Données projet'!$B$12,Paramètres!$A$1:$I$89,3,0)*0.475*44/12</f>
        <v>5.375146577763485</v>
      </c>
      <c r="CN30" s="22">
        <f t="shared" si="12"/>
        <v>44.720477795514782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</v>
      </c>
      <c r="CT30" s="12">
        <f>IF('Données projet'!$A$140&gt;35,CT29+CS30-DB29,IF(A30&lt;'Données projet'!$A$140,$CQ$205^A30,IF(A30='Données projet'!$A$140,'Données projet'!$B$140,CT29+CS30-DB29)))</f>
        <v>177</v>
      </c>
      <c r="CU30" s="17">
        <f>CT30*VLOOKUP('Données projet'!$B$13,Paramètres!$A$1:$I$89,3,0)*VLOOKUP('Données projet'!$B$13,Paramètres!$A$1:$I$89,5,0)</f>
        <v>82.835999999999999</v>
      </c>
      <c r="CV30" s="13">
        <f t="shared" si="41"/>
        <v>22.829188748646022</v>
      </c>
      <c r="CW30" s="20">
        <f t="shared" si="13"/>
        <v>184.03353707055848</v>
      </c>
      <c r="CX30" s="59">
        <f t="shared" si="14"/>
        <v>461.12746250252246</v>
      </c>
      <c r="CY30" s="59">
        <f ca="1">AVERAGE(OFFSET($CX$3,0,0,'Données projet'!$E$13+1,1))-AVERAGE(OFFSET($H$3,0,0,'Données projet'!$E$13+1,1))</f>
        <v>319.88925869887464</v>
      </c>
      <c r="CZ30" s="59">
        <f t="shared" si="42"/>
        <v>258.2857172412098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6.2745583218470058</v>
      </c>
      <c r="DH30" s="21">
        <f>EXP(-LN(2)/2)*DH29+(1-EXP(-LN(2)/2))/(LN(2)/2)*DB30*DE30*VLOOKUP('Données projet'!$B$13,Paramètres!$A$1:$I$89,3,0)*0.475*44/12</f>
        <v>0.824307165868987</v>
      </c>
      <c r="DI30" s="22">
        <f t="shared" si="15"/>
        <v>7.0988654877159929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20.86333333333334</v>
      </c>
      <c r="DO30" s="12">
        <f>IF('Données projet'!$A$166&gt;35,DO29+DN30-DW29,IF(A30&lt;'Données projet'!$A$166,$DL$205^A30,IF(A30='Données projet'!$A$166,'Données projet'!$B$166,DO29+DN30-DW29)))</f>
        <v>197.51000000000005</v>
      </c>
      <c r="DP30" s="17">
        <f>DO30*VLOOKUP('Données projet'!$B$14,Paramètres!$A$1:$I$89,3,0)*VLOOKUP('Données projet'!$B$14,Paramètres!$A$1:$I$89,5,0)</f>
        <v>118.11098000000003</v>
      </c>
      <c r="DQ30" s="13">
        <f t="shared" si="43"/>
        <v>31.234010364950812</v>
      </c>
      <c r="DR30" s="20">
        <f t="shared" si="16"/>
        <v>260.10919155228936</v>
      </c>
      <c r="DS30" s="59">
        <f t="shared" si="17"/>
        <v>537.20311698425337</v>
      </c>
      <c r="DT30" s="59">
        <f ca="1">AVERAGE(OFFSET($DS$3,0,0,'Données projet'!$E$14+1,1))-AVERAGE(OFFSET($H$3,0,0,'Données projet'!$E$14+1,1))</f>
        <v>443.64905827069435</v>
      </c>
      <c r="DU30" s="59">
        <f t="shared" si="44"/>
        <v>381.14782516862385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2.8212799646837121</v>
      </c>
      <c r="EB30" s="21">
        <f>EXP(-LN(2)/25)*EB29+(1-EXP(-LN(2)/25))/(LN(2)/25)*Calculateur!DW30*Calculateur!DY30*VLOOKUP('Données projet'!$B$14,Paramètres!$A$1:$I$89,3,0)*0.475*44/12</f>
        <v>5.9346157145689871</v>
      </c>
      <c r="EC30" s="21">
        <f>EXP(-LN(2)/2)*EC29+(1-EXP(-LN(2)/2))/(LN(2)/2)*DW30*DZ30*VLOOKUP('Données projet'!$B$14,Paramètres!$A$1:$I$89,3,0)*0.475*44/12</f>
        <v>0.68574993625543756</v>
      </c>
      <c r="ED30" s="22">
        <f t="shared" si="18"/>
        <v>9.4416456155081363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12.4</v>
      </c>
      <c r="EJ30" s="12">
        <f>IF('Données projet'!$A$192&gt;35,EJ29+EI30-ER29,IF(A30&lt;'Données projet'!$A$192,$EG$205^A30,IF(A30='Données projet'!$A$192,'Données projet'!$B$192,EJ29+EI30-ER29)))</f>
        <v>254.79999999999987</v>
      </c>
      <c r="EK30" s="17">
        <f>EJ30*VLOOKUP('Données projet'!$B$15,Paramètres!$A$1:$I$89,3,0)*VLOOKUP('Données projet'!$B$15,Paramètres!$A$1:$I$89,5,0)</f>
        <v>230.54303999999985</v>
      </c>
      <c r="EL30" s="13">
        <f t="shared" si="45"/>
        <v>56.400083354856683</v>
      </c>
      <c r="EM30" s="20">
        <f t="shared" si="19"/>
        <v>499.75927317637507</v>
      </c>
      <c r="EN30" s="59">
        <f t="shared" si="20"/>
        <v>776.85319860833908</v>
      </c>
      <c r="EO30" s="59">
        <f ca="1">AVERAGE(OFFSET($EN$3,0,0,'Données projet'!$E$15+1,1))-AVERAGE(OFFSET($H$3,0,0,'Données projet'!$E$15+1,1))</f>
        <v>504.37890861635196</v>
      </c>
      <c r="EP30" s="59">
        <f t="shared" si="46"/>
        <v>611.82129317522913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4.8</v>
      </c>
      <c r="FE30" s="12">
        <f>IF('Données projet'!$A$218&gt;35,FE29+FD30-FM29,IF(A30&lt;'Données projet'!$A$218,$FB$205^A30,IF(A30='Données projet'!$A$218,'Données projet'!$B$218,FE29+FD30-FM29)))</f>
        <v>39.599999999999994</v>
      </c>
      <c r="FF30" s="17">
        <f>FE30*VLOOKUP('Données projet'!$B$16,Paramètres!$A$1:$I$89,3,0)*VLOOKUP('Données projet'!$B$16,Paramètres!$A$1:$I$89,5,0)</f>
        <v>42.62543999999999</v>
      </c>
      <c r="FG30" s="13">
        <f t="shared" si="47"/>
        <v>12.691924583898647</v>
      </c>
      <c r="FH30" s="20">
        <f t="shared" si="22"/>
        <v>96.34440998362345</v>
      </c>
      <c r="FI30" s="59">
        <f t="shared" si="23"/>
        <v>373.43833541558746</v>
      </c>
      <c r="FJ30" s="59">
        <f ca="1">AVERAGE(OFFSET($FI$3,0,0,'Données projet'!$E$16+1,1))-AVERAGE(OFFSET($H$3,0,0,'Données projet'!$E$16+1,1))</f>
        <v>334.01098870576732</v>
      </c>
      <c r="FK30" s="59">
        <f t="shared" si="48"/>
        <v>171.1802153303471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11.8</v>
      </c>
      <c r="FZ30" s="12">
        <f>IF('Données projet'!$A$244&gt;35,FZ29+FY30-GH29,IF(A30&lt;'Données projet'!$A$244,$FW$205^A30,IF(A30='Données projet'!$A$244,'Données projet'!$B$244,FZ29+FY30-GH29)))</f>
        <v>110.59999999999997</v>
      </c>
      <c r="GA30" s="17">
        <f>FZ30*VLOOKUP('Données projet'!$B$17,Paramètres!$A$1:$I$89,3,0)*VLOOKUP('Données projet'!$B$17,Paramètres!$A$1:$I$89,5,0)</f>
        <v>96.620159999999984</v>
      </c>
      <c r="GB30" s="13">
        <f t="shared" si="49"/>
        <v>26.155193107181663</v>
      </c>
      <c r="GC30" s="20">
        <f t="shared" si="25"/>
        <v>213.83373999500802</v>
      </c>
      <c r="GD30" s="59">
        <f t="shared" si="26"/>
        <v>490.927665426972</v>
      </c>
      <c r="GE30" s="59">
        <f ca="1">AVERAGE(OFFSET($GD$3,0,0,'Données projet'!$E$17+1,1))-AVERAGE(OFFSET($H$3,0,0,'Données projet'!$E$17+1,1))</f>
        <v>330.12856974146598</v>
      </c>
      <c r="GF30" s="59">
        <f t="shared" si="50"/>
        <v>321.23368446552286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66.571070572353818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7</v>
      </c>
      <c r="GU30" s="12">
        <f>IF('Données projet'!$A$270&gt;35,GU29+GT30-HC29,IF(A30&lt;'Données projet'!$A$270,$GR$205^A30,IF(A30='Données projet'!$A$270,'Données projet'!$B$270,GU29+GT30-HC29)))</f>
        <v>84</v>
      </c>
      <c r="GV30" s="17">
        <f>GU30*VLOOKUP('Données projet'!$B$18,Paramètres!$A$1:$I$89,3,0)*VLOOKUP('Données projet'!$B$18,Paramètres!$A$1:$I$89,5,0)</f>
        <v>56.347200000000001</v>
      </c>
      <c r="GW30" s="13">
        <f t="shared" si="51"/>
        <v>16.241377637196607</v>
      </c>
      <c r="GX30" s="20">
        <f t="shared" si="28"/>
        <v>126.42510605145075</v>
      </c>
      <c r="GY30" s="59">
        <f t="shared" si="29"/>
        <v>403.51903148341478</v>
      </c>
      <c r="GZ30" s="59">
        <f ca="1">AVERAGE(OFFSET($GY$3,0,0,'Données projet'!$E$18+1,1))-AVERAGE(OFFSET($H$3,0,0,'Données projet'!$E$18+1,1))</f>
        <v>296.67751292332753</v>
      </c>
      <c r="HA30" s="59">
        <f t="shared" si="52"/>
        <v>197.99510031603018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1.1000000000000001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4.0333333333333341</v>
      </c>
      <c r="H31" s="67">
        <f t="shared" si="1"/>
        <v>240.5333333333333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136.60000000000002</v>
      </c>
      <c r="O31" s="13">
        <f>N31*VLOOKUP('Données projet'!$B$9,Paramètres!$A$1:$I$89,3,0)*VLOOKUP('Données projet'!$B$9,Paramètres!$A$1:$I$89,5,0)</f>
        <v>123.59568000000002</v>
      </c>
      <c r="P31" s="13">
        <f t="shared" si="33"/>
        <v>32.512186163604952</v>
      </c>
      <c r="Q31" s="20">
        <f t="shared" si="2"/>
        <v>271.88786690161197</v>
      </c>
      <c r="R31" s="59">
        <f t="shared" si="0"/>
        <v>550.42212350778175</v>
      </c>
      <c r="S31" s="59">
        <f ca="1">AVERAGE(OFFSET($R$3,0,0,'Données projet'!$E$9+1,1))-AVERAGE(OFFSET($H$3,0,0,'Données projet'!$E$9+1,1))</f>
        <v>461.20962581398715</v>
      </c>
      <c r="T31" s="59">
        <f t="shared" si="34"/>
        <v>348.44322874953923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136.60000000000002</v>
      </c>
      <c r="AJ31" s="13">
        <f>AI31*VLOOKUP('Données projet'!$B$10,Paramètres!$A$1:$I$89,3,0)*VLOOKUP('Données projet'!$B$10,Paramètres!$A$1:$I$89,5,0)</f>
        <v>138.51240000000004</v>
      </c>
      <c r="AK31" s="13">
        <f t="shared" si="35"/>
        <v>35.956005637403152</v>
      </c>
      <c r="AL31" s="20">
        <f t="shared" si="4"/>
        <v>303.86580648514382</v>
      </c>
      <c r="AM31" s="59">
        <f t="shared" si="5"/>
        <v>582.40006309131354</v>
      </c>
      <c r="AN31" s="59">
        <f ca="1">AVERAGE(OFFSET($AM$3,0,0,'Données projet'!$E$10+1,1))-AVERAGE(OFFSET($H$3,0,0,'Données projet'!$E$10+1,1))</f>
        <v>510.86584023875525</v>
      </c>
      <c r="AO31" s="59">
        <f t="shared" si="36"/>
        <v>384.62921487244125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9.4</v>
      </c>
      <c r="BD31" s="12">
        <f>IF('Données projet'!$A$88&gt;35,BD30+BC31-BL30,IF(A31&lt;'Données projet'!$A$88,$BA$205^A31,IF(A31='Données projet'!$A$88,'Données projet'!$B$88,BD30+BC31-BL30)))</f>
        <v>97.2</v>
      </c>
      <c r="BE31" s="13">
        <f>BD31*VLOOKUP('Données projet'!$B$11,Paramètres!$A$1:$I$89,3,0)*VLOOKUP('Données projet'!$B$11,Paramètres!$A$1:$I$89,5,0)</f>
        <v>71.267039999999994</v>
      </c>
      <c r="BF31" s="13">
        <f t="shared" si="37"/>
        <v>19.987779001267139</v>
      </c>
      <c r="BG31" s="20">
        <f t="shared" si="7"/>
        <v>158.93547642720694</v>
      </c>
      <c r="BH31" s="59">
        <f t="shared" si="8"/>
        <v>437.46973303337671</v>
      </c>
      <c r="BI31" s="59">
        <f ca="1">AVERAGE(OFFSET($BH$3,0,0,'Données projet'!$E$11+1,1))-AVERAGE(OFFSET($H$3,0,0,'Données projet'!$E$11+1,1))</f>
        <v>201.7253431547006</v>
      </c>
      <c r="BJ31" s="59">
        <f t="shared" si="38"/>
        <v>229.70004720044096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25.6</v>
      </c>
      <c r="BY31" s="12">
        <f>IF('Données projet'!$A$114&gt;35,BY30+BX31-CG30,IF(A31&lt;'Données projet'!$A$114,$BV$205^A31,IF(A31='Données projet'!$A$114,'Données projet'!$B$114,BY30+BX31-CG30)))</f>
        <v>245.7999999999999</v>
      </c>
      <c r="BZ31" s="13">
        <f>BY31*VLOOKUP('Données projet'!$B$12,Paramètres!$A$1:$I$89,3,0)*VLOOKUP('Données projet'!$B$12,Paramètres!$A$1:$I$89,5,0)</f>
        <v>137.40219999999997</v>
      </c>
      <c r="CA31" s="13">
        <f t="shared" si="39"/>
        <v>35.701238817612911</v>
      </c>
      <c r="CB31" s="20">
        <f t="shared" si="10"/>
        <v>301.48848927400905</v>
      </c>
      <c r="CC31" s="59">
        <f t="shared" si="11"/>
        <v>580.02274588017883</v>
      </c>
      <c r="CD31" s="59">
        <f ca="1">AVERAGE(OFFSET($CC$3,0,0,'Données projet'!$E$12+1,1))-AVERAGE(OFFSET($H$3,0,0,'Données projet'!$E$12+1,1))</f>
        <v>462.09240749760784</v>
      </c>
      <c r="CE31" s="59">
        <f t="shared" si="40"/>
        <v>403.52202223463337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22.202402945681786</v>
      </c>
      <c r="CL31" s="21">
        <f>EXP(-LN(2)/25)*CL30+(1-EXP(-LN(2)/25))/(LN(2)/25)*Calculateur!CG31*Calculateur!CI31*VLOOKUP('Données projet'!$B$12,Paramètres!$A$1:$I$89,3,0)*0.475*44/12</f>
        <v>16.242213699674465</v>
      </c>
      <c r="CM31" s="21">
        <f>EXP(-LN(2)/2)*CM30+(1-EXP(-LN(2)/2))/(LN(2)/2)*CG31*CJ31*VLOOKUP('Données projet'!$B$12,Paramètres!$A$1:$I$89,3,0)*0.475*44/12</f>
        <v>3.8008025950082245</v>
      </c>
      <c r="CN31" s="22">
        <f t="shared" si="12"/>
        <v>42.24541924036447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</v>
      </c>
      <c r="CT31" s="12">
        <f>IF('Données projet'!$A$140&gt;35,CT30+CS31-DB30,IF(A31&lt;'Données projet'!$A$140,$CQ$205^A31,IF(A31='Données projet'!$A$140,'Données projet'!$B$140,CT30+CS31-DB30)))</f>
        <v>188</v>
      </c>
      <c r="CU31" s="17">
        <f>CT31*VLOOKUP('Données projet'!$B$13,Paramètres!$A$1:$I$89,3,0)*VLOOKUP('Données projet'!$B$13,Paramètres!$A$1:$I$89,5,0)</f>
        <v>87.983999999999995</v>
      </c>
      <c r="CV31" s="13">
        <f t="shared" si="41"/>
        <v>24.078375128721785</v>
      </c>
      <c r="CW31" s="20">
        <f t="shared" si="13"/>
        <v>195.17530334919044</v>
      </c>
      <c r="CX31" s="59">
        <f t="shared" si="14"/>
        <v>473.70955995536019</v>
      </c>
      <c r="CY31" s="59">
        <f ca="1">AVERAGE(OFFSET($CX$3,0,0,'Données projet'!$E$13+1,1))-AVERAGE(OFFSET($H$3,0,0,'Données projet'!$E$13+1,1))</f>
        <v>319.88925869887464</v>
      </c>
      <c r="CZ31" s="59">
        <f t="shared" si="42"/>
        <v>258.2857172412098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6.1029801945714182</v>
      </c>
      <c r="DH31" s="21">
        <f>EXP(-LN(2)/2)*DH30+(1-EXP(-LN(2)/2))/(LN(2)/2)*DB31*DE31*VLOOKUP('Données projet'!$B$13,Paramètres!$A$1:$I$89,3,0)*0.475*44/12</f>
        <v>0.58287318676662492</v>
      </c>
      <c r="DI31" s="22">
        <f t="shared" si="15"/>
        <v>6.6858533813380427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20.86333333333334</v>
      </c>
      <c r="DO31" s="12">
        <f>IF('Données projet'!$A$166&gt;35,DO30+DN31-DW30,IF(A31&lt;'Données projet'!$A$166,$DL$205^A31,IF(A31='Données projet'!$A$166,'Données projet'!$B$166,DO30+DN31-DW30)))</f>
        <v>218.37333333333339</v>
      </c>
      <c r="DP31" s="17">
        <f>DO31*VLOOKUP('Données projet'!$B$14,Paramètres!$A$1:$I$89,3,0)*VLOOKUP('Données projet'!$B$14,Paramètres!$A$1:$I$89,5,0)</f>
        <v>130.58725333333339</v>
      </c>
      <c r="DQ31" s="13">
        <f t="shared" si="43"/>
        <v>34.132020719394767</v>
      </c>
      <c r="DR31" s="20">
        <f t="shared" si="16"/>
        <v>286.8860689751682</v>
      </c>
      <c r="DS31" s="59">
        <f t="shared" si="17"/>
        <v>565.42032558133792</v>
      </c>
      <c r="DT31" s="59">
        <f ca="1">AVERAGE(OFFSET($DS$3,0,0,'Données projet'!$E$14+1,1))-AVERAGE(OFFSET($H$3,0,0,'Données projet'!$E$14+1,1))</f>
        <v>443.64905827069435</v>
      </c>
      <c r="DU31" s="59">
        <f t="shared" si="44"/>
        <v>381.14782516862385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2.7659563853871272</v>
      </c>
      <c r="EB31" s="21">
        <f>EXP(-LN(2)/25)*EB30+(1-EXP(-LN(2)/25))/(LN(2)/25)*Calculateur!DW31*Calculateur!DY31*VLOOKUP('Données projet'!$B$14,Paramètres!$A$1:$I$89,3,0)*0.475*44/12</f>
        <v>5.7723333357662217</v>
      </c>
      <c r="EC31" s="21">
        <f>EXP(-LN(2)/2)*EC30+(1-EXP(-LN(2)/2))/(LN(2)/2)*DW31*DZ31*VLOOKUP('Données projet'!$B$14,Paramètres!$A$1:$I$89,3,0)*0.475*44/12</f>
        <v>0.48489843012446265</v>
      </c>
      <c r="ED31" s="22">
        <f t="shared" si="18"/>
        <v>9.0231881512778127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12.4</v>
      </c>
      <c r="EJ31" s="12">
        <f>IF('Données projet'!$A$192&gt;35,EJ30+EI31-ER30,IF(A31&lt;'Données projet'!$A$192,$EG$205^A31,IF(A31='Données projet'!$A$192,'Données projet'!$B$192,EJ30+EI31-ER30)))</f>
        <v>267.19999999999987</v>
      </c>
      <c r="EK31" s="17">
        <f>EJ31*VLOOKUP('Données projet'!$B$15,Paramètres!$A$1:$I$89,3,0)*VLOOKUP('Données projet'!$B$15,Paramètres!$A$1:$I$89,5,0)</f>
        <v>241.76255999999987</v>
      </c>
      <c r="EL31" s="13">
        <f t="shared" si="45"/>
        <v>58.818592205643363</v>
      </c>
      <c r="EM31" s="20">
        <f t="shared" si="19"/>
        <v>523.51217342482857</v>
      </c>
      <c r="EN31" s="59">
        <f t="shared" si="20"/>
        <v>802.04643003099841</v>
      </c>
      <c r="EO31" s="59">
        <f ca="1">AVERAGE(OFFSET($EN$3,0,0,'Données projet'!$E$15+1,1))-AVERAGE(OFFSET($H$3,0,0,'Données projet'!$E$15+1,1))</f>
        <v>504.37890861635196</v>
      </c>
      <c r="EP31" s="59">
        <f t="shared" si="46"/>
        <v>611.82129317522913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4.8</v>
      </c>
      <c r="FE31" s="12">
        <f>IF('Données projet'!$A$218&gt;35,FE30+FD31-FM30,IF(A31&lt;'Données projet'!$A$218,$FB$205^A31,IF(A31='Données projet'!$A$218,'Données projet'!$B$218,FE30+FD31-FM30)))</f>
        <v>44.399999999999991</v>
      </c>
      <c r="FF31" s="17">
        <f>FE31*VLOOKUP('Données projet'!$B$16,Paramètres!$A$1:$I$89,3,0)*VLOOKUP('Données projet'!$B$16,Paramètres!$A$1:$I$89,5,0)</f>
        <v>47.792159999999988</v>
      </c>
      <c r="FG31" s="13">
        <f t="shared" si="47"/>
        <v>14.042085367056567</v>
      </c>
      <c r="FH31" s="20">
        <f t="shared" si="22"/>
        <v>107.69464401429015</v>
      </c>
      <c r="FI31" s="59">
        <f t="shared" si="23"/>
        <v>386.22890062045991</v>
      </c>
      <c r="FJ31" s="59">
        <f ca="1">AVERAGE(OFFSET($FI$3,0,0,'Données projet'!$E$16+1,1))-AVERAGE(OFFSET($H$3,0,0,'Données projet'!$E$16+1,1))</f>
        <v>334.01098870576732</v>
      </c>
      <c r="FK31" s="59">
        <f t="shared" si="48"/>
        <v>171.1802153303471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11.8</v>
      </c>
      <c r="FZ31" s="12">
        <f>IF('Données projet'!$A$244&gt;35,FZ30+FY31-GH30,IF(A31&lt;'Données projet'!$A$244,$FW$205^A31,IF(A31='Données projet'!$A$244,'Données projet'!$B$244,FZ30+FY31-GH30)))</f>
        <v>122.39999999999996</v>
      </c>
      <c r="GA31" s="17">
        <f>FZ31*VLOOKUP('Données projet'!$B$17,Paramètres!$A$1:$I$89,3,0)*VLOOKUP('Données projet'!$B$17,Paramètres!$A$1:$I$89,5,0)</f>
        <v>106.92863999999997</v>
      </c>
      <c r="GB31" s="13">
        <f t="shared" si="49"/>
        <v>28.606159868782917</v>
      </c>
      <c r="GC31" s="20">
        <f t="shared" si="25"/>
        <v>236.05644310479684</v>
      </c>
      <c r="GD31" s="59">
        <f t="shared" si="26"/>
        <v>514.59069971096665</v>
      </c>
      <c r="GE31" s="59">
        <f ca="1">AVERAGE(OFFSET($GD$3,0,0,'Données projet'!$E$17+1,1))-AVERAGE(OFFSET($H$3,0,0,'Données projet'!$E$17+1,1))</f>
        <v>330.12856974146598</v>
      </c>
      <c r="GF31" s="59">
        <f t="shared" si="50"/>
        <v>321.23368446552286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66.630554831985705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7</v>
      </c>
      <c r="GU31" s="12">
        <f>IF('Données projet'!$A$270&gt;35,GU30+GT31-HC30,IF(A31&lt;'Données projet'!$A$270,$GR$205^A31,IF(A31='Données projet'!$A$270,'Données projet'!$B$270,GU30+GT31-HC30)))</f>
        <v>91</v>
      </c>
      <c r="GV31" s="17">
        <f>GU31*VLOOKUP('Données projet'!$B$18,Paramètres!$A$1:$I$89,3,0)*VLOOKUP('Données projet'!$B$18,Paramètres!$A$1:$I$89,5,0)</f>
        <v>61.042800000000007</v>
      </c>
      <c r="GW31" s="13">
        <f t="shared" si="51"/>
        <v>17.431656590722341</v>
      </c>
      <c r="GX31" s="20">
        <f t="shared" si="28"/>
        <v>136.67634522884143</v>
      </c>
      <c r="GY31" s="59">
        <f t="shared" si="29"/>
        <v>415.21060183501118</v>
      </c>
      <c r="GZ31" s="59">
        <f ca="1">AVERAGE(OFFSET($GY$3,0,0,'Données projet'!$E$18+1,1))-AVERAGE(OFFSET($H$3,0,0,'Données projet'!$E$18+1,1))</f>
        <v>296.67751292332753</v>
      </c>
      <c r="HA31" s="59">
        <f t="shared" si="52"/>
        <v>197.99510031603018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1.1000000000000001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4.0333333333333341</v>
      </c>
      <c r="H32" s="67">
        <f t="shared" si="1"/>
        <v>240.5333333333333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145.80000000000001</v>
      </c>
      <c r="O32" s="13">
        <f>N32*VLOOKUP('Données projet'!$B$9,Paramètres!$A$1:$I$89,3,0)*VLOOKUP('Données projet'!$B$9,Paramètres!$A$1:$I$89,5,0)</f>
        <v>131.91984000000002</v>
      </c>
      <c r="P32" s="13">
        <f t="shared" si="33"/>
        <v>34.439598778503417</v>
      </c>
      <c r="Q32" s="20">
        <f t="shared" si="2"/>
        <v>289.74268920589344</v>
      </c>
      <c r="R32" s="59">
        <f t="shared" si="0"/>
        <v>569.71349328357087</v>
      </c>
      <c r="S32" s="59">
        <f ca="1">AVERAGE(OFFSET($R$3,0,0,'Données projet'!$E$9+1,1))-AVERAGE(OFFSET($H$3,0,0,'Données projet'!$E$9+1,1))</f>
        <v>461.20962581398715</v>
      </c>
      <c r="T32" s="59">
        <f t="shared" si="34"/>
        <v>348.44322874953923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145.80000000000001</v>
      </c>
      <c r="AJ32" s="13">
        <f>AI32*VLOOKUP('Données projet'!$B$10,Paramètres!$A$1:$I$89,3,0)*VLOOKUP('Données projet'!$B$10,Paramètres!$A$1:$I$89,5,0)</f>
        <v>147.84120000000001</v>
      </c>
      <c r="AK32" s="13">
        <f t="shared" si="35"/>
        <v>38.087577427074699</v>
      </c>
      <c r="AL32" s="20">
        <f t="shared" si="4"/>
        <v>323.82595401882173</v>
      </c>
      <c r="AM32" s="59">
        <f t="shared" si="5"/>
        <v>603.79675809649916</v>
      </c>
      <c r="AN32" s="59">
        <f ca="1">AVERAGE(OFFSET($AM$3,0,0,'Données projet'!$E$10+1,1))-AVERAGE(OFFSET($H$3,0,0,'Données projet'!$E$10+1,1))</f>
        <v>510.86584023875525</v>
      </c>
      <c r="AO32" s="59">
        <f t="shared" si="36"/>
        <v>384.62921487244125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9.4</v>
      </c>
      <c r="BD32" s="12">
        <f>IF('Données projet'!$A$88&gt;35,BD31+BC32-BL31,IF(A32&lt;'Données projet'!$A$88,$BA$205^A32,IF(A32='Données projet'!$A$88,'Données projet'!$B$88,BD31+BC32-BL31)))</f>
        <v>106.60000000000001</v>
      </c>
      <c r="BE32" s="13">
        <f>BD32*VLOOKUP('Données projet'!$B$11,Paramètres!$A$1:$I$89,3,0)*VLOOKUP('Données projet'!$B$11,Paramètres!$A$1:$I$89,5,0)</f>
        <v>78.159120000000016</v>
      </c>
      <c r="BF32" s="13">
        <f t="shared" si="37"/>
        <v>21.686471374506795</v>
      </c>
      <c r="BG32" s="20">
        <f t="shared" si="7"/>
        <v>173.89773831059935</v>
      </c>
      <c r="BH32" s="59">
        <f t="shared" si="8"/>
        <v>453.86854238827675</v>
      </c>
      <c r="BI32" s="59">
        <f ca="1">AVERAGE(OFFSET($BH$3,0,0,'Données projet'!$E$11+1,1))-AVERAGE(OFFSET($H$3,0,0,'Données projet'!$E$11+1,1))</f>
        <v>201.7253431547006</v>
      </c>
      <c r="BJ32" s="59">
        <f t="shared" si="38"/>
        <v>229.70004720044096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25.6</v>
      </c>
      <c r="BY32" s="12">
        <f>IF('Données projet'!$A$114&gt;35,BY31+BX32-CG31,IF(A32&lt;'Données projet'!$A$114,$BV$205^A32,IF(A32='Données projet'!$A$114,'Données projet'!$B$114,BY31+BX32-CG31)))</f>
        <v>271.39999999999992</v>
      </c>
      <c r="BZ32" s="13">
        <f>BY32*VLOOKUP('Données projet'!$B$12,Paramètres!$A$1:$I$89,3,0)*VLOOKUP('Données projet'!$B$12,Paramètres!$A$1:$I$89,5,0)</f>
        <v>151.71259999999995</v>
      </c>
      <c r="CA32" s="13">
        <f t="shared" si="39"/>
        <v>38.967522593108967</v>
      </c>
      <c r="CB32" s="20">
        <f t="shared" si="10"/>
        <v>332.10121351633137</v>
      </c>
      <c r="CC32" s="59">
        <f t="shared" si="11"/>
        <v>612.07201759400868</v>
      </c>
      <c r="CD32" s="59">
        <f ca="1">AVERAGE(OFFSET($CC$3,0,0,'Données projet'!$E$12+1,1))-AVERAGE(OFFSET($H$3,0,0,'Données projet'!$E$12+1,1))</f>
        <v>462.09240749760784</v>
      </c>
      <c r="CE32" s="59">
        <f t="shared" si="40"/>
        <v>403.52202223463337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21.767027366045589</v>
      </c>
      <c r="CL32" s="21">
        <f>EXP(-LN(2)/25)*CL31+(1-EXP(-LN(2)/25))/(LN(2)/25)*Calculateur!CG32*Calculateur!CI32*VLOOKUP('Données projet'!$B$12,Paramètres!$A$1:$I$89,3,0)*0.475*44/12</f>
        <v>15.798069511915971</v>
      </c>
      <c r="CM32" s="21">
        <f>EXP(-LN(2)/2)*CM31+(1-EXP(-LN(2)/2))/(LN(2)/2)*CG32*CJ32*VLOOKUP('Données projet'!$B$12,Paramètres!$A$1:$I$89,3,0)*0.475*44/12</f>
        <v>2.687573288881743</v>
      </c>
      <c r="CN32" s="22">
        <f t="shared" si="12"/>
        <v>40.252670166843302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</v>
      </c>
      <c r="CT32" s="12">
        <f>IF('Données projet'!$A$140&gt;35,CT31+CS32-DB31,IF(A32&lt;'Données projet'!$A$140,$CQ$205^A32,IF(A32='Données projet'!$A$140,'Données projet'!$B$140,CT31+CS32-DB31)))</f>
        <v>199</v>
      </c>
      <c r="CU32" s="17">
        <f>CT32*VLOOKUP('Données projet'!$B$13,Paramètres!$A$1:$I$89,3,0)*VLOOKUP('Données projet'!$B$13,Paramètres!$A$1:$I$89,5,0)</f>
        <v>93.132000000000005</v>
      </c>
      <c r="CV32" s="13">
        <f t="shared" si="41"/>
        <v>25.319077548810455</v>
      </c>
      <c r="CW32" s="20">
        <f t="shared" si="13"/>
        <v>206.30229339751153</v>
      </c>
      <c r="CX32" s="59">
        <f t="shared" si="14"/>
        <v>486.27309747518893</v>
      </c>
      <c r="CY32" s="59">
        <f ca="1">AVERAGE(OFFSET($CX$3,0,0,'Données projet'!$E$13+1,1))-AVERAGE(OFFSET($H$3,0,0,'Données projet'!$E$13+1,1))</f>
        <v>319.88925869887464</v>
      </c>
      <c r="CZ32" s="59">
        <f t="shared" si="42"/>
        <v>258.2857172412098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5.936093880209083</v>
      </c>
      <c r="DH32" s="21">
        <f>EXP(-LN(2)/2)*DH31+(1-EXP(-LN(2)/2))/(LN(2)/2)*DB32*DE32*VLOOKUP('Données projet'!$B$13,Paramètres!$A$1:$I$89,3,0)*0.475*44/12</f>
        <v>0.4121535829344935</v>
      </c>
      <c r="DI32" s="22">
        <f t="shared" si="15"/>
        <v>6.3482474631435766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20.86333333333334</v>
      </c>
      <c r="DO32" s="12">
        <f>IF('Données projet'!$A$166&gt;35,DO31+DN32-DW31,IF(A32&lt;'Données projet'!$A$166,$DL$205^A32,IF(A32='Données projet'!$A$166,'Données projet'!$B$166,DO31+DN32-DW31)))</f>
        <v>239.23666666666674</v>
      </c>
      <c r="DP32" s="17">
        <f>DO32*VLOOKUP('Données projet'!$B$14,Paramètres!$A$1:$I$89,3,0)*VLOOKUP('Données projet'!$B$14,Paramètres!$A$1:$I$89,5,0)</f>
        <v>143.06352666666672</v>
      </c>
      <c r="DQ32" s="13">
        <f t="shared" si="43"/>
        <v>36.997929837448268</v>
      </c>
      <c r="DR32" s="20">
        <f t="shared" si="16"/>
        <v>313.60703674466691</v>
      </c>
      <c r="DS32" s="59">
        <f t="shared" si="17"/>
        <v>593.57784082234434</v>
      </c>
      <c r="DT32" s="59">
        <f ca="1">AVERAGE(OFFSET($DS$3,0,0,'Données projet'!$E$14+1,1))-AVERAGE(OFFSET($H$3,0,0,'Données projet'!$E$14+1,1))</f>
        <v>443.64905827069435</v>
      </c>
      <c r="DU32" s="59">
        <f t="shared" si="44"/>
        <v>381.14782516862385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2.7117176677364965</v>
      </c>
      <c r="EB32" s="21">
        <f>EXP(-LN(2)/25)*EB31+(1-EXP(-LN(2)/25))/(LN(2)/25)*Calculateur!DW32*Calculateur!DY32*VLOOKUP('Données projet'!$B$14,Paramètres!$A$1:$I$89,3,0)*0.475*44/12</f>
        <v>5.6144885771458775</v>
      </c>
      <c r="EC32" s="21">
        <f>EXP(-LN(2)/2)*EC31+(1-EXP(-LN(2)/2))/(LN(2)/2)*DW32*DZ32*VLOOKUP('Données projet'!$B$14,Paramètres!$A$1:$I$89,3,0)*0.475*44/12</f>
        <v>0.34287496812771884</v>
      </c>
      <c r="ED32" s="22">
        <f t="shared" si="18"/>
        <v>8.6690812130100934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12.4</v>
      </c>
      <c r="EJ32" s="12">
        <f>IF('Données projet'!$A$192&gt;35,EJ31+EI32-ER31,IF(A32&lt;'Données projet'!$A$192,$EG$205^A32,IF(A32='Données projet'!$A$192,'Données projet'!$B$192,EJ31+EI32-ER31)))</f>
        <v>279.59999999999985</v>
      </c>
      <c r="EK32" s="17">
        <f>EJ32*VLOOKUP('Données projet'!$B$15,Paramètres!$A$1:$I$89,3,0)*VLOOKUP('Données projet'!$B$15,Paramètres!$A$1:$I$89,5,0)</f>
        <v>252.98207999999985</v>
      </c>
      <c r="EL32" s="13">
        <f t="shared" si="45"/>
        <v>61.224067045981329</v>
      </c>
      <c r="EM32" s="20">
        <f t="shared" si="19"/>
        <v>547.24237277175052</v>
      </c>
      <c r="EN32" s="59">
        <f t="shared" si="20"/>
        <v>827.2131768494279</v>
      </c>
      <c r="EO32" s="59">
        <f ca="1">AVERAGE(OFFSET($EN$3,0,0,'Données projet'!$E$15+1,1))-AVERAGE(OFFSET($H$3,0,0,'Données projet'!$E$15+1,1))</f>
        <v>504.37890861635196</v>
      </c>
      <c r="EP32" s="59">
        <f t="shared" si="46"/>
        <v>611.82129317522913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4.8</v>
      </c>
      <c r="FE32" s="12">
        <f>IF('Données projet'!$A$218&gt;35,FE31+FD32-FM31,IF(A32&lt;'Données projet'!$A$218,$FB$205^A32,IF(A32='Données projet'!$A$218,'Données projet'!$B$218,FE31+FD32-FM31)))</f>
        <v>49.199999999999989</v>
      </c>
      <c r="FF32" s="17">
        <f>FE32*VLOOKUP('Données projet'!$B$16,Paramètres!$A$1:$I$89,3,0)*VLOOKUP('Données projet'!$B$16,Paramètres!$A$1:$I$89,5,0)</f>
        <v>52.958879999999979</v>
      </c>
      <c r="FG32" s="13">
        <f t="shared" si="47"/>
        <v>15.375327718852537</v>
      </c>
      <c r="FH32" s="20">
        <f t="shared" si="22"/>
        <v>119.01541177700146</v>
      </c>
      <c r="FI32" s="59">
        <f t="shared" si="23"/>
        <v>398.98621585467885</v>
      </c>
      <c r="FJ32" s="59">
        <f ca="1">AVERAGE(OFFSET($FI$3,0,0,'Données projet'!$E$16+1,1))-AVERAGE(OFFSET($H$3,0,0,'Données projet'!$E$16+1,1))</f>
        <v>334.01098870576732</v>
      </c>
      <c r="FK32" s="59">
        <f t="shared" si="48"/>
        <v>171.1802153303471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11.8</v>
      </c>
      <c r="FZ32" s="12">
        <f>IF('Données projet'!$A$244&gt;35,FZ31+FY32-GH31,IF(A32&lt;'Données projet'!$A$244,$FW$205^A32,IF(A32='Données projet'!$A$244,'Données projet'!$B$244,FZ31+FY32-GH31)))</f>
        <v>134.19999999999996</v>
      </c>
      <c r="GA32" s="17">
        <f>FZ32*VLOOKUP('Données projet'!$B$17,Paramètres!$A$1:$I$89,3,0)*VLOOKUP('Données projet'!$B$17,Paramètres!$A$1:$I$89,5,0)</f>
        <v>117.23711999999999</v>
      </c>
      <c r="GB32" s="13">
        <f t="shared" si="49"/>
        <v>31.029731926851227</v>
      </c>
      <c r="GC32" s="20">
        <f t="shared" si="25"/>
        <v>258.23143377259919</v>
      </c>
      <c r="GD32" s="59">
        <f t="shared" si="26"/>
        <v>538.20223785027656</v>
      </c>
      <c r="GE32" s="59">
        <f ca="1">AVERAGE(OFFSET($GD$3,0,0,'Données projet'!$E$17+1,1))-AVERAGE(OFFSET($H$3,0,0,'Données projet'!$E$17+1,1))</f>
        <v>330.12856974146598</v>
      </c>
      <c r="GF32" s="59">
        <f t="shared" si="50"/>
        <v>321.23368446552286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66.689007172699888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7</v>
      </c>
      <c r="GU32" s="12">
        <f>IF('Données projet'!$A$270&gt;35,GU31+GT32-HC31,IF(A32&lt;'Données projet'!$A$270,$GR$205^A32,IF(A32='Données projet'!$A$270,'Données projet'!$B$270,GU31+GT32-HC31)))</f>
        <v>98</v>
      </c>
      <c r="GV32" s="17">
        <f>GU32*VLOOKUP('Données projet'!$B$18,Paramètres!$A$1:$I$89,3,0)*VLOOKUP('Données projet'!$B$18,Paramètres!$A$1:$I$89,5,0)</f>
        <v>65.738399999999999</v>
      </c>
      <c r="GW32" s="13">
        <f t="shared" si="51"/>
        <v>18.61131449032748</v>
      </c>
      <c r="GX32" s="20">
        <f t="shared" si="28"/>
        <v>146.90908607065367</v>
      </c>
      <c r="GY32" s="59">
        <f t="shared" si="29"/>
        <v>426.87989014833101</v>
      </c>
      <c r="GZ32" s="59">
        <f ca="1">AVERAGE(OFFSET($GY$3,0,0,'Données projet'!$E$18+1,1))-AVERAGE(OFFSET($H$3,0,0,'Données projet'!$E$18+1,1))</f>
        <v>296.67751292332753</v>
      </c>
      <c r="HA32" s="59">
        <f t="shared" si="52"/>
        <v>197.99510031603018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1.1000000000000001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4.0333333333333341</v>
      </c>
      <c r="H33" s="67">
        <f t="shared" si="1"/>
        <v>240.5333333333333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155</v>
      </c>
      <c r="O33" s="13">
        <f>N33*VLOOKUP('Données projet'!$B$9,Paramètres!$A$1:$I$89,3,0)*VLOOKUP('Données projet'!$B$9,Paramètres!$A$1:$I$89,5,0)</f>
        <v>140.244</v>
      </c>
      <c r="P33" s="13">
        <f t="shared" si="33"/>
        <v>36.352896802451752</v>
      </c>
      <c r="Q33" s="20">
        <f t="shared" si="2"/>
        <v>307.57292859760338</v>
      </c>
      <c r="R33" s="59">
        <f t="shared" si="0"/>
        <v>588.97656208287253</v>
      </c>
      <c r="S33" s="59">
        <f ca="1">AVERAGE(OFFSET($R$3,0,0,'Données projet'!$E$9+1,1))-AVERAGE(OFFSET($H$3,0,0,'Données projet'!$E$9+1,1))</f>
        <v>461.20962581398715</v>
      </c>
      <c r="T33" s="59">
        <f t="shared" si="34"/>
        <v>348.44322874953923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155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155</v>
      </c>
      <c r="AJ33" s="13">
        <f>AI33*VLOOKUP('Données projet'!$B$10,Paramètres!$A$1:$I$89,3,0)*VLOOKUP('Données projet'!$B$10,Paramètres!$A$1:$I$89,5,0)</f>
        <v>157.17000000000002</v>
      </c>
      <c r="AK33" s="13">
        <f t="shared" si="35"/>
        <v>40.203539552443232</v>
      </c>
      <c r="AL33" s="20">
        <f t="shared" si="4"/>
        <v>343.75891472050535</v>
      </c>
      <c r="AM33" s="59">
        <f t="shared" si="5"/>
        <v>625.16254820577456</v>
      </c>
      <c r="AN33" s="59">
        <f ca="1">AVERAGE(OFFSET($AM$3,0,0,'Données projet'!$E$10+1,1))-AVERAGE(OFFSET($H$3,0,0,'Données projet'!$E$10+1,1))</f>
        <v>510.86584023875525</v>
      </c>
      <c r="AO33" s="59">
        <f t="shared" si="36"/>
        <v>384.62921487244125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116</v>
      </c>
      <c r="BB33" s="12">
        <f>VLOOKUP(A33,'Données projet'!$A$87:$I$107,9,0)</f>
        <v>9.4</v>
      </c>
      <c r="BC33" s="12">
        <f t="array" ref="BC33">INDEX(BB:BB,MIN(IF(ISNUMBER(BB33:BB229),ROW(BB33:BB229),"")))</f>
        <v>9.4</v>
      </c>
      <c r="BD33" s="12">
        <f>IF('Données projet'!$A$88&gt;35,BD32+BC33-BL32,IF(A33&lt;'Données projet'!$A$88,$BA$205^A33,IF(A33='Données projet'!$A$88,'Données projet'!$B$88,BD32+BC33-BL32)))</f>
        <v>116.00000000000001</v>
      </c>
      <c r="BE33" s="13">
        <f>BD33*VLOOKUP('Données projet'!$B$11,Paramètres!$A$1:$I$89,3,0)*VLOOKUP('Données projet'!$B$11,Paramètres!$A$1:$I$89,5,0)</f>
        <v>85.051200000000009</v>
      </c>
      <c r="BF33" s="13">
        <f t="shared" si="37"/>
        <v>23.367793520672731</v>
      </c>
      <c r="BG33" s="20">
        <f t="shared" si="7"/>
        <v>188.82974704850503</v>
      </c>
      <c r="BH33" s="59">
        <f t="shared" si="8"/>
        <v>470.23338053377427</v>
      </c>
      <c r="BI33" s="59">
        <f ca="1">AVERAGE(OFFSET($BH$3,0,0,'Données projet'!$E$11+1,1))-AVERAGE(OFFSET($H$3,0,0,'Données projet'!$E$11+1,1))</f>
        <v>201.7253431547006</v>
      </c>
      <c r="BJ33" s="59">
        <f t="shared" si="38"/>
        <v>229.70004720044096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297</v>
      </c>
      <c r="BW33" s="12">
        <f>VLOOKUP(A33,'Données projet'!$A$113:$I$133,9,0)</f>
        <v>25.6</v>
      </c>
      <c r="BX33" s="12">
        <f t="array" ref="BX33">INDEX(BW:BW,MIN(IF(ISNUMBER(BW33:BW229),ROW(BW33:BW229),"")))</f>
        <v>25.6</v>
      </c>
      <c r="BY33" s="12">
        <f>IF('Données projet'!$A$114&gt;35,BY32+BX33-CG32,IF(A33&lt;'Données projet'!$A$114,$BV$205^A33,IF(A33='Données projet'!$A$114,'Données projet'!$B$114,BY32+BX33-CG32)))</f>
        <v>296.99999999999994</v>
      </c>
      <c r="BZ33" s="13">
        <f>BY33*VLOOKUP('Données projet'!$B$12,Paramètres!$A$1:$I$89,3,0)*VLOOKUP('Données projet'!$B$12,Paramètres!$A$1:$I$89,5,0)</f>
        <v>166.02299999999997</v>
      </c>
      <c r="CA33" s="13">
        <f t="shared" si="39"/>
        <v>42.198084449395701</v>
      </c>
      <c r="CB33" s="20">
        <f t="shared" si="10"/>
        <v>362.65172208269746</v>
      </c>
      <c r="CC33" s="59">
        <f t="shared" si="11"/>
        <v>644.05535556796667</v>
      </c>
      <c r="CD33" s="59">
        <f ca="1">AVERAGE(OFFSET($CC$3,0,0,'Données projet'!$E$12+1,1))-AVERAGE(OFFSET($H$3,0,0,'Données projet'!$E$12+1,1))</f>
        <v>462.09240749760784</v>
      </c>
      <c r="CE33" s="59">
        <f t="shared" si="40"/>
        <v>403.52202223463337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63</v>
      </c>
      <c r="CH33" s="16">
        <f>IF(ISNA(VLOOKUP(A33,'Données projet'!$A$113:$I$133,5,0)),0%,VLOOKUP(A33,'Données projet'!$A$113:$I$133,5,0)*VLOOKUP('Données projet'!$B$12,Paramètres!$A$1:$I$89,7,0))</f>
        <v>0.33</v>
      </c>
      <c r="CI33" s="16">
        <f>IF(ISNA(VLOOKUP(A33,'Données projet'!$A$113:$I$133,6,0)),0%,VLOOKUP(A33,'Données projet'!$A$113:$I$133,6,0)*VLOOKUP('Données projet'!$B$12,Paramètres!$A$1:$I$89,7,0))</f>
        <v>0.12100000000000001</v>
      </c>
      <c r="CJ33" s="16">
        <f>IF(ISNA(VLOOKUP(A33,'Données projet'!$A$113:$I$133,7,0)),0%,VLOOKUP(A33,'Données projet'!$A$113:$I$133,7,0))</f>
        <v>0.18</v>
      </c>
      <c r="CK33" s="21">
        <f>EXP(-LN(2)/35)*CK32+(1-EXP(-LN(2)/35))/(LN(2)/35)*CG33*CH33*VLOOKUP('Données projet'!$B$12,Paramètres!$A$1:$I$89,3,0)*0.475*44/12</f>
        <v>36.757003976953889</v>
      </c>
      <c r="CL33" s="21">
        <f>EXP(-LN(2)/25)*CL32+(1-EXP(-LN(2)/25))/(LN(2)/25)*Calculateur!CG33*Calculateur!CI33*VLOOKUP('Données projet'!$B$12,Paramètres!$A$1:$I$89,3,0)*0.475*44/12</f>
        <v>20.996645188257052</v>
      </c>
      <c r="CM33" s="21">
        <f>EXP(-LN(2)/2)*CM32+(1-EXP(-LN(2)/2))/(LN(2)/2)*CG33*CJ33*VLOOKUP('Données projet'!$B$12,Paramètres!$A$1:$I$89,3,0)*0.475*44/12</f>
        <v>9.0776897654622299</v>
      </c>
      <c r="CN33" s="22">
        <f t="shared" si="12"/>
        <v>66.831338930673169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210</v>
      </c>
      <c r="CR33" s="12">
        <f>VLOOKUP(A33,'Données projet'!$A$139:$I$159,9,0)</f>
        <v>11</v>
      </c>
      <c r="CS33" s="12">
        <f t="array" ref="CS33">INDEX(CR:CR,MIN(IF(ISNUMBER(CR33:CR229),ROW(CR33:CR229),"")))</f>
        <v>11</v>
      </c>
      <c r="CT33" s="12">
        <f>IF('Données projet'!$A$140&gt;35,CT32+CS33-DB32,IF(A33&lt;'Données projet'!$A$140,$CQ$205^A33,IF(A33='Données projet'!$A$140,'Données projet'!$B$140,CT32+CS33-DB32)))</f>
        <v>210</v>
      </c>
      <c r="CU33" s="17">
        <f>CT33*VLOOKUP('Données projet'!$B$13,Paramètres!$A$1:$I$89,3,0)*VLOOKUP('Données projet'!$B$13,Paramètres!$A$1:$I$89,5,0)</f>
        <v>98.28</v>
      </c>
      <c r="CV33" s="13">
        <f t="shared" si="41"/>
        <v>26.551818424463473</v>
      </c>
      <c r="CW33" s="20">
        <f t="shared" si="13"/>
        <v>217.41541708927389</v>
      </c>
      <c r="CX33" s="59">
        <f t="shared" si="14"/>
        <v>498.8190505745431</v>
      </c>
      <c r="CY33" s="59">
        <f ca="1">AVERAGE(OFFSET($CX$3,0,0,'Données projet'!$E$13+1,1))-AVERAGE(OFFSET($H$3,0,0,'Données projet'!$E$13+1,1))</f>
        <v>319.88925869887464</v>
      </c>
      <c r="CZ33" s="59">
        <f t="shared" si="42"/>
        <v>258.2857172412098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50</v>
      </c>
      <c r="DC33" s="16">
        <f>IF(ISNA(VLOOKUP(A33,'Données projet'!$A$139:$I$159,5,0)),0%,VLOOKUP(A33,'Données projet'!$A$139:$I$159,5,0)*VLOOKUP('Données projet'!$B$13,Paramètres!$A$1:$I$89,7,0))</f>
        <v>0.11000000000000001</v>
      </c>
      <c r="DD33" s="16">
        <f>IF(ISNA(VLOOKUP(A33,'Données projet'!$A$139:$I$159,6,0)),0%,VLOOKUP(A33,'Données projet'!$A$139:$I$159,6,0)*VLOOKUP('Données projet'!$B$13,Paramètres!$A$1:$I$89,7,0))</f>
        <v>0.24750000000000003</v>
      </c>
      <c r="DE33" s="16">
        <f>IF(ISNA(VLOOKUP(A33,'Données projet'!$A$139:$I$159,7,0)),0%,VLOOKUP(A33,'Données projet'!$A$139:$I$159,7,0))</f>
        <v>0.35</v>
      </c>
      <c r="DF33" s="21">
        <f>EXP(-LN(2)/35)*DF32+(1-EXP(-LN(2)/35))/(LN(2)/35)*DB33*DC33*VLOOKUP('Données projet'!$B$13,Paramètres!$A$1:$I$89,3,0)*0.475*44/12</f>
        <v>3.4145769083013771</v>
      </c>
      <c r="DG33" s="21">
        <f>EXP(-LN(2)/25)*DG32+(1-EXP(-LN(2)/25))/(LN(2)/25)*Calculateur!DB33*Calculateur!DD33*VLOOKUP('Données projet'!$B$13,Paramètres!$A$1:$I$89,3,0)*0.475*44/12</f>
        <v>13.426319021293734</v>
      </c>
      <c r="DH33" s="21">
        <f>EXP(-LN(2)/2)*DH32+(1-EXP(-LN(2)/2))/(LN(2)/2)*DB33*DE33*VLOOKUP('Données projet'!$B$13,Paramètres!$A$1:$I$89,3,0)*0.475*44/12</f>
        <v>9.5644191101250673</v>
      </c>
      <c r="DI33" s="22">
        <f t="shared" si="15"/>
        <v>26.405315039720179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260.10000000000002</v>
      </c>
      <c r="DM33" s="12">
        <f>VLOOKUP(A33,'Données projet'!$A$165:$I$185,9,0)</f>
        <v>20.86333333333334</v>
      </c>
      <c r="DN33" s="12">
        <f t="array" ref="DN33">INDEX(DM:DM,MIN(IF(ISNUMBER(DM33:DM229),ROW(DM33:DM229),"")))</f>
        <v>20.86333333333334</v>
      </c>
      <c r="DO33" s="12">
        <f>IF('Données projet'!$A$166&gt;35,DO32+DN33-DW32,IF(A33&lt;'Données projet'!$A$166,$DL$205^A33,IF(A33='Données projet'!$A$166,'Données projet'!$B$166,DO32+DN33-DW32)))</f>
        <v>260.10000000000008</v>
      </c>
      <c r="DP33" s="17">
        <f>DO33*VLOOKUP('Données projet'!$B$14,Paramètres!$A$1:$I$89,3,0)*VLOOKUP('Données projet'!$B$14,Paramètres!$A$1:$I$89,5,0)</f>
        <v>155.53980000000007</v>
      </c>
      <c r="DQ33" s="13">
        <f t="shared" si="43"/>
        <v>39.834855511973885</v>
      </c>
      <c r="DR33" s="20">
        <f t="shared" si="16"/>
        <v>340.27752501668795</v>
      </c>
      <c r="DS33" s="59">
        <f t="shared" si="17"/>
        <v>621.68115850195716</v>
      </c>
      <c r="DT33" s="59">
        <f ca="1">AVERAGE(OFFSET($DS$3,0,0,'Données projet'!$E$14+1,1))-AVERAGE(OFFSET($H$3,0,0,'Données projet'!$E$14+1,1))</f>
        <v>443.64905827069435</v>
      </c>
      <c r="DU33" s="59">
        <f t="shared" si="44"/>
        <v>381.14782516862385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66.989999999999995</v>
      </c>
      <c r="DX33" s="16">
        <f>IF(ISNA(VLOOKUP(A33,'Données projet'!$A$165:$I$185,5,0)),0%,VLOOKUP(A33,'Données projet'!$A$165:$I$185,5,0)*VLOOKUP('Données projet'!$B$14,Paramètres!$A$1:$I$89,7,0))</f>
        <v>9.0000000000000011E-2</v>
      </c>
      <c r="DY33" s="16">
        <f>IF(ISNA(VLOOKUP(A33,'Données projet'!$A$165:$I$185,6,0)),0%,VLOOKUP(A33,'Données projet'!$A$165:$I$185,6,0)*VLOOKUP('Données projet'!$B$14,Paramètres!$A$1:$I$89,7,0))</f>
        <v>0.20250000000000001</v>
      </c>
      <c r="DZ33" s="16">
        <f>IF(ISNA(VLOOKUP(A33,'Données projet'!$A$165:$I$185,7,0)),0%,VLOOKUP(A33,'Données projet'!$A$165:$I$185,7,0))</f>
        <v>0.35</v>
      </c>
      <c r="EA33" s="21">
        <f>EXP(-LN(2)/35)*EA32+(1-EXP(-LN(2)/35))/(LN(2)/35)*DW33*DX33*VLOOKUP('Données projet'!$B$14,Paramètres!$A$1:$I$89,3,0)*0.475*44/12</f>
        <v>7.4413404137143839</v>
      </c>
      <c r="EB33" s="21">
        <f>EXP(-LN(2)/25)*EB32+(1-EXP(-LN(2)/25))/(LN(2)/25)*Calculateur!DW33*Calculateur!DY33*VLOOKUP('Données projet'!$B$14,Paramètres!$A$1:$I$89,3,0)*0.475*44/12</f>
        <v>16.179883991875393</v>
      </c>
      <c r="EC33" s="21">
        <f>EXP(-LN(2)/2)*EC32+(1-EXP(-LN(2)/2))/(LN(2)/2)*DW33*DZ33*VLOOKUP('Données projet'!$B$14,Paramètres!$A$1:$I$89,3,0)*0.475*44/12</f>
        <v>16.117486184306888</v>
      </c>
      <c r="ED33" s="22">
        <f t="shared" si="18"/>
        <v>39.738710589896669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292</v>
      </c>
      <c r="EH33" s="12">
        <f>VLOOKUP(A33,'Données projet'!$A$191:$I$211,9,0)</f>
        <v>12.4</v>
      </c>
      <c r="EI33" s="12">
        <f t="array" ref="EI33">INDEX(EH:EH,MIN(IF(ISNUMBER(EH33:EH229),ROW(EH33:EH229),"")))</f>
        <v>12.4</v>
      </c>
      <c r="EJ33" s="12">
        <f>IF('Données projet'!$A$192&gt;35,EJ32+EI33-ER32,IF(A33&lt;'Données projet'!$A$192,$EG$205^A33,IF(A33='Données projet'!$A$192,'Données projet'!$B$192,EJ32+EI33-ER32)))</f>
        <v>291.99999999999983</v>
      </c>
      <c r="EK33" s="17">
        <f>EJ33*VLOOKUP('Données projet'!$B$15,Paramètres!$A$1:$I$89,3,0)*VLOOKUP('Données projet'!$B$15,Paramètres!$A$1:$I$89,5,0)</f>
        <v>264.20159999999987</v>
      </c>
      <c r="EL33" s="13">
        <f t="shared" si="45"/>
        <v>63.617151975096768</v>
      </c>
      <c r="EM33" s="20">
        <f t="shared" si="19"/>
        <v>570.95099302329322</v>
      </c>
      <c r="EN33" s="59">
        <f t="shared" si="20"/>
        <v>852.35462650856243</v>
      </c>
      <c r="EO33" s="59">
        <f ca="1">AVERAGE(OFFSET($EN$3,0,0,'Données projet'!$E$15+1,1))-AVERAGE(OFFSET($H$3,0,0,'Données projet'!$E$15+1,1))</f>
        <v>504.37890861635196</v>
      </c>
      <c r="EP33" s="59">
        <f t="shared" si="46"/>
        <v>611.82129317522913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26</v>
      </c>
      <c r="ES33" s="16">
        <f>IF(ISNA(VLOOKUP(A33,'Données projet'!$A$191:$I$211,5,0)),0%,VLOOKUP(A33,'Données projet'!$A$191:$I$211,5,0)*VLOOKUP('Données projet'!$B$15,Paramètres!$A$1:$I$89,7,0))</f>
        <v>0.06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1.5603581750662048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1.5603581750662048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54</v>
      </c>
      <c r="FC33" s="12">
        <f>VLOOKUP(A33,'Données projet'!$A$217:$I$237,9,0)</f>
        <v>4.8</v>
      </c>
      <c r="FD33" s="12">
        <f t="array" ref="FD33">INDEX(FC:FC,MIN(IF(ISNUMBER(FC33:FC229),ROW(FC33:FC229),"")))</f>
        <v>4.8</v>
      </c>
      <c r="FE33" s="12">
        <f>IF('Données projet'!$A$218&gt;35,FE32+FD33-FM32,IF(A33&lt;'Données projet'!$A$218,$FB$205^A33,IF(A33='Données projet'!$A$218,'Données projet'!$B$218,FE32+FD33-FM32)))</f>
        <v>53.999999999999986</v>
      </c>
      <c r="FF33" s="17">
        <f>FE33*VLOOKUP('Données projet'!$B$16,Paramètres!$A$1:$I$89,3,0)*VLOOKUP('Données projet'!$B$16,Paramètres!$A$1:$I$89,5,0)</f>
        <v>58.125599999999977</v>
      </c>
      <c r="FG33" s="13">
        <f t="shared" si="47"/>
        <v>16.693490054590161</v>
      </c>
      <c r="FH33" s="20">
        <f t="shared" si="22"/>
        <v>130.30991517841116</v>
      </c>
      <c r="FI33" s="59">
        <f t="shared" si="23"/>
        <v>411.7135486636804</v>
      </c>
      <c r="FJ33" s="59">
        <f ca="1">AVERAGE(OFFSET($FI$3,0,0,'Données projet'!$E$16+1,1))-AVERAGE(OFFSET($H$3,0,0,'Données projet'!$E$16+1,1))</f>
        <v>334.01098870576732</v>
      </c>
      <c r="FK33" s="59">
        <f t="shared" si="48"/>
        <v>171.1802153303471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146</v>
      </c>
      <c r="FX33" s="12">
        <f>VLOOKUP(A33,'Données projet'!$A$243:$I$263,9,0)</f>
        <v>11.8</v>
      </c>
      <c r="FY33" s="12">
        <f t="array" ref="FY33">INDEX(FX:FX,MIN(IF(ISNUMBER(FX33:FX229),ROW(FX33:FX229),"")))</f>
        <v>11.8</v>
      </c>
      <c r="FZ33" s="12">
        <f>IF('Données projet'!$A$244&gt;35,FZ32+FY33-GH32,IF(A33&lt;'Données projet'!$A$244,$FW$205^A33,IF(A33='Données projet'!$A$244,'Données projet'!$B$244,FZ32+FY33-GH32)))</f>
        <v>145.99999999999997</v>
      </c>
      <c r="GA33" s="17">
        <f>FZ33*VLOOKUP('Données projet'!$B$17,Paramètres!$A$1:$I$89,3,0)*VLOOKUP('Données projet'!$B$17,Paramètres!$A$1:$I$89,5,0)</f>
        <v>127.54559999999999</v>
      </c>
      <c r="GB33" s="13">
        <f t="shared" si="49"/>
        <v>33.428591950384806</v>
      </c>
      <c r="GC33" s="20">
        <f t="shared" si="25"/>
        <v>280.36338431358689</v>
      </c>
      <c r="GD33" s="59">
        <f t="shared" si="26"/>
        <v>561.76701779885616</v>
      </c>
      <c r="GE33" s="59">
        <f ca="1">AVERAGE(OFFSET($GD$3,0,0,'Données projet'!$E$17+1,1))-AVERAGE(OFFSET($H$3,0,0,'Données projet'!$E$17+1,1))</f>
        <v>330.12856974146598</v>
      </c>
      <c r="GF33" s="59">
        <f t="shared" si="50"/>
        <v>321.23368446552286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0.10600000000000001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2.866313125126037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2.866313125126037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66.746445495982513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105</v>
      </c>
      <c r="GS33" s="12">
        <f>VLOOKUP(A33,'Données projet'!$A$269:$I$289,9,0)</f>
        <v>7</v>
      </c>
      <c r="GT33" s="12">
        <f t="array" ref="GT33">INDEX(GS:GS,MIN(IF(ISNUMBER(GS33:GS229),ROW(GS33:GS229),"")))</f>
        <v>7</v>
      </c>
      <c r="GU33" s="12">
        <f>IF('Données projet'!$A$270&gt;35,GU32+GT33-HC32,IF(A33&lt;'Données projet'!$A$270,$GR$205^A33,IF(A33='Données projet'!$A$270,'Données projet'!$B$270,GU32+GT33-HC32)))</f>
        <v>105</v>
      </c>
      <c r="GV33" s="17">
        <f>GU33*VLOOKUP('Données projet'!$B$18,Paramètres!$A$1:$I$89,3,0)*VLOOKUP('Données projet'!$B$18,Paramètres!$A$1:$I$89,5,0)</f>
        <v>70.433999999999997</v>
      </c>
      <c r="GW33" s="13">
        <f t="shared" si="51"/>
        <v>19.78119626646561</v>
      </c>
      <c r="GX33" s="20">
        <f t="shared" si="28"/>
        <v>157.12480016409424</v>
      </c>
      <c r="GY33" s="59">
        <f t="shared" si="29"/>
        <v>438.52843364936348</v>
      </c>
      <c r="GZ33" s="59">
        <f ca="1">AVERAGE(OFFSET($GY$3,0,0,'Données projet'!$E$18+1,1))-AVERAGE(OFFSET($H$3,0,0,'Données projet'!$E$18+1,1))</f>
        <v>296.67751292332753</v>
      </c>
      <c r="HA33" s="59">
        <f t="shared" si="52"/>
        <v>197.99510031603018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29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1.1000000000000001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4.0333333333333341</v>
      </c>
      <c r="H34" s="67">
        <f t="shared" si="1"/>
        <v>240.5333333333333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103.80000000000001</v>
      </c>
      <c r="O34" s="13">
        <f>N34*VLOOKUP('Données projet'!$B$9,Paramètres!$A$1:$I$89,3,0)*VLOOKUP('Données projet'!$B$9,Paramètres!$A$1:$I$89,5,0)</f>
        <v>93.918239999999997</v>
      </c>
      <c r="P34" s="13">
        <f t="shared" si="33"/>
        <v>25.507853654186022</v>
      </c>
      <c r="Q34" s="20">
        <f t="shared" si="2"/>
        <v>208.0004464477073</v>
      </c>
      <c r="R34" s="59">
        <f t="shared" si="0"/>
        <v>489.61103355452718</v>
      </c>
      <c r="S34" s="59">
        <f ca="1">AVERAGE(OFFSET($R$3,0,0,'Données projet'!$E$9+1,1))-AVERAGE(OFFSET($H$3,0,0,'Données projet'!$E$9+1,1))</f>
        <v>461.20962581398715</v>
      </c>
      <c r="T34" s="59">
        <f t="shared" si="34"/>
        <v>348.44322874953923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103.80000000000001</v>
      </c>
      <c r="AJ34" s="13">
        <f>AI34*VLOOKUP('Données projet'!$B$10,Paramètres!$A$1:$I$89,3,0)*VLOOKUP('Données projet'!$B$10,Paramètres!$A$1:$I$89,5,0)</f>
        <v>105.25320000000002</v>
      </c>
      <c r="AK34" s="13">
        <f t="shared" si="35"/>
        <v>28.209746498519422</v>
      </c>
      <c r="AL34" s="20">
        <f t="shared" si="4"/>
        <v>232.44796515158802</v>
      </c>
      <c r="AM34" s="59">
        <f t="shared" si="5"/>
        <v>514.05855225840787</v>
      </c>
      <c r="AN34" s="59">
        <f ca="1">AVERAGE(OFFSET($AM$3,0,0,'Données projet'!$E$10+1,1))-AVERAGE(OFFSET($H$3,0,0,'Données projet'!$E$10+1,1))</f>
        <v>510.86584023875525</v>
      </c>
      <c r="AO34" s="59">
        <f t="shared" si="36"/>
        <v>384.62921487244125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98.200000000000017</v>
      </c>
      <c r="BE34" s="13">
        <f>BD34*VLOOKUP('Données projet'!$B$11,Paramètres!$A$1:$I$89,3,0)*VLOOKUP('Données projet'!$B$11,Paramètres!$A$1:$I$89,5,0)</f>
        <v>72.000240000000005</v>
      </c>
      <c r="BF34" s="13">
        <f t="shared" si="37"/>
        <v>20.169370224271123</v>
      </c>
      <c r="BG34" s="20">
        <f t="shared" si="7"/>
        <v>160.52873780727222</v>
      </c>
      <c r="BH34" s="59">
        <f t="shared" si="8"/>
        <v>442.13932491409207</v>
      </c>
      <c r="BI34" s="59">
        <f ca="1">AVERAGE(OFFSET($BH$3,0,0,'Données projet'!$E$11+1,1))-AVERAGE(OFFSET($H$3,0,0,'Données projet'!$E$11+1,1))</f>
        <v>201.7253431547006</v>
      </c>
      <c r="BJ34" s="59">
        <f t="shared" si="38"/>
        <v>229.70004720044096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25.2</v>
      </c>
      <c r="BY34" s="12">
        <f>IF('Données projet'!$A$114&gt;35,BY33+BX34-CG33,IF(A34&lt;'Données projet'!$A$114,$BV$205^A34,IF(A34='Données projet'!$A$114,'Données projet'!$B$114,BY33+BX34-CG33)))</f>
        <v>259.19999999999993</v>
      </c>
      <c r="BZ34" s="13">
        <f>BY34*VLOOKUP('Données projet'!$B$12,Paramètres!$A$1:$I$89,3,0)*VLOOKUP('Données projet'!$B$12,Paramètres!$A$1:$I$89,5,0)</f>
        <v>144.89279999999997</v>
      </c>
      <c r="CA34" s="13">
        <f t="shared" si="39"/>
        <v>37.41562652135768</v>
      </c>
      <c r="CB34" s="20">
        <f t="shared" si="10"/>
        <v>317.5205095246979</v>
      </c>
      <c r="CC34" s="59">
        <f t="shared" si="11"/>
        <v>599.13109663151772</v>
      </c>
      <c r="CD34" s="59">
        <f ca="1">AVERAGE(OFFSET($CC$3,0,0,'Données projet'!$E$12+1,1))-AVERAGE(OFFSET($H$3,0,0,'Données projet'!$E$12+1,1))</f>
        <v>462.09240749760784</v>
      </c>
      <c r="CE34" s="59">
        <f t="shared" si="40"/>
        <v>403.52202223463337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36.036221548524502</v>
      </c>
      <c r="CL34" s="21">
        <f>EXP(-LN(2)/25)*CL33+(1-EXP(-LN(2)/25))/(LN(2)/25)*Calculateur!CG34*Calculateur!CI34*VLOOKUP('Données projet'!$B$12,Paramètres!$A$1:$I$89,3,0)*0.475*44/12</f>
        <v>20.422490821418581</v>
      </c>
      <c r="CM34" s="21">
        <f>EXP(-LN(2)/2)*CM33+(1-EXP(-LN(2)/2))/(LN(2)/2)*CG34*CJ34*VLOOKUP('Données projet'!$B$12,Paramètres!$A$1:$I$89,3,0)*0.475*44/12</f>
        <v>6.418895990666063</v>
      </c>
      <c r="CN34" s="22">
        <f t="shared" si="12"/>
        <v>62.877608360609152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</v>
      </c>
      <c r="CT34" s="12">
        <f>IF('Données projet'!$A$140&gt;35,CT33+CS34-DB33,IF(A34&lt;'Données projet'!$A$140,$CQ$205^A34,IF(A34='Données projet'!$A$140,'Données projet'!$B$140,CT33+CS34-DB33)))</f>
        <v>174</v>
      </c>
      <c r="CU34" s="17">
        <f>CT34*VLOOKUP('Données projet'!$B$13,Paramètres!$A$1:$I$89,3,0)*VLOOKUP('Données projet'!$B$13,Paramètres!$A$1:$I$89,5,0)</f>
        <v>81.432000000000002</v>
      </c>
      <c r="CV34" s="13">
        <f t="shared" si="41"/>
        <v>22.486953220240881</v>
      </c>
      <c r="CW34" s="20">
        <f t="shared" si="13"/>
        <v>180.99217685858619</v>
      </c>
      <c r="CX34" s="59">
        <f t="shared" si="14"/>
        <v>462.6027639654061</v>
      </c>
      <c r="CY34" s="59">
        <f ca="1">AVERAGE(OFFSET($CX$3,0,0,'Données projet'!$E$13+1,1))-AVERAGE(OFFSET($H$3,0,0,'Données projet'!$E$13+1,1))</f>
        <v>319.88925869887464</v>
      </c>
      <c r="CZ34" s="59">
        <f t="shared" si="42"/>
        <v>258.2857172412098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3.3476191378158529</v>
      </c>
      <c r="DG34" s="21">
        <f>EXP(-LN(2)/25)*DG33+(1-EXP(-LN(2)/25))/(LN(2)/25)*Calculateur!DB34*Calculateur!DD34*VLOOKUP('Données projet'!$B$13,Paramètres!$A$1:$I$89,3,0)*0.475*44/12</f>
        <v>13.059175621597026</v>
      </c>
      <c r="DH34" s="21">
        <f>EXP(-LN(2)/2)*DH33+(1-EXP(-LN(2)/2))/(LN(2)/2)*DB34*DE34*VLOOKUP('Données projet'!$B$13,Paramètres!$A$1:$I$89,3,0)*0.475*44/12</f>
        <v>6.7630656108796403</v>
      </c>
      <c r="DI34" s="22">
        <f t="shared" si="15"/>
        <v>23.169860370292518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18.61999999999999</v>
      </c>
      <c r="DO34" s="12">
        <f>IF('Données projet'!$A$166&gt;35,DO33+DN34-DW33,IF(A34&lt;'Données projet'!$A$166,$DL$205^A34,IF(A34='Données projet'!$A$166,'Données projet'!$B$166,DO33+DN34-DW33)))</f>
        <v>211.73000000000008</v>
      </c>
      <c r="DP34" s="17">
        <f>DO34*VLOOKUP('Données projet'!$B$14,Paramètres!$A$1:$I$89,3,0)*VLOOKUP('Données projet'!$B$14,Paramètres!$A$1:$I$89,5,0)</f>
        <v>126.61454000000005</v>
      </c>
      <c r="DQ34" s="13">
        <f t="shared" si="43"/>
        <v>33.21288161570979</v>
      </c>
      <c r="DR34" s="20">
        <f t="shared" si="16"/>
        <v>278.36609264736131</v>
      </c>
      <c r="DS34" s="59">
        <f t="shared" si="17"/>
        <v>559.97667975418119</v>
      </c>
      <c r="DT34" s="59">
        <f ca="1">AVERAGE(OFFSET($DS$3,0,0,'Données projet'!$E$14+1,1))-AVERAGE(OFFSET($H$3,0,0,'Données projet'!$E$14+1,1))</f>
        <v>443.64905827069435</v>
      </c>
      <c r="DU34" s="59">
        <f t="shared" si="44"/>
        <v>381.14782516862385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7.2954202669709307</v>
      </c>
      <c r="EB34" s="21">
        <f>EXP(-LN(2)/25)*EB33+(1-EXP(-LN(2)/25))/(LN(2)/25)*Calculateur!DW34*Calculateur!DY34*VLOOKUP('Données projet'!$B$14,Paramètres!$A$1:$I$89,3,0)*0.475*44/12</f>
        <v>15.73744421325444</v>
      </c>
      <c r="EC34" s="21">
        <f>EXP(-LN(2)/2)*EC33+(1-EXP(-LN(2)/2))/(LN(2)/2)*DW34*DZ34*VLOOKUP('Données projet'!$B$14,Paramètres!$A$1:$I$89,3,0)*0.475*44/12</f>
        <v>11.396783776603893</v>
      </c>
      <c r="ED34" s="22">
        <f t="shared" si="18"/>
        <v>34.429648256829267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10.6</v>
      </c>
      <c r="EJ34" s="12">
        <f>IF('Données projet'!$A$192&gt;35,EJ33+EI34-ER33,IF(A34&lt;'Données projet'!$A$192,$EG$205^A34,IF(A34='Données projet'!$A$192,'Données projet'!$B$192,EJ33+EI34-ER33)))</f>
        <v>276.59999999999985</v>
      </c>
      <c r="EK34" s="17">
        <f>EJ34*VLOOKUP('Données projet'!$B$15,Paramètres!$A$1:$I$89,3,0)*VLOOKUP('Données projet'!$B$15,Paramètres!$A$1:$I$89,5,0)</f>
        <v>250.26767999999987</v>
      </c>
      <c r="EL34" s="13">
        <f t="shared" si="45"/>
        <v>60.643256925083385</v>
      </c>
      <c r="EM34" s="20">
        <f t="shared" si="19"/>
        <v>541.50321514451991</v>
      </c>
      <c r="EN34" s="59">
        <f t="shared" si="20"/>
        <v>823.11380225133985</v>
      </c>
      <c r="EO34" s="59">
        <f ca="1">AVERAGE(OFFSET($EN$3,0,0,'Données projet'!$E$15+1,1))-AVERAGE(OFFSET($H$3,0,0,'Données projet'!$E$15+1,1))</f>
        <v>504.37890861635196</v>
      </c>
      <c r="EP34" s="59">
        <f t="shared" si="46"/>
        <v>611.82129317522913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1.5297605029776684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1.5297605029776684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</v>
      </c>
      <c r="FE34" s="12">
        <f>IF('Données projet'!$A$218&gt;35,FE33+FD34-FM33,IF(A34&lt;'Données projet'!$A$218,$FB$205^A34,IF(A34='Données projet'!$A$218,'Données projet'!$B$218,FE33+FD34-FM33)))</f>
        <v>58.999999999999986</v>
      </c>
      <c r="FF34" s="17">
        <f>FE34*VLOOKUP('Données projet'!$B$16,Paramètres!$A$1:$I$89,3,0)*VLOOKUP('Données projet'!$B$16,Paramètres!$A$1:$I$89,5,0)</f>
        <v>63.507599999999982</v>
      </c>
      <c r="FG34" s="13">
        <f t="shared" si="47"/>
        <v>18.052146695841799</v>
      </c>
      <c r="FH34" s="20">
        <f t="shared" si="22"/>
        <v>142.04989216192442</v>
      </c>
      <c r="FI34" s="59">
        <f t="shared" si="23"/>
        <v>423.66047926874433</v>
      </c>
      <c r="FJ34" s="59">
        <f ca="1">AVERAGE(OFFSET($FI$3,0,0,'Données projet'!$E$16+1,1))-AVERAGE(OFFSET($H$3,0,0,'Données projet'!$E$16+1,1))</f>
        <v>334.01098870576732</v>
      </c>
      <c r="FK34" s="59">
        <f t="shared" si="48"/>
        <v>171.1802153303471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128.79999999999998</v>
      </c>
      <c r="GA34" s="17">
        <f>FZ34*VLOOKUP('Données projet'!$B$17,Paramètres!$A$1:$I$89,3,0)*VLOOKUP('Données projet'!$B$17,Paramètres!$A$1:$I$89,5,0)</f>
        <v>112.51968000000001</v>
      </c>
      <c r="GB34" s="13">
        <f t="shared" si="49"/>
        <v>29.923856072189899</v>
      </c>
      <c r="GC34" s="20">
        <f t="shared" si="25"/>
        <v>248.08915865906408</v>
      </c>
      <c r="GD34" s="59">
        <f t="shared" si="26"/>
        <v>529.69974576588402</v>
      </c>
      <c r="GE34" s="59">
        <f ca="1">AVERAGE(OFFSET($GD$3,0,0,'Données projet'!$E$17+1,1))-AVERAGE(OFFSET($H$3,0,0,'Données projet'!$E$17+1,1))</f>
        <v>330.12856974146598</v>
      </c>
      <c r="GF34" s="59">
        <f t="shared" si="50"/>
        <v>321.23368446552286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2.8101064730206935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2.8101064730206935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66.802887392769051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8</v>
      </c>
      <c r="GU34" s="12">
        <f>IF('Données projet'!$A$270&gt;35,GU33+GT34-HC33,IF(A34&lt;'Données projet'!$A$270,$GR$205^A34,IF(A34='Données projet'!$A$270,'Données projet'!$B$270,GU33+GT34-HC33)))</f>
        <v>84</v>
      </c>
      <c r="GV34" s="17">
        <f>GU34*VLOOKUP('Données projet'!$B$18,Paramètres!$A$1:$I$89,3,0)*VLOOKUP('Données projet'!$B$18,Paramètres!$A$1:$I$89,5,0)</f>
        <v>56.347200000000001</v>
      </c>
      <c r="GW34" s="13">
        <f t="shared" si="51"/>
        <v>16.241377637196607</v>
      </c>
      <c r="GX34" s="20">
        <f t="shared" si="28"/>
        <v>126.42510605145075</v>
      </c>
      <c r="GY34" s="59">
        <f t="shared" si="29"/>
        <v>408.03569315827065</v>
      </c>
      <c r="GZ34" s="59">
        <f ca="1">AVERAGE(OFFSET($GY$3,0,0,'Données projet'!$E$18+1,1))-AVERAGE(OFFSET($H$3,0,0,'Données projet'!$E$18+1,1))</f>
        <v>296.67751292332753</v>
      </c>
      <c r="HA34" s="59">
        <f t="shared" si="52"/>
        <v>197.99510031603018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1.1000000000000001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4.0333333333333341</v>
      </c>
      <c r="H35" s="67">
        <f t="shared" si="1"/>
        <v>240.5333333333333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114.60000000000001</v>
      </c>
      <c r="O35" s="13">
        <f>N35*VLOOKUP('Données projet'!$B$9,Paramètres!$A$1:$I$89,3,0)*VLOOKUP('Données projet'!$B$9,Paramètres!$A$1:$I$89,5,0)</f>
        <v>103.69008000000001</v>
      </c>
      <c r="P35" s="13">
        <f t="shared" si="33"/>
        <v>27.83924565319537</v>
      </c>
      <c r="Q35" s="20">
        <f t="shared" ref="Q35:Q66" si="53">(O35+P35)*0.475*44/12</f>
        <v>229.08024217931526</v>
      </c>
      <c r="R35" s="59">
        <f t="shared" si="0"/>
        <v>510.89419272503085</v>
      </c>
      <c r="S35" s="59">
        <f ca="1">AVERAGE(OFFSET($R$3,0,0,'Données projet'!$E$9+1,1))-AVERAGE(OFFSET($H$3,0,0,'Données projet'!$E$9+1,1))</f>
        <v>461.20962581398715</v>
      </c>
      <c r="T35" s="59">
        <f t="shared" si="34"/>
        <v>348.44322874953923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114.60000000000001</v>
      </c>
      <c r="AJ35" s="13">
        <f>AI35*VLOOKUP('Données projet'!$B$10,Paramètres!$A$1:$I$89,3,0)*VLOOKUP('Données projet'!$B$10,Paramètres!$A$1:$I$89,5,0)</f>
        <v>116.20440000000002</v>
      </c>
      <c r="AK35" s="13">
        <f t="shared" si="35"/>
        <v>30.788088768016376</v>
      </c>
      <c r="AL35" s="20">
        <f t="shared" si="4"/>
        <v>256.01191793762854</v>
      </c>
      <c r="AM35" s="59">
        <f t="shared" si="5"/>
        <v>537.82586848334404</v>
      </c>
      <c r="AN35" s="59">
        <f ca="1">AVERAGE(OFFSET($AM$3,0,0,'Données projet'!$E$10+1,1))-AVERAGE(OFFSET($H$3,0,0,'Données projet'!$E$10+1,1))</f>
        <v>510.86584023875525</v>
      </c>
      <c r="AO35" s="59">
        <f t="shared" si="36"/>
        <v>384.62921487244125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108.40000000000002</v>
      </c>
      <c r="BE35" s="13">
        <f>BD35*VLOOKUP('Données projet'!$B$11,Paramètres!$A$1:$I$89,3,0)*VLOOKUP('Données projet'!$B$11,Paramètres!$A$1:$I$89,5,0)</f>
        <v>79.478880000000018</v>
      </c>
      <c r="BF35" s="13">
        <f t="shared" si="37"/>
        <v>22.009719156513249</v>
      </c>
      <c r="BG35" s="20">
        <f t="shared" si="7"/>
        <v>176.75931019759392</v>
      </c>
      <c r="BH35" s="59">
        <f t="shared" si="8"/>
        <v>458.57326074330945</v>
      </c>
      <c r="BI35" s="59">
        <f ca="1">AVERAGE(OFFSET($BH$3,0,0,'Données projet'!$E$11+1,1))-AVERAGE(OFFSET($H$3,0,0,'Données projet'!$E$11+1,1))</f>
        <v>201.7253431547006</v>
      </c>
      <c r="BJ35" s="59">
        <f t="shared" si="38"/>
        <v>229.70004720044096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25.2</v>
      </c>
      <c r="BY35" s="12">
        <f>IF('Données projet'!$A$114&gt;35,BY34+BX35-CG34,IF(A35&lt;'Données projet'!$A$114,$BV$205^A35,IF(A35='Données projet'!$A$114,'Données projet'!$B$114,BY34+BX35-CG34)))</f>
        <v>284.39999999999992</v>
      </c>
      <c r="BZ35" s="13">
        <f>BY35*VLOOKUP('Données projet'!$B$12,Paramètres!$A$1:$I$89,3,0)*VLOOKUP('Données projet'!$B$12,Paramètres!$A$1:$I$89,5,0)</f>
        <v>158.97959999999995</v>
      </c>
      <c r="CA35" s="13">
        <f t="shared" si="39"/>
        <v>40.6122757085909</v>
      </c>
      <c r="CB35" s="20">
        <f t="shared" si="10"/>
        <v>347.62251685912906</v>
      </c>
      <c r="CC35" s="59">
        <f t="shared" si="11"/>
        <v>629.43646740484462</v>
      </c>
      <c r="CD35" s="59">
        <f ca="1">AVERAGE(OFFSET($CC$3,0,0,'Données projet'!$E$12+1,1))-AVERAGE(OFFSET($H$3,0,0,'Données projet'!$E$12+1,1))</f>
        <v>462.09240749760784</v>
      </c>
      <c r="CE35" s="59">
        <f t="shared" si="40"/>
        <v>403.52202223463337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35.329573223882747</v>
      </c>
      <c r="CL35" s="21">
        <f>EXP(-LN(2)/25)*CL34+(1-EXP(-LN(2)/25))/(LN(2)/25)*Calculateur!CG35*Calculateur!CI35*VLOOKUP('Données projet'!$B$12,Paramètres!$A$1:$I$89,3,0)*0.475*44/12</f>
        <v>19.864036735934775</v>
      </c>
      <c r="CM35" s="21">
        <f>EXP(-LN(2)/2)*CM34+(1-EXP(-LN(2)/2))/(LN(2)/2)*CG35*CJ35*VLOOKUP('Données projet'!$B$12,Paramètres!$A$1:$I$89,3,0)*0.475*44/12</f>
        <v>4.538844882731115</v>
      </c>
      <c r="CN35" s="22">
        <f t="shared" si="12"/>
        <v>59.732454842548634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</v>
      </c>
      <c r="CT35" s="12">
        <f>IF('Données projet'!$A$140&gt;35,CT34+CS35-DB34,IF(A35&lt;'Données projet'!$A$140,$CQ$205^A35,IF(A35='Données projet'!$A$140,'Données projet'!$B$140,CT34+CS35-DB34)))</f>
        <v>188</v>
      </c>
      <c r="CU35" s="17">
        <f>CT35*VLOOKUP('Données projet'!$B$13,Paramètres!$A$1:$I$89,3,0)*VLOOKUP('Données projet'!$B$13,Paramètres!$A$1:$I$89,5,0)</f>
        <v>87.983999999999995</v>
      </c>
      <c r="CV35" s="13">
        <f t="shared" si="41"/>
        <v>24.078375128721785</v>
      </c>
      <c r="CW35" s="20">
        <f t="shared" si="13"/>
        <v>195.17530334919044</v>
      </c>
      <c r="CX35" s="59">
        <f t="shared" si="14"/>
        <v>476.98925389490603</v>
      </c>
      <c r="CY35" s="59">
        <f ca="1">AVERAGE(OFFSET($CX$3,0,0,'Données projet'!$E$13+1,1))-AVERAGE(OFFSET($H$3,0,0,'Données projet'!$E$13+1,1))</f>
        <v>319.88925869887464</v>
      </c>
      <c r="CZ35" s="59">
        <f t="shared" si="42"/>
        <v>258.2857172412098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3.2819743683693425</v>
      </c>
      <c r="DG35" s="21">
        <f>EXP(-LN(2)/25)*DG34+(1-EXP(-LN(2)/25))/(LN(2)/25)*Calculateur!DB35*Calculateur!DD35*VLOOKUP('Données projet'!$B$13,Paramètres!$A$1:$I$89,3,0)*0.475*44/12</f>
        <v>12.702071777472257</v>
      </c>
      <c r="DH35" s="21">
        <f>EXP(-LN(2)/2)*DH34+(1-EXP(-LN(2)/2))/(LN(2)/2)*DB35*DE35*VLOOKUP('Données projet'!$B$13,Paramètres!$A$1:$I$89,3,0)*0.475*44/12</f>
        <v>4.7822095550625345</v>
      </c>
      <c r="DI35" s="22">
        <f t="shared" si="15"/>
        <v>20.766255700904132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>
        <f>VLOOKUP(A35,'Données projet'!$A$165:$I$185,2,0)</f>
        <v>230.35</v>
      </c>
      <c r="DM35" s="12">
        <f>VLOOKUP(A35,'Données projet'!$A$165:$I$185,9,0)</f>
        <v>18.61999999999999</v>
      </c>
      <c r="DN35" s="12">
        <f t="array" ref="DN35">INDEX(DM:DM,MIN(IF(ISNUMBER(DM35:DM231),ROW(DM35:DM231),"")))</f>
        <v>18.61999999999999</v>
      </c>
      <c r="DO35" s="12">
        <f>IF('Données projet'!$A$166&gt;35,DO34+DN35-DW34,IF(A35&lt;'Données projet'!$A$166,$DL$205^A35,IF(A35='Données projet'!$A$166,'Données projet'!$B$166,DO34+DN35-DW34)))</f>
        <v>230.35000000000008</v>
      </c>
      <c r="DP35" s="17">
        <f>DO35*VLOOKUP('Données projet'!$B$14,Paramètres!$A$1:$I$89,3,0)*VLOOKUP('Données projet'!$B$14,Paramètres!$A$1:$I$89,5,0)</f>
        <v>137.74930000000006</v>
      </c>
      <c r="DQ35" s="13">
        <f t="shared" si="43"/>
        <v>35.780916395737023</v>
      </c>
      <c r="DR35" s="20">
        <f t="shared" si="16"/>
        <v>302.23179355590872</v>
      </c>
      <c r="DS35" s="59">
        <f t="shared" si="17"/>
        <v>584.04574410162422</v>
      </c>
      <c r="DT35" s="59">
        <f ca="1">AVERAGE(OFFSET($DS$3,0,0,'Données projet'!$E$14+1,1))-AVERAGE(OFFSET($H$3,0,0,'Données projet'!$E$14+1,1))</f>
        <v>443.64905827069435</v>
      </c>
      <c r="DU35" s="59">
        <f t="shared" si="44"/>
        <v>381.14782516862385</v>
      </c>
      <c r="DV35" s="15">
        <f>IF(ISNA(VLOOKUP(A35,'Données projet'!$A$165:$I$185,3,0)),0,VLOOKUP(A35,'Données projet'!$A$165:$I$185,3,0))</f>
        <v>5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7.1523615253026156</v>
      </c>
      <c r="EB35" s="21">
        <f>EXP(-LN(2)/25)*EB34+(1-EXP(-LN(2)/25))/(LN(2)/25)*Calculateur!DW35*Calculateur!DY35*VLOOKUP('Données projet'!$B$14,Paramètres!$A$1:$I$89,3,0)*0.475*44/12</f>
        <v>15.307102973646774</v>
      </c>
      <c r="EC35" s="21">
        <f>EXP(-LN(2)/2)*EC34+(1-EXP(-LN(2)/2))/(LN(2)/2)*DW35*DZ35*VLOOKUP('Données projet'!$B$14,Paramètres!$A$1:$I$89,3,0)*0.475*44/12</f>
        <v>8.0587430921534438</v>
      </c>
      <c r="ED35" s="22">
        <f t="shared" si="18"/>
        <v>30.518207591102836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10.6</v>
      </c>
      <c r="EJ35" s="12">
        <f>IF('Données projet'!$A$192&gt;35,EJ34+EI35-ER34,IF(A35&lt;'Données projet'!$A$192,$EG$205^A35,IF(A35='Données projet'!$A$192,'Données projet'!$B$192,EJ34+EI35-ER34)))</f>
        <v>287.19999999999987</v>
      </c>
      <c r="EK35" s="17">
        <f>EJ35*VLOOKUP('Données projet'!$B$15,Paramètres!$A$1:$I$89,3,0)*VLOOKUP('Données projet'!$B$15,Paramètres!$A$1:$I$89,5,0)</f>
        <v>259.85855999999984</v>
      </c>
      <c r="EL35" s="13">
        <f t="shared" si="45"/>
        <v>62.692227709138479</v>
      </c>
      <c r="EM35" s="20">
        <f t="shared" si="19"/>
        <v>561.77595526008247</v>
      </c>
      <c r="EN35" s="59">
        <f t="shared" si="20"/>
        <v>843.58990580579803</v>
      </c>
      <c r="EO35" s="59">
        <f ca="1">AVERAGE(OFFSET($EN$3,0,0,'Données projet'!$E$15+1,1))-AVERAGE(OFFSET($H$3,0,0,'Données projet'!$E$15+1,1))</f>
        <v>504.37890861635196</v>
      </c>
      <c r="EP35" s="59">
        <f t="shared" si="46"/>
        <v>611.82129317522913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1.499762832576051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1.499762832576051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</v>
      </c>
      <c r="FE35" s="12">
        <f>IF('Données projet'!$A$218&gt;35,FE34+FD35-FM34,IF(A35&lt;'Données projet'!$A$218,$FB$205^A35,IF(A35='Données projet'!$A$218,'Données projet'!$B$218,FE34+FD35-FM34)))</f>
        <v>63.999999999999986</v>
      </c>
      <c r="FF35" s="17">
        <f>FE35*VLOOKUP('Données projet'!$B$16,Paramètres!$A$1:$I$89,3,0)*VLOOKUP('Données projet'!$B$16,Paramètres!$A$1:$I$89,5,0)</f>
        <v>68.889599999999987</v>
      </c>
      <c r="FG35" s="13">
        <f t="shared" si="47"/>
        <v>19.397450021635805</v>
      </c>
      <c r="FH35" s="20">
        <f t="shared" si="22"/>
        <v>153.76661212101567</v>
      </c>
      <c r="FI35" s="59">
        <f t="shared" si="23"/>
        <v>435.58056266673123</v>
      </c>
      <c r="FJ35" s="59">
        <f ca="1">AVERAGE(OFFSET($FI$3,0,0,'Données projet'!$E$16+1,1))-AVERAGE(OFFSET($H$3,0,0,'Données projet'!$E$16+1,1))</f>
        <v>334.01098870576732</v>
      </c>
      <c r="FK35" s="59">
        <f t="shared" si="48"/>
        <v>171.1802153303471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139.6</v>
      </c>
      <c r="GA35" s="17">
        <f>FZ35*VLOOKUP('Données projet'!$B$17,Paramètres!$A$1:$I$89,3,0)*VLOOKUP('Données projet'!$B$17,Paramètres!$A$1:$I$89,5,0)</f>
        <v>121.95456</v>
      </c>
      <c r="GB35" s="13">
        <f t="shared" si="49"/>
        <v>32.130438767300902</v>
      </c>
      <c r="GC35" s="20">
        <f t="shared" si="25"/>
        <v>268.36470618638242</v>
      </c>
      <c r="GD35" s="59">
        <f t="shared" si="26"/>
        <v>550.17865673209803</v>
      </c>
      <c r="GE35" s="59">
        <f ca="1">AVERAGE(OFFSET($GD$3,0,0,'Données projet'!$E$17+1,1))-AVERAGE(OFFSET($H$3,0,0,'Données projet'!$E$17+1,1))</f>
        <v>330.12856974146598</v>
      </c>
      <c r="GF35" s="59">
        <f t="shared" si="50"/>
        <v>321.23368446552286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2.7550019990804633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2.7550019990804633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66.858350148831519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8</v>
      </c>
      <c r="GU35" s="12">
        <f>IF('Données projet'!$A$270&gt;35,GU34+GT35-HC34,IF(A35&lt;'Données projet'!$A$270,$GR$205^A35,IF(A35='Données projet'!$A$270,'Données projet'!$B$270,GU34+GT35-HC34)))</f>
        <v>92</v>
      </c>
      <c r="GV35" s="17">
        <f>GU35*VLOOKUP('Données projet'!$B$18,Paramètres!$A$1:$I$89,3,0)*VLOOKUP('Données projet'!$B$18,Paramètres!$A$1:$I$89,5,0)</f>
        <v>61.713600000000007</v>
      </c>
      <c r="GW35" s="13">
        <f t="shared" si="51"/>
        <v>17.600808249116106</v>
      </c>
      <c r="GX35" s="20">
        <f t="shared" si="28"/>
        <v>138.13926103387723</v>
      </c>
      <c r="GY35" s="59">
        <f t="shared" si="29"/>
        <v>419.95321157959279</v>
      </c>
      <c r="GZ35" s="59">
        <f ca="1">AVERAGE(OFFSET($GY$3,0,0,'Données projet'!$E$18+1,1))-AVERAGE(OFFSET($H$3,0,0,'Données projet'!$E$18+1,1))</f>
        <v>296.67751292332753</v>
      </c>
      <c r="HA35" s="59">
        <f t="shared" si="52"/>
        <v>197.99510031603018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1.1000000000000001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4.0333333333333341</v>
      </c>
      <c r="H36" s="67">
        <f t="shared" si="1"/>
        <v>240.5333333333333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</v>
      </c>
      <c r="O36" s="13">
        <f>N36*VLOOKUP('Données projet'!$B$9,Paramètres!$A$1:$I$89,3,0)*VLOOKUP('Données projet'!$B$9,Paramètres!$A$1:$I$89,5,0)</f>
        <v>113.46192000000001</v>
      </c>
      <c r="P36" s="13">
        <f t="shared" si="33"/>
        <v>30.145163126535493</v>
      </c>
      <c r="Q36" s="20">
        <f t="shared" si="53"/>
        <v>250.11566977871595</v>
      </c>
      <c r="R36" s="59">
        <f t="shared" si="0"/>
        <v>532.1294558623149</v>
      </c>
      <c r="S36" s="59">
        <f ca="1">AVERAGE(OFFSET($R$3,0,0,'Données projet'!$E$9+1,1))-AVERAGE(OFFSET($H$3,0,0,'Données projet'!$E$9+1,1))</f>
        <v>461.20962581398715</v>
      </c>
      <c r="T36" s="59">
        <f t="shared" si="34"/>
        <v>348.44322874953923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</v>
      </c>
      <c r="AJ36" s="13">
        <f>AI36*VLOOKUP('Données projet'!$B$10,Paramètres!$A$1:$I$89,3,0)*VLOOKUP('Données projet'!$B$10,Paramètres!$A$1:$I$89,5,0)</f>
        <v>127.15560000000001</v>
      </c>
      <c r="AK36" s="13">
        <f t="shared" si="35"/>
        <v>33.338258149231912</v>
      </c>
      <c r="AL36" s="20">
        <f t="shared" si="4"/>
        <v>279.52680294324563</v>
      </c>
      <c r="AM36" s="59">
        <f t="shared" si="5"/>
        <v>561.5405890268446</v>
      </c>
      <c r="AN36" s="59">
        <f ca="1">AVERAGE(OFFSET($AM$3,0,0,'Données projet'!$E$10+1,1))-AVERAGE(OFFSET($H$3,0,0,'Données projet'!$E$10+1,1))</f>
        <v>510.86584023875525</v>
      </c>
      <c r="AO36" s="59">
        <f t="shared" si="36"/>
        <v>384.62921487244125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118.60000000000002</v>
      </c>
      <c r="BE36" s="13">
        <f>BD36*VLOOKUP('Données projet'!$B$11,Paramètres!$A$1:$I$89,3,0)*VLOOKUP('Données projet'!$B$11,Paramètres!$A$1:$I$89,5,0)</f>
        <v>86.957520000000017</v>
      </c>
      <c r="BF36" s="13">
        <f t="shared" si="37"/>
        <v>23.829989910749791</v>
      </c>
      <c r="BG36" s="20">
        <f t="shared" si="7"/>
        <v>192.95491309455588</v>
      </c>
      <c r="BH36" s="59">
        <f t="shared" si="8"/>
        <v>474.96869917815485</v>
      </c>
      <c r="BI36" s="59">
        <f ca="1">AVERAGE(OFFSET($BH$3,0,0,'Données projet'!$E$11+1,1))-AVERAGE(OFFSET($H$3,0,0,'Données projet'!$E$11+1,1))</f>
        <v>201.7253431547006</v>
      </c>
      <c r="BJ36" s="59">
        <f t="shared" si="38"/>
        <v>229.70004720044096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25.2</v>
      </c>
      <c r="BY36" s="12">
        <f>IF('Données projet'!$A$114&gt;35,BY35+BX36-CG35,IF(A36&lt;'Données projet'!$A$114,$BV$205^A36,IF(A36='Données projet'!$A$114,'Données projet'!$B$114,BY35+BX36-CG35)))</f>
        <v>309.59999999999991</v>
      </c>
      <c r="BZ36" s="13">
        <f>BY36*VLOOKUP('Données projet'!$B$12,Paramètres!$A$1:$I$89,3,0)*VLOOKUP('Données projet'!$B$12,Paramètres!$A$1:$I$89,5,0)</f>
        <v>173.06639999999996</v>
      </c>
      <c r="CA36" s="13">
        <f t="shared" si="39"/>
        <v>43.776079006603112</v>
      </c>
      <c r="CB36" s="20">
        <f t="shared" si="10"/>
        <v>377.66731760316696</v>
      </c>
      <c r="CC36" s="59">
        <f t="shared" si="11"/>
        <v>659.68110368676594</v>
      </c>
      <c r="CD36" s="59">
        <f ca="1">AVERAGE(OFFSET($CC$3,0,0,'Données projet'!$E$12+1,1))-AVERAGE(OFFSET($H$3,0,0,'Données projet'!$E$12+1,1))</f>
        <v>462.09240749760784</v>
      </c>
      <c r="CE36" s="59">
        <f t="shared" si="40"/>
        <v>403.52202223463337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34.636781841874296</v>
      </c>
      <c r="CL36" s="21">
        <f>EXP(-LN(2)/25)*CL35+(1-EXP(-LN(2)/25))/(LN(2)/25)*Calculateur!CG36*Calculateur!CI36*VLOOKUP('Données projet'!$B$12,Paramètres!$A$1:$I$89,3,0)*0.475*44/12</f>
        <v>19.320853606786347</v>
      </c>
      <c r="CM36" s="21">
        <f>EXP(-LN(2)/2)*CM35+(1-EXP(-LN(2)/2))/(LN(2)/2)*CG36*CJ36*VLOOKUP('Données projet'!$B$12,Paramètres!$A$1:$I$89,3,0)*0.475*44/12</f>
        <v>3.2094479953330315</v>
      </c>
      <c r="CN36" s="22">
        <f t="shared" si="12"/>
        <v>57.167083443993668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</v>
      </c>
      <c r="CT36" s="12">
        <f>IF('Données projet'!$A$140&gt;35,CT35+CS36-DB35,IF(A36&lt;'Données projet'!$A$140,$CQ$205^A36,IF(A36='Données projet'!$A$140,'Données projet'!$B$140,CT35+CS36-DB35)))</f>
        <v>202</v>
      </c>
      <c r="CU36" s="17">
        <f>CT36*VLOOKUP('Données projet'!$B$13,Paramètres!$A$1:$I$89,3,0)*VLOOKUP('Données projet'!$B$13,Paramètres!$A$1:$I$89,5,0)</f>
        <v>94.536000000000001</v>
      </c>
      <c r="CV36" s="13">
        <f t="shared" si="41"/>
        <v>25.656048664271697</v>
      </c>
      <c r="CW36" s="20">
        <f t="shared" si="13"/>
        <v>209.33448475693987</v>
      </c>
      <c r="CX36" s="59">
        <f t="shared" si="14"/>
        <v>491.34827084053882</v>
      </c>
      <c r="CY36" s="59">
        <f ca="1">AVERAGE(OFFSET($CX$3,0,0,'Données projet'!$E$13+1,1))-AVERAGE(OFFSET($H$3,0,0,'Données projet'!$E$13+1,1))</f>
        <v>319.88925869887464</v>
      </c>
      <c r="CZ36" s="59">
        <f t="shared" si="42"/>
        <v>258.2857172412098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3.2176168528123226</v>
      </c>
      <c r="DG36" s="21">
        <f>EXP(-LN(2)/25)*DG35+(1-EXP(-LN(2)/25))/(LN(2)/25)*Calculateur!DB36*Calculateur!DD36*VLOOKUP('Données projet'!$B$13,Paramètres!$A$1:$I$89,3,0)*0.475*44/12</f>
        <v>12.354732956744355</v>
      </c>
      <c r="DH36" s="21">
        <f>EXP(-LN(2)/2)*DH35+(1-EXP(-LN(2)/2))/(LN(2)/2)*DB36*DE36*VLOOKUP('Données projet'!$B$13,Paramètres!$A$1:$I$89,3,0)*0.475*44/12</f>
        <v>3.3815328054398206</v>
      </c>
      <c r="DI36" s="22">
        <f t="shared" si="15"/>
        <v>18.953882614996498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21.354000000000003</v>
      </c>
      <c r="DO36" s="12">
        <f>IF('Données projet'!$A$166&gt;35,DO35+DN36-DW35,IF(A36&lt;'Données projet'!$A$166,$DL$205^A36,IF(A36='Données projet'!$A$166,'Données projet'!$B$166,DO35+DN36-DW35)))</f>
        <v>251.70400000000009</v>
      </c>
      <c r="DP36" s="17">
        <f>DO36*VLOOKUP('Données projet'!$B$14,Paramètres!$A$1:$I$89,3,0)*VLOOKUP('Données projet'!$B$14,Paramètres!$A$1:$I$89,5,0)</f>
        <v>150.51899200000008</v>
      </c>
      <c r="DQ36" s="13">
        <f t="shared" si="43"/>
        <v>38.696504695699332</v>
      </c>
      <c r="DR36" s="20">
        <f t="shared" si="16"/>
        <v>329.55032341167646</v>
      </c>
      <c r="DS36" s="59">
        <f t="shared" si="17"/>
        <v>611.56410949527549</v>
      </c>
      <c r="DT36" s="59">
        <f ca="1">AVERAGE(OFFSET($DS$3,0,0,'Données projet'!$E$14+1,1))-AVERAGE(OFFSET($H$3,0,0,'Données projet'!$E$14+1,1))</f>
        <v>443.64905827069435</v>
      </c>
      <c r="DU36" s="59">
        <f t="shared" si="44"/>
        <v>381.14782516862385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7.0121080783011998</v>
      </c>
      <c r="EB36" s="21">
        <f>EXP(-LN(2)/25)*EB35+(1-EXP(-LN(2)/25))/(LN(2)/25)*Calculateur!DW36*Calculateur!DY36*VLOOKUP('Données projet'!$B$14,Paramètres!$A$1:$I$89,3,0)*0.475*44/12</f>
        <v>14.888529437866843</v>
      </c>
      <c r="EC36" s="21">
        <f>EXP(-LN(2)/2)*EC35+(1-EXP(-LN(2)/2))/(LN(2)/2)*DW36*DZ36*VLOOKUP('Données projet'!$B$14,Paramètres!$A$1:$I$89,3,0)*0.475*44/12</f>
        <v>5.6983918883019467</v>
      </c>
      <c r="ED36" s="22">
        <f t="shared" si="18"/>
        <v>27.599029404469988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10.6</v>
      </c>
      <c r="EJ36" s="12">
        <f>IF('Données projet'!$A$192&gt;35,EJ35+EI36-ER35,IF(A36&lt;'Données projet'!$A$192,$EG$205^A36,IF(A36='Données projet'!$A$192,'Données projet'!$B$192,EJ35+EI36-ER35)))</f>
        <v>297.7999999999999</v>
      </c>
      <c r="EK36" s="17">
        <f>EJ36*VLOOKUP('Données projet'!$B$15,Paramètres!$A$1:$I$89,3,0)*VLOOKUP('Données projet'!$B$15,Paramètres!$A$1:$I$89,5,0)</f>
        <v>269.44943999999992</v>
      </c>
      <c r="EL36" s="13">
        <f t="shared" si="45"/>
        <v>64.732412683644569</v>
      </c>
      <c r="EM36" s="20">
        <f t="shared" si="19"/>
        <v>582.03339342401409</v>
      </c>
      <c r="EN36" s="59">
        <f t="shared" si="20"/>
        <v>864.04717950761301</v>
      </c>
      <c r="EO36" s="59">
        <f ca="1">AVERAGE(OFFSET($EN$3,0,0,'Données projet'!$E$15+1,1))-AVERAGE(OFFSET($H$3,0,0,'Données projet'!$E$15+1,1))</f>
        <v>504.37890861635196</v>
      </c>
      <c r="EP36" s="59">
        <f t="shared" si="46"/>
        <v>611.82129317522913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1.4703533981942369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1.4703533981942369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</v>
      </c>
      <c r="FE36" s="12">
        <f>IF('Données projet'!$A$218&gt;35,FE35+FD36-FM35,IF(A36&lt;'Données projet'!$A$218,$FB$205^A36,IF(A36='Données projet'!$A$218,'Données projet'!$B$218,FE35+FD36-FM35)))</f>
        <v>68.999999999999986</v>
      </c>
      <c r="FF36" s="17">
        <f>FE36*VLOOKUP('Données projet'!$B$16,Paramètres!$A$1:$I$89,3,0)*VLOOKUP('Données projet'!$B$16,Paramètres!$A$1:$I$89,5,0)</f>
        <v>74.271599999999978</v>
      </c>
      <c r="FG36" s="13">
        <f t="shared" si="47"/>
        <v>20.730561869473863</v>
      </c>
      <c r="FH36" s="20">
        <f t="shared" si="22"/>
        <v>165.46209858933358</v>
      </c>
      <c r="FI36" s="59">
        <f t="shared" si="23"/>
        <v>447.47588467293258</v>
      </c>
      <c r="FJ36" s="59">
        <f ca="1">AVERAGE(OFFSET($FI$3,0,0,'Données projet'!$E$16+1,1))-AVERAGE(OFFSET($H$3,0,0,'Données projet'!$E$16+1,1))</f>
        <v>334.01098870576732</v>
      </c>
      <c r="FK36" s="59">
        <f t="shared" si="48"/>
        <v>171.1802153303471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150.4</v>
      </c>
      <c r="GA36" s="17">
        <f>FZ36*VLOOKUP('Données projet'!$B$17,Paramètres!$A$1:$I$89,3,0)*VLOOKUP('Données projet'!$B$17,Paramètres!$A$1:$I$89,5,0)</f>
        <v>131.38944000000004</v>
      </c>
      <c r="GB36" s="13">
        <f t="shared" si="49"/>
        <v>34.317219199328761</v>
      </c>
      <c r="GC36" s="20">
        <f t="shared" si="25"/>
        <v>288.60576477216426</v>
      </c>
      <c r="GD36" s="59">
        <f t="shared" si="26"/>
        <v>570.61955085576324</v>
      </c>
      <c r="GE36" s="59">
        <f ca="1">AVERAGE(OFFSET($GD$3,0,0,'Données projet'!$E$17+1,1))-AVERAGE(OFFSET($H$3,0,0,'Données projet'!$E$17+1,1))</f>
        <v>330.12856974146598</v>
      </c>
      <c r="GF36" s="59">
        <f t="shared" si="50"/>
        <v>321.23368446552286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2.7009780902637908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2.7009780902637908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66.912850750072451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8</v>
      </c>
      <c r="GU36" s="12">
        <f>IF('Données projet'!$A$270&gt;35,GU35+GT36-HC35,IF(A36&lt;'Données projet'!$A$270,$GR$205^A36,IF(A36='Données projet'!$A$270,'Données projet'!$B$270,GU35+GT36-HC35)))</f>
        <v>100</v>
      </c>
      <c r="GV36" s="17">
        <f>GU36*VLOOKUP('Données projet'!$B$18,Paramètres!$A$1:$I$89,3,0)*VLOOKUP('Données projet'!$B$18,Paramètres!$A$1:$I$89,5,0)</f>
        <v>67.08</v>
      </c>
      <c r="GW36" s="13">
        <f t="shared" si="51"/>
        <v>18.946530238513894</v>
      </c>
      <c r="GX36" s="20">
        <f t="shared" si="28"/>
        <v>149.82954016541169</v>
      </c>
      <c r="GY36" s="59">
        <f t="shared" si="29"/>
        <v>431.84332624901066</v>
      </c>
      <c r="GZ36" s="59">
        <f ca="1">AVERAGE(OFFSET($GY$3,0,0,'Données projet'!$E$18+1,1))-AVERAGE(OFFSET($H$3,0,0,'Données projet'!$E$18+1,1))</f>
        <v>296.67751292332753</v>
      </c>
      <c r="HA36" s="59">
        <f t="shared" si="52"/>
        <v>197.99510031603018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1.1000000000000001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4.0333333333333341</v>
      </c>
      <c r="H37" s="67">
        <f t="shared" si="1"/>
        <v>240.5333333333333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136.20000000000002</v>
      </c>
      <c r="O37" s="13">
        <f>N37*VLOOKUP('Données projet'!$B$9,Paramètres!$A$1:$I$89,3,0)*VLOOKUP('Données projet'!$B$9,Paramètres!$A$1:$I$89,5,0)</f>
        <v>123.23376000000002</v>
      </c>
      <c r="P37" s="13">
        <f t="shared" si="33"/>
        <v>32.428049504876491</v>
      </c>
      <c r="Q37" s="20">
        <f t="shared" si="53"/>
        <v>271.11098488765992</v>
      </c>
      <c r="R37" s="59">
        <f t="shared" si="0"/>
        <v>553.32113980932536</v>
      </c>
      <c r="S37" s="59">
        <f ca="1">AVERAGE(OFFSET($R$3,0,0,'Données projet'!$E$9+1,1))-AVERAGE(OFFSET($H$3,0,0,'Données projet'!$E$9+1,1))</f>
        <v>461.20962581398715</v>
      </c>
      <c r="T37" s="59">
        <f t="shared" si="34"/>
        <v>348.44322874953923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136.20000000000002</v>
      </c>
      <c r="AJ37" s="13">
        <f>AI37*VLOOKUP('Données projet'!$B$10,Paramètres!$A$1:$I$89,3,0)*VLOOKUP('Données projet'!$B$10,Paramètres!$A$1:$I$89,5,0)</f>
        <v>138.10680000000002</v>
      </c>
      <c r="AK37" s="13">
        <f t="shared" si="35"/>
        <v>35.862956890686135</v>
      </c>
      <c r="AL37" s="20">
        <f t="shared" si="4"/>
        <v>302.9973265846117</v>
      </c>
      <c r="AM37" s="59">
        <f t="shared" si="5"/>
        <v>585.20748150627719</v>
      </c>
      <c r="AN37" s="59">
        <f ca="1">AVERAGE(OFFSET($AM$3,0,0,'Données projet'!$E$10+1,1))-AVERAGE(OFFSET($H$3,0,0,'Données projet'!$E$10+1,1))</f>
        <v>510.86584023875525</v>
      </c>
      <c r="AO37" s="59">
        <f t="shared" si="36"/>
        <v>384.62921487244125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128.80000000000001</v>
      </c>
      <c r="BE37" s="13">
        <f>BD37*VLOOKUP('Données projet'!$B$11,Paramètres!$A$1:$I$89,3,0)*VLOOKUP('Données projet'!$B$11,Paramètres!$A$1:$I$89,5,0)</f>
        <v>94.436160000000001</v>
      </c>
      <c r="BF37" s="13">
        <f t="shared" si="37"/>
        <v>25.632105611020013</v>
      </c>
      <c r="BG37" s="20">
        <f t="shared" si="7"/>
        <v>209.11889593919318</v>
      </c>
      <c r="BH37" s="59">
        <f t="shared" si="8"/>
        <v>491.32905086085862</v>
      </c>
      <c r="BI37" s="59">
        <f ca="1">AVERAGE(OFFSET($BH$3,0,0,'Données projet'!$E$11+1,1))-AVERAGE(OFFSET($H$3,0,0,'Données projet'!$E$11+1,1))</f>
        <v>201.7253431547006</v>
      </c>
      <c r="BJ37" s="59">
        <f t="shared" si="38"/>
        <v>229.70004720044096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25.2</v>
      </c>
      <c r="BY37" s="12">
        <f>IF('Données projet'!$A$114&gt;35,BY36+BX37-CG36,IF(A37&lt;'Données projet'!$A$114,$BV$205^A37,IF(A37='Données projet'!$A$114,'Données projet'!$B$114,BY36+BX37-CG36)))</f>
        <v>334.7999999999999</v>
      </c>
      <c r="BZ37" s="13">
        <f>BY37*VLOOKUP('Données projet'!$B$12,Paramètres!$A$1:$I$89,3,0)*VLOOKUP('Données projet'!$B$12,Paramètres!$A$1:$I$89,5,0)</f>
        <v>187.15319999999994</v>
      </c>
      <c r="CA37" s="13">
        <f t="shared" si="39"/>
        <v>46.9100138680691</v>
      </c>
      <c r="CB37" s="20">
        <f t="shared" si="10"/>
        <v>407.66009748688685</v>
      </c>
      <c r="CC37" s="59">
        <f t="shared" si="11"/>
        <v>689.87025240855223</v>
      </c>
      <c r="CD37" s="59">
        <f ca="1">AVERAGE(OFFSET($CC$3,0,0,'Données projet'!$E$12+1,1))-AVERAGE(OFFSET($H$3,0,0,'Données projet'!$E$12+1,1))</f>
        <v>462.09240749760784</v>
      </c>
      <c r="CE37" s="59">
        <f t="shared" si="40"/>
        <v>403.52202223463337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33.957575676306007</v>
      </c>
      <c r="CL37" s="21">
        <f>EXP(-LN(2)/25)*CL36+(1-EXP(-LN(2)/25))/(LN(2)/25)*Calculateur!CG37*Calculateur!CI37*VLOOKUP('Données projet'!$B$12,Paramètres!$A$1:$I$89,3,0)*0.475*44/12</f>
        <v>18.792523848869241</v>
      </c>
      <c r="CM37" s="21">
        <f>EXP(-LN(2)/2)*CM36+(1-EXP(-LN(2)/2))/(LN(2)/2)*CG37*CJ37*VLOOKUP('Données projet'!$B$12,Paramètres!$A$1:$I$89,3,0)*0.475*44/12</f>
        <v>2.2694224413655575</v>
      </c>
      <c r="CN37" s="22">
        <f t="shared" si="12"/>
        <v>55.0195219665408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</v>
      </c>
      <c r="CT37" s="12">
        <f>IF('Données projet'!$A$140&gt;35,CT36+CS37-DB36,IF(A37&lt;'Données projet'!$A$140,$CQ$205^A37,IF(A37='Données projet'!$A$140,'Données projet'!$B$140,CT36+CS37-DB36)))</f>
        <v>216</v>
      </c>
      <c r="CU37" s="17">
        <f>CT37*VLOOKUP('Données projet'!$B$13,Paramètres!$A$1:$I$89,3,0)*VLOOKUP('Données projet'!$B$13,Paramètres!$A$1:$I$89,5,0)</f>
        <v>101.08799999999999</v>
      </c>
      <c r="CV37" s="13">
        <f t="shared" si="41"/>
        <v>27.221035075711939</v>
      </c>
      <c r="CW37" s="20">
        <f t="shared" si="13"/>
        <v>223.47156942353161</v>
      </c>
      <c r="CX37" s="59">
        <f t="shared" si="14"/>
        <v>505.68172434519704</v>
      </c>
      <c r="CY37" s="59">
        <f ca="1">AVERAGE(OFFSET($CX$3,0,0,'Données projet'!$E$13+1,1))-AVERAGE(OFFSET($H$3,0,0,'Données projet'!$E$13+1,1))</f>
        <v>319.88925869887464</v>
      </c>
      <c r="CZ37" s="59">
        <f t="shared" si="42"/>
        <v>258.2857172412098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3.154521348881167</v>
      </c>
      <c r="DG37" s="21">
        <f>EXP(-LN(2)/25)*DG36+(1-EXP(-LN(2)/25))/(LN(2)/25)*Calculateur!DB37*Calculateur!DD37*VLOOKUP('Données projet'!$B$13,Paramètres!$A$1:$I$89,3,0)*0.475*44/12</f>
        <v>12.016892134335011</v>
      </c>
      <c r="DH37" s="21">
        <f>EXP(-LN(2)/2)*DH36+(1-EXP(-LN(2)/2))/(LN(2)/2)*DB37*DE37*VLOOKUP('Données projet'!$B$13,Paramètres!$A$1:$I$89,3,0)*0.475*44/12</f>
        <v>2.3911047775312677</v>
      </c>
      <c r="DI37" s="22">
        <f t="shared" si="15"/>
        <v>17.562518260747446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21.354000000000003</v>
      </c>
      <c r="DO37" s="12">
        <f>IF('Données projet'!$A$166&gt;35,DO36+DN37-DW36,IF(A37&lt;'Données projet'!$A$166,$DL$205^A37,IF(A37='Données projet'!$A$166,'Données projet'!$B$166,DO36+DN37-DW36)))</f>
        <v>273.05800000000011</v>
      </c>
      <c r="DP37" s="17">
        <f>DO37*VLOOKUP('Données projet'!$B$14,Paramètres!$A$1:$I$89,3,0)*VLOOKUP('Données projet'!$B$14,Paramètres!$A$1:$I$89,5,0)</f>
        <v>163.28868400000007</v>
      </c>
      <c r="DQ37" s="13">
        <f t="shared" si="43"/>
        <v>41.583406626001775</v>
      </c>
      <c r="DR37" s="20">
        <f t="shared" si="16"/>
        <v>356.81889117361993</v>
      </c>
      <c r="DS37" s="59">
        <f t="shared" si="17"/>
        <v>639.02904609528537</v>
      </c>
      <c r="DT37" s="59">
        <f ca="1">AVERAGE(OFFSET($DS$3,0,0,'Données projet'!$E$14+1,1))-AVERAGE(OFFSET($H$3,0,0,'Données projet'!$E$14+1,1))</f>
        <v>443.64905827069435</v>
      </c>
      <c r="DU37" s="59">
        <f t="shared" si="44"/>
        <v>381.14782516862385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6.8746049158493259</v>
      </c>
      <c r="EB37" s="21">
        <f>EXP(-LN(2)/25)*EB36+(1-EXP(-LN(2)/25))/(LN(2)/25)*Calculateur!DW37*Calculateur!DY37*VLOOKUP('Données projet'!$B$14,Paramètres!$A$1:$I$89,3,0)*0.475*44/12</f>
        <v>14.481401817434639</v>
      </c>
      <c r="EC37" s="21">
        <f>EXP(-LN(2)/2)*EC36+(1-EXP(-LN(2)/2))/(LN(2)/2)*DW37*DZ37*VLOOKUP('Données projet'!$B$14,Paramètres!$A$1:$I$89,3,0)*0.475*44/12</f>
        <v>4.0293715460767219</v>
      </c>
      <c r="ED37" s="22">
        <f t="shared" si="18"/>
        <v>25.385378279360687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10.6</v>
      </c>
      <c r="EJ37" s="12">
        <f>IF('Données projet'!$A$192&gt;35,EJ36+EI37-ER36,IF(A37&lt;'Données projet'!$A$192,$EG$205^A37,IF(A37='Données projet'!$A$192,'Données projet'!$B$192,EJ36+EI37-ER36)))</f>
        <v>308.39999999999992</v>
      </c>
      <c r="EK37" s="17">
        <f>EJ37*VLOOKUP('Données projet'!$B$15,Paramètres!$A$1:$I$89,3,0)*VLOOKUP('Données projet'!$B$15,Paramètres!$A$1:$I$89,5,0)</f>
        <v>279.04031999999989</v>
      </c>
      <c r="EL37" s="13">
        <f t="shared" si="45"/>
        <v>66.764160402487647</v>
      </c>
      <c r="EM37" s="20">
        <f t="shared" si="19"/>
        <v>602.27613670099913</v>
      </c>
      <c r="EN37" s="59">
        <f t="shared" si="20"/>
        <v>884.48629162266457</v>
      </c>
      <c r="EO37" s="59">
        <f ca="1">AVERAGE(OFFSET($EN$3,0,0,'Données projet'!$E$15+1,1))-AVERAGE(OFFSET($H$3,0,0,'Données projet'!$E$15+1,1))</f>
        <v>504.37890861635196</v>
      </c>
      <c r="EP37" s="59">
        <f t="shared" si="46"/>
        <v>611.82129317522913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1.4415206648826666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1.4415206648826666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</v>
      </c>
      <c r="FE37" s="12">
        <f>IF('Données projet'!$A$218&gt;35,FE36+FD37-FM36,IF(A37&lt;'Données projet'!$A$218,$FB$205^A37,IF(A37='Données projet'!$A$218,'Données projet'!$B$218,FE36+FD37-FM36)))</f>
        <v>73.999999999999986</v>
      </c>
      <c r="FF37" s="17">
        <f>FE37*VLOOKUP('Données projet'!$B$16,Paramètres!$A$1:$I$89,3,0)*VLOOKUP('Données projet'!$B$16,Paramètres!$A$1:$I$89,5,0)</f>
        <v>79.653599999999983</v>
      </c>
      <c r="FG37" s="13">
        <f t="shared" si="47"/>
        <v>22.052466149308238</v>
      </c>
      <c r="FH37" s="20">
        <f t="shared" si="22"/>
        <v>177.13806521004514</v>
      </c>
      <c r="FI37" s="59">
        <f t="shared" si="23"/>
        <v>459.3482201317106</v>
      </c>
      <c r="FJ37" s="59">
        <f ca="1">AVERAGE(OFFSET($FI$3,0,0,'Données projet'!$E$16+1,1))-AVERAGE(OFFSET($H$3,0,0,'Données projet'!$E$16+1,1))</f>
        <v>334.01098870576732</v>
      </c>
      <c r="FK37" s="59">
        <f t="shared" si="48"/>
        <v>171.1802153303471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161.20000000000002</v>
      </c>
      <c r="GA37" s="17">
        <f>FZ37*VLOOKUP('Données projet'!$B$17,Paramètres!$A$1:$I$89,3,0)*VLOOKUP('Données projet'!$B$17,Paramètres!$A$1:$I$89,5,0)</f>
        <v>140.82432000000003</v>
      </c>
      <c r="GB37" s="13">
        <f t="shared" si="49"/>
        <v>36.485781060837802</v>
      </c>
      <c r="GC37" s="20">
        <f t="shared" si="25"/>
        <v>308.81509268095925</v>
      </c>
      <c r="GD37" s="59">
        <f t="shared" si="26"/>
        <v>591.02524760262463</v>
      </c>
      <c r="GE37" s="59">
        <f ca="1">AVERAGE(OFFSET($GD$3,0,0,'Données projet'!$E$17+1,1))-AVERAGE(OFFSET($H$3,0,0,'Données projet'!$E$17+1,1))</f>
        <v>330.12856974146598</v>
      </c>
      <c r="GF37" s="59">
        <f t="shared" si="50"/>
        <v>321.23368446552286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2.6480135573476824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2.6480135573476824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66.966405887726935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8</v>
      </c>
      <c r="GU37" s="12">
        <f>IF('Données projet'!$A$270&gt;35,GU36+GT37-HC36,IF(A37&lt;'Données projet'!$A$270,$GR$205^A37,IF(A37='Données projet'!$A$270,'Données projet'!$B$270,GU36+GT37-HC36)))</f>
        <v>108</v>
      </c>
      <c r="GV37" s="17">
        <f>GU37*VLOOKUP('Données projet'!$B$18,Paramètres!$A$1:$I$89,3,0)*VLOOKUP('Données projet'!$B$18,Paramètres!$A$1:$I$89,5,0)</f>
        <v>72.446399999999997</v>
      </c>
      <c r="GW37" s="13">
        <f t="shared" si="51"/>
        <v>20.279764978841872</v>
      </c>
      <c r="GX37" s="20">
        <f t="shared" si="28"/>
        <v>161.49807067148291</v>
      </c>
      <c r="GY37" s="59">
        <f t="shared" si="29"/>
        <v>443.70822559314831</v>
      </c>
      <c r="GZ37" s="59">
        <f ca="1">AVERAGE(OFFSET($GY$3,0,0,'Données projet'!$E$18+1,1))-AVERAGE(OFFSET($H$3,0,0,'Données projet'!$E$18+1,1))</f>
        <v>296.67751292332753</v>
      </c>
      <c r="HA37" s="59">
        <f t="shared" si="52"/>
        <v>197.99510031603018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1.1000000000000001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4.0333333333333341</v>
      </c>
      <c r="H38" s="67">
        <f t="shared" si="1"/>
        <v>240.5333333333333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147.00000000000003</v>
      </c>
      <c r="O38" s="13">
        <f>N38*VLOOKUP('Données projet'!$B$9,Paramètres!$A$1:$I$89,3,0)*VLOOKUP('Données projet'!$B$9,Paramètres!$A$1:$I$89,5,0)</f>
        <v>133.00560000000002</v>
      </c>
      <c r="P38" s="13">
        <f t="shared" si="33"/>
        <v>34.689938673073549</v>
      </c>
      <c r="Q38" s="20">
        <f t="shared" si="53"/>
        <v>292.06972985560316</v>
      </c>
      <c r="R38" s="59">
        <f t="shared" si="0"/>
        <v>574.47284705500954</v>
      </c>
      <c r="S38" s="59">
        <f ca="1">AVERAGE(OFFSET($R$3,0,0,'Données projet'!$E$9+1,1))-AVERAGE(OFFSET($H$3,0,0,'Données projet'!$E$9+1,1))</f>
        <v>461.20962581398715</v>
      </c>
      <c r="T38" s="59">
        <f t="shared" si="34"/>
        <v>348.44322874953923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147.00000000000003</v>
      </c>
      <c r="AJ38" s="13">
        <f>AI38*VLOOKUP('Données projet'!$B$10,Paramètres!$A$1:$I$89,3,0)*VLOOKUP('Données projet'!$B$10,Paramètres!$A$1:$I$89,5,0)</f>
        <v>149.05800000000005</v>
      </c>
      <c r="AK38" s="13">
        <f t="shared" si="35"/>
        <v>38.364434314370335</v>
      </c>
      <c r="AL38" s="20">
        <f t="shared" si="4"/>
        <v>326.42740643086177</v>
      </c>
      <c r="AM38" s="59">
        <f t="shared" si="5"/>
        <v>608.83052363026809</v>
      </c>
      <c r="AN38" s="59">
        <f ca="1">AVERAGE(OFFSET($AM$3,0,0,'Données projet'!$E$10+1,1))-AVERAGE(OFFSET($H$3,0,0,'Données projet'!$E$10+1,1))</f>
        <v>510.86584023875525</v>
      </c>
      <c r="AO38" s="59">
        <f t="shared" si="36"/>
        <v>384.62921487244125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139</v>
      </c>
      <c r="BB38" s="12">
        <f>VLOOKUP(A38,'Données projet'!$A$87:$I$107,9,0)</f>
        <v>10.199999999999999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139</v>
      </c>
      <c r="BE38" s="13">
        <f>BD38*VLOOKUP('Données projet'!$B$11,Paramètres!$A$1:$I$89,3,0)*VLOOKUP('Données projet'!$B$11,Paramètres!$A$1:$I$89,5,0)</f>
        <v>101.9148</v>
      </c>
      <c r="BF38" s="13">
        <f t="shared" si="37"/>
        <v>27.417667462779292</v>
      </c>
      <c r="BG38" s="20">
        <f t="shared" si="7"/>
        <v>225.25404749767389</v>
      </c>
      <c r="BH38" s="59">
        <f t="shared" si="8"/>
        <v>507.65716469708025</v>
      </c>
      <c r="BI38" s="59">
        <f ca="1">AVERAGE(OFFSET($BH$3,0,0,'Données projet'!$E$11+1,1))-AVERAGE(OFFSET($H$3,0,0,'Données projet'!$E$11+1,1))</f>
        <v>201.7253431547006</v>
      </c>
      <c r="BJ38" s="59">
        <f t="shared" si="38"/>
        <v>229.70004720044096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8.6000000000000007E-2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1.9517583645147305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1.9517583645147305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360</v>
      </c>
      <c r="BW38" s="12">
        <f>VLOOKUP(A38,'Données projet'!$A$113:$I$133,9,0)</f>
        <v>25.2</v>
      </c>
      <c r="BX38" s="12">
        <f t="array" ref="BX38">INDEX(BW:BW,MIN(IF(ISNUMBER(BW38:BW234),ROW(BW38:BW234),"")))</f>
        <v>25.2</v>
      </c>
      <c r="BY38" s="12">
        <f>IF('Données projet'!$A$114&gt;35,BY37+BX38-CG37,IF(A38&lt;'Données projet'!$A$114,$BV$205^A38,IF(A38='Données projet'!$A$114,'Données projet'!$B$114,BY37+BX38-CG37)))</f>
        <v>359.99999999999989</v>
      </c>
      <c r="BZ38" s="13">
        <f>BY38*VLOOKUP('Données projet'!$B$12,Paramètres!$A$1:$I$89,3,0)*VLOOKUP('Données projet'!$B$12,Paramètres!$A$1:$I$89,5,0)</f>
        <v>201.23999999999995</v>
      </c>
      <c r="CA38" s="13">
        <f t="shared" si="39"/>
        <v>50.016584086333225</v>
      </c>
      <c r="CB38" s="20">
        <f t="shared" si="10"/>
        <v>437.60521728369696</v>
      </c>
      <c r="CC38" s="59">
        <f t="shared" si="11"/>
        <v>720.00833448310334</v>
      </c>
      <c r="CD38" s="59">
        <f ca="1">AVERAGE(OFFSET($CC$3,0,0,'Données projet'!$E$12+1,1))-AVERAGE(OFFSET($H$3,0,0,'Données projet'!$E$12+1,1))</f>
        <v>462.09240749760784</v>
      </c>
      <c r="CE38" s="59">
        <f t="shared" si="40"/>
        <v>403.52202223463337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63</v>
      </c>
      <c r="CH38" s="16">
        <f>IF(ISNA(VLOOKUP(A38,'Données projet'!$A$113:$I$133,5,0)),0%,VLOOKUP(A38,'Données projet'!$A$113:$I$133,5,0)*VLOOKUP('Données projet'!$B$12,Paramètres!$A$1:$I$89,7,0))</f>
        <v>0.33</v>
      </c>
      <c r="CI38" s="16">
        <f>IF(ISNA(VLOOKUP(A38,'Données projet'!$A$113:$I$133,6,0)),0%,VLOOKUP(A38,'Données projet'!$A$113:$I$133,6,0)*VLOOKUP('Données projet'!$B$12,Paramètres!$A$1:$I$89,7,0))</f>
        <v>0.12100000000000001</v>
      </c>
      <c r="CJ38" s="16">
        <f>IF(ISNA(VLOOKUP(A38,'Données projet'!$A$113:$I$133,7,0)),0%,VLOOKUP(A38,'Données projet'!$A$113:$I$133,7,0))</f>
        <v>0.18</v>
      </c>
      <c r="CK38" s="21">
        <f>EXP(-LN(2)/35)*CK37+(1-EXP(-LN(2)/35))/(LN(2)/35)*CG38*CH38*VLOOKUP('Données projet'!$B$12,Paramètres!$A$1:$I$89,3,0)*0.475*44/12</f>
        <v>48.708503070350382</v>
      </c>
      <c r="CL38" s="21">
        <f>EXP(-LN(2)/25)*CL37+(1-EXP(-LN(2)/25))/(LN(2)/25)*Calculateur!CG38*Calculateur!CI38*VLOOKUP('Données projet'!$B$12,Paramètres!$A$1:$I$89,3,0)*0.475*44/12</f>
        <v>23.909216013894824</v>
      </c>
      <c r="CM38" s="21">
        <f>EXP(-LN(2)/2)*CM37+(1-EXP(-LN(2)/2))/(LN(2)/2)*CG38*CJ38*VLOOKUP('Données projet'!$B$12,Paramètres!$A$1:$I$89,3,0)*0.475*44/12</f>
        <v>8.7820124656246339</v>
      </c>
      <c r="CN38" s="22">
        <f t="shared" si="12"/>
        <v>81.399731549869841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14</v>
      </c>
      <c r="CT38" s="12">
        <f>IF('Données projet'!$A$140&gt;35,CT37+CS38-DB37,IF(A38&lt;'Données projet'!$A$140,$CQ$205^A38,IF(A38='Données projet'!$A$140,'Données projet'!$B$140,CT37+CS38-DB37)))</f>
        <v>230</v>
      </c>
      <c r="CU38" s="17">
        <f>CT38*VLOOKUP('Données projet'!$B$13,Paramètres!$A$1:$I$89,3,0)*VLOOKUP('Données projet'!$B$13,Paramètres!$A$1:$I$89,5,0)</f>
        <v>107.64</v>
      </c>
      <c r="CV38" s="13">
        <f t="shared" si="41"/>
        <v>28.774250263353583</v>
      </c>
      <c r="CW38" s="20">
        <f t="shared" si="13"/>
        <v>237.58815254200749</v>
      </c>
      <c r="CX38" s="59">
        <f t="shared" si="14"/>
        <v>519.99126974141382</v>
      </c>
      <c r="CY38" s="59">
        <f ca="1">AVERAGE(OFFSET($CX$3,0,0,'Données projet'!$E$13+1,1))-AVERAGE(OFFSET($H$3,0,0,'Données projet'!$E$13+1,1))</f>
        <v>319.88925869887464</v>
      </c>
      <c r="CZ38" s="59">
        <f t="shared" si="42"/>
        <v>258.2857172412098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3.0926631092976442</v>
      </c>
      <c r="DG38" s="21">
        <f>EXP(-LN(2)/25)*DG37+(1-EXP(-LN(2)/25))/(LN(2)/25)*Calculateur!DB38*Calculateur!DD38*VLOOKUP('Données projet'!$B$13,Paramètres!$A$1:$I$89,3,0)*0.475*44/12</f>
        <v>11.688289586980728</v>
      </c>
      <c r="DH38" s="21">
        <f>EXP(-LN(2)/2)*DH37+(1-EXP(-LN(2)/2))/(LN(2)/2)*DB38*DE38*VLOOKUP('Données projet'!$B$13,Paramètres!$A$1:$I$89,3,0)*0.475*44/12</f>
        <v>1.6907664027199105</v>
      </c>
      <c r="DI38" s="22">
        <f t="shared" si="15"/>
        <v>16.471719098998282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21.354000000000003</v>
      </c>
      <c r="DO38" s="12">
        <f>IF('Données projet'!$A$166&gt;35,DO37+DN38-DW37,IF(A38&lt;'Données projet'!$A$166,$DL$205^A38,IF(A38='Données projet'!$A$166,'Données projet'!$B$166,DO37+DN38-DW37)))</f>
        <v>294.41200000000009</v>
      </c>
      <c r="DP38" s="17">
        <f>DO38*VLOOKUP('Données projet'!$B$14,Paramètres!$A$1:$I$89,3,0)*VLOOKUP('Données projet'!$B$14,Paramètres!$A$1:$I$89,5,0)</f>
        <v>176.05837600000007</v>
      </c>
      <c r="DQ38" s="13">
        <f t="shared" si="43"/>
        <v>44.444120610316297</v>
      </c>
      <c r="DR38" s="20">
        <f t="shared" si="16"/>
        <v>384.04184826296768</v>
      </c>
      <c r="DS38" s="59">
        <f t="shared" si="17"/>
        <v>666.44496546237406</v>
      </c>
      <c r="DT38" s="59">
        <f ca="1">AVERAGE(OFFSET($DS$3,0,0,'Données projet'!$E$14+1,1))-AVERAGE(OFFSET($H$3,0,0,'Données projet'!$E$14+1,1))</f>
        <v>443.64905827069435</v>
      </c>
      <c r="DU38" s="59">
        <f t="shared" si="44"/>
        <v>381.14782516862385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6.7397981065444856</v>
      </c>
      <c r="EB38" s="21">
        <f>EXP(-LN(2)/25)*EB37+(1-EXP(-LN(2)/25))/(LN(2)/25)*Calculateur!DW38*Calculateur!DY38*VLOOKUP('Données projet'!$B$14,Paramètres!$A$1:$I$89,3,0)*0.475*44/12</f>
        <v>14.085407123193065</v>
      </c>
      <c r="EC38" s="21">
        <f>EXP(-LN(2)/2)*EC37+(1-EXP(-LN(2)/2))/(LN(2)/2)*DW38*DZ38*VLOOKUP('Données projet'!$B$14,Paramètres!$A$1:$I$89,3,0)*0.475*44/12</f>
        <v>2.8491959441509733</v>
      </c>
      <c r="ED38" s="22">
        <f t="shared" si="18"/>
        <v>23.674401173888523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319</v>
      </c>
      <c r="EH38" s="12">
        <f>VLOOKUP(A38,'Données projet'!$A$191:$I$211,9,0)</f>
        <v>10.6</v>
      </c>
      <c r="EI38" s="12">
        <f t="array" ref="EI38">INDEX(EH:EH,MIN(IF(ISNUMBER(EH38:EH234),ROW(EH38:EH234),"")))</f>
        <v>10.6</v>
      </c>
      <c r="EJ38" s="12">
        <f>IF('Données projet'!$A$192&gt;35,EJ37+EI38-ER37,IF(A38&lt;'Données projet'!$A$192,$EG$205^A38,IF(A38='Données projet'!$A$192,'Données projet'!$B$192,EJ37+EI38-ER37)))</f>
        <v>318.99999999999994</v>
      </c>
      <c r="EK38" s="17">
        <f>EJ38*VLOOKUP('Données projet'!$B$15,Paramètres!$A$1:$I$89,3,0)*VLOOKUP('Données projet'!$B$15,Paramètres!$A$1:$I$89,5,0)</f>
        <v>288.63119999999992</v>
      </c>
      <c r="EL38" s="13">
        <f t="shared" si="45"/>
        <v>68.787794100289204</v>
      </c>
      <c r="EM38" s="20">
        <f t="shared" si="19"/>
        <v>622.50474805800354</v>
      </c>
      <c r="EN38" s="59">
        <f t="shared" si="20"/>
        <v>904.90786525740987</v>
      </c>
      <c r="EO38" s="59">
        <f ca="1">AVERAGE(OFFSET($EN$3,0,0,'Données projet'!$E$15+1,1))-AVERAGE(OFFSET($H$3,0,0,'Données projet'!$E$15+1,1))</f>
        <v>504.37890861635196</v>
      </c>
      <c r="EP38" s="59">
        <f t="shared" si="46"/>
        <v>611.82129317522913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23</v>
      </c>
      <c r="ES38" s="16">
        <f>IF(ISNA(VLOOKUP(A38,'Données projet'!$A$191:$I$211,5,0)),0%,VLOOKUP(A38,'Données projet'!$A$191:$I$211,5,0)*VLOOKUP('Données projet'!$B$15,Paramètres!$A$1:$I$89,7,0))</f>
        <v>0.06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2.7935701710590557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2.7935701710590557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79</v>
      </c>
      <c r="FC38" s="12">
        <f>VLOOKUP(A38,'Données projet'!$A$217:$I$237,9,0)</f>
        <v>5</v>
      </c>
      <c r="FD38" s="12">
        <f t="array" ref="FD38">INDEX(FC:FC,MIN(IF(ISNUMBER(FC38:FC234),ROW(FC38:FC234),"")))</f>
        <v>5</v>
      </c>
      <c r="FE38" s="12">
        <f>IF('Données projet'!$A$218&gt;35,FE37+FD38-FM37,IF(A38&lt;'Données projet'!$A$218,$FB$205^A38,IF(A38='Données projet'!$A$218,'Données projet'!$B$218,FE37+FD38-FM37)))</f>
        <v>78.999999999999986</v>
      </c>
      <c r="FF38" s="17">
        <f>FE38*VLOOKUP('Données projet'!$B$16,Paramètres!$A$1:$I$89,3,0)*VLOOKUP('Données projet'!$B$16,Paramètres!$A$1:$I$89,5,0)</f>
        <v>85.035599999999974</v>
      </c>
      <c r="FG38" s="13">
        <f t="shared" si="47"/>
        <v>23.364006286119412</v>
      </c>
      <c r="FH38" s="20">
        <f t="shared" si="22"/>
        <v>188.79598094832463</v>
      </c>
      <c r="FI38" s="59">
        <f t="shared" si="23"/>
        <v>471.19909814773098</v>
      </c>
      <c r="FJ38" s="59">
        <f ca="1">AVERAGE(OFFSET($FI$3,0,0,'Données projet'!$E$16+1,1))-AVERAGE(OFFSET($H$3,0,0,'Données projet'!$E$16+1,1))</f>
        <v>334.01098870576732</v>
      </c>
      <c r="FK38" s="59">
        <f t="shared" si="48"/>
        <v>171.1802153303471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13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172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172.00000000000003</v>
      </c>
      <c r="GA38" s="17">
        <f>FZ38*VLOOKUP('Données projet'!$B$17,Paramètres!$A$1:$I$89,3,0)*VLOOKUP('Données projet'!$B$17,Paramètres!$A$1:$I$89,5,0)</f>
        <v>150.25920000000005</v>
      </c>
      <c r="GB38" s="13">
        <f t="shared" si="49"/>
        <v>38.637483830798729</v>
      </c>
      <c r="GC38" s="20">
        <f t="shared" si="25"/>
        <v>328.99505767197456</v>
      </c>
      <c r="GD38" s="59">
        <f t="shared" si="26"/>
        <v>611.39817487138089</v>
      </c>
      <c r="GE38" s="59">
        <f ca="1">AVERAGE(OFFSET($GD$3,0,0,'Données projet'!$E$17+1,1))-AVERAGE(OFFSET($H$3,0,0,'Données projet'!$E$17+1,1))</f>
        <v>330.12856974146598</v>
      </c>
      <c r="GF38" s="59">
        <f t="shared" si="50"/>
        <v>321.23368446552286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0.10600000000000001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5.4624007517429209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5.4624007517429209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67.019031963474475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116</v>
      </c>
      <c r="GS38" s="12">
        <f>VLOOKUP(A38,'Données projet'!$A$269:$I$289,9,0)</f>
        <v>8</v>
      </c>
      <c r="GT38" s="12">
        <f t="array" ref="GT38">INDEX(GS:GS,MIN(IF(ISNUMBER(GS38:GS234),ROW(GS38:GS234),"")))</f>
        <v>8</v>
      </c>
      <c r="GU38" s="12">
        <f>IF('Données projet'!$A$270&gt;35,GU37+GT38-HC37,IF(A38&lt;'Données projet'!$A$270,$GR$205^A38,IF(A38='Données projet'!$A$270,'Données projet'!$B$270,GU37+GT38-HC37)))</f>
        <v>116</v>
      </c>
      <c r="GV38" s="17">
        <f>GU38*VLOOKUP('Données projet'!$B$18,Paramètres!$A$1:$I$89,3,0)*VLOOKUP('Données projet'!$B$18,Paramètres!$A$1:$I$89,5,0)</f>
        <v>77.81280000000001</v>
      </c>
      <c r="GW38" s="13">
        <f t="shared" si="51"/>
        <v>21.601542634761511</v>
      </c>
      <c r="GX38" s="20">
        <f t="shared" si="28"/>
        <v>173.14664675554297</v>
      </c>
      <c r="GY38" s="59">
        <f t="shared" si="29"/>
        <v>455.54976395494936</v>
      </c>
      <c r="GZ38" s="59">
        <f ca="1">AVERAGE(OFFSET($GY$3,0,0,'Données projet'!$E$18+1,1))-AVERAGE(OFFSET($H$3,0,0,'Données projet'!$E$18+1,1))</f>
        <v>296.67751292332753</v>
      </c>
      <c r="HA38" s="59">
        <f t="shared" si="52"/>
        <v>197.99510031603018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21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1.1000000000000001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4.0333333333333341</v>
      </c>
      <c r="H39" s="67">
        <f t="shared" si="1"/>
        <v>240.5333333333333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130.20000000000002</v>
      </c>
      <c r="O39" s="13">
        <f>N39*VLOOKUP('Données projet'!$B$9,Paramètres!$A$1:$I$89,3,0)*VLOOKUP('Données projet'!$B$9,Paramètres!$A$1:$I$89,5,0)</f>
        <v>117.80496000000001</v>
      </c>
      <c r="P39" s="13">
        <f t="shared" si="33"/>
        <v>31.162493487829593</v>
      </c>
      <c r="Q39" s="20">
        <f t="shared" si="53"/>
        <v>259.45164815796988</v>
      </c>
      <c r="R39" s="59">
        <f t="shared" si="0"/>
        <v>542.04438017099756</v>
      </c>
      <c r="S39" s="59">
        <f ca="1">AVERAGE(OFFSET($R$3,0,0,'Données projet'!$E$9+1,1))-AVERAGE(OFFSET($H$3,0,0,'Données projet'!$E$9+1,1))</f>
        <v>461.20962581398715</v>
      </c>
      <c r="T39" s="59">
        <f t="shared" si="34"/>
        <v>348.44322874953923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130.20000000000002</v>
      </c>
      <c r="AJ39" s="13">
        <f>AI39*VLOOKUP('Données projet'!$B$10,Paramètres!$A$1:$I$89,3,0)*VLOOKUP('Données projet'!$B$10,Paramètres!$A$1:$I$89,5,0)</f>
        <v>132.02280000000002</v>
      </c>
      <c r="AK39" s="13">
        <f t="shared" si="35"/>
        <v>34.463348169992798</v>
      </c>
      <c r="AL39" s="20">
        <f t="shared" si="4"/>
        <v>289.96337472940417</v>
      </c>
      <c r="AM39" s="59">
        <f t="shared" si="5"/>
        <v>572.55610674243178</v>
      </c>
      <c r="AN39" s="59">
        <f ca="1">AVERAGE(OFFSET($AM$3,0,0,'Données projet'!$E$10+1,1))-AVERAGE(OFFSET($H$3,0,0,'Données projet'!$E$10+1,1))</f>
        <v>510.86584023875525</v>
      </c>
      <c r="AO39" s="59">
        <f t="shared" si="36"/>
        <v>384.62921487244125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10.4</v>
      </c>
      <c r="BD39" s="12">
        <f>IF('Données projet'!$A$88&gt;35,BD38+BC39-BL38,IF(A39&lt;'Données projet'!$A$88,$BA$205^A39,IF(A39='Données projet'!$A$88,'Données projet'!$B$88,BD38+BC39-BL38)))</f>
        <v>121.4</v>
      </c>
      <c r="BE39" s="13">
        <f>BD39*VLOOKUP('Données projet'!$B$11,Paramètres!$A$1:$I$89,3,0)*VLOOKUP('Données projet'!$B$11,Paramètres!$A$1:$I$89,5,0)</f>
        <v>89.010480000000001</v>
      </c>
      <c r="BF39" s="13">
        <f t="shared" si="37"/>
        <v>24.326423260408991</v>
      </c>
      <c r="BG39" s="20">
        <f t="shared" si="7"/>
        <v>197.39510651187899</v>
      </c>
      <c r="BH39" s="59">
        <f t="shared" si="8"/>
        <v>479.98783852490658</v>
      </c>
      <c r="BI39" s="59">
        <f ca="1">AVERAGE(OFFSET($BH$3,0,0,'Données projet'!$E$11+1,1))-AVERAGE(OFFSET($H$3,0,0,'Données projet'!$E$11+1,1))</f>
        <v>201.7253431547006</v>
      </c>
      <c r="BJ39" s="59">
        <f t="shared" si="38"/>
        <v>229.70004720044096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1.9134855734416514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1.9134855734416514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23.4</v>
      </c>
      <c r="BY39" s="12">
        <f>IF('Données projet'!$A$114&gt;35,BY38+BX39-CG38,IF(A39&lt;'Données projet'!$A$114,$BV$205^A39,IF(A39='Données projet'!$A$114,'Données projet'!$B$114,BY38+BX39-CG38)))</f>
        <v>320.39999999999986</v>
      </c>
      <c r="BZ39" s="13">
        <f>BY39*VLOOKUP('Données projet'!$B$12,Paramètres!$A$1:$I$89,3,0)*VLOOKUP('Données projet'!$B$12,Paramètres!$A$1:$I$89,5,0)</f>
        <v>179.10359999999991</v>
      </c>
      <c r="CA39" s="13">
        <f t="shared" si="39"/>
        <v>45.122695771635883</v>
      </c>
      <c r="CB39" s="20">
        <f t="shared" si="10"/>
        <v>390.52746513559896</v>
      </c>
      <c r="CC39" s="59">
        <f t="shared" si="11"/>
        <v>673.12019714862663</v>
      </c>
      <c r="CD39" s="59">
        <f ca="1">AVERAGE(OFFSET($CC$3,0,0,'Données projet'!$E$12+1,1))-AVERAGE(OFFSET($H$3,0,0,'Données projet'!$E$12+1,1))</f>
        <v>462.09240749760784</v>
      </c>
      <c r="CE39" s="59">
        <f t="shared" si="40"/>
        <v>403.52202223463337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47.753359034394137</v>
      </c>
      <c r="CL39" s="21">
        <f>EXP(-LN(2)/25)*CL38+(1-EXP(-LN(2)/25))/(LN(2)/25)*Calculateur!CG39*Calculateur!CI39*VLOOKUP('Données projet'!$B$12,Paramètres!$A$1:$I$89,3,0)*0.475*44/12</f>
        <v>23.255417244663846</v>
      </c>
      <c r="CM39" s="21">
        <f>EXP(-LN(2)/2)*CM38+(1-EXP(-LN(2)/2))/(LN(2)/2)*CG39*CJ39*VLOOKUP('Données projet'!$B$12,Paramètres!$A$1:$I$89,3,0)*0.475*44/12</f>
        <v>6.2098205669079709</v>
      </c>
      <c r="CN39" s="22">
        <f t="shared" si="12"/>
        <v>77.218596845965948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</v>
      </c>
      <c r="CT39" s="12">
        <f>IF('Données projet'!$A$140&gt;35,CT38+CS39-DB38,IF(A39&lt;'Données projet'!$A$140,$CQ$205^A39,IF(A39='Données projet'!$A$140,'Données projet'!$B$140,CT38+CS39-DB38)))</f>
        <v>244</v>
      </c>
      <c r="CU39" s="17">
        <f>CT39*VLOOKUP('Données projet'!$B$13,Paramètres!$A$1:$I$89,3,0)*VLOOKUP('Données projet'!$B$13,Paramètres!$A$1:$I$89,5,0)</f>
        <v>114.19200000000001</v>
      </c>
      <c r="CV39" s="13">
        <f t="shared" si="41"/>
        <v>30.316492326242802</v>
      </c>
      <c r="CW39" s="20">
        <f t="shared" si="13"/>
        <v>251.68562413487288</v>
      </c>
      <c r="CX39" s="59">
        <f t="shared" si="14"/>
        <v>534.27835614790047</v>
      </c>
      <c r="CY39" s="59">
        <f ca="1">AVERAGE(OFFSET($CX$3,0,0,'Données projet'!$E$13+1,1))-AVERAGE(OFFSET($H$3,0,0,'Données projet'!$E$13+1,1))</f>
        <v>319.88925869887464</v>
      </c>
      <c r="CZ39" s="59">
        <f t="shared" si="42"/>
        <v>258.2857172412098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3.0320178720625535</v>
      </c>
      <c r="DG39" s="21">
        <f>EXP(-LN(2)/25)*DG38+(1-EXP(-LN(2)/25))/(LN(2)/25)*Calculateur!DB39*Calculateur!DD39*VLOOKUP('Données projet'!$B$13,Paramètres!$A$1:$I$89,3,0)*0.475*44/12</f>
        <v>11.368672693564305</v>
      </c>
      <c r="DH39" s="21">
        <f>EXP(-LN(2)/2)*DH38+(1-EXP(-LN(2)/2))/(LN(2)/2)*DB39*DE39*VLOOKUP('Données projet'!$B$13,Paramètres!$A$1:$I$89,3,0)*0.475*44/12</f>
        <v>1.1955523887656339</v>
      </c>
      <c r="DI39" s="22">
        <f t="shared" si="15"/>
        <v>15.596242954392492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21.354000000000003</v>
      </c>
      <c r="DO39" s="12">
        <f>IF('Données projet'!$A$166&gt;35,DO38+DN39-DW38,IF(A39&lt;'Données projet'!$A$166,$DL$205^A39,IF(A39='Données projet'!$A$166,'Données projet'!$B$166,DO38+DN39-DW38)))</f>
        <v>315.76600000000008</v>
      </c>
      <c r="DP39" s="17">
        <f>DO39*VLOOKUP('Données projet'!$B$14,Paramètres!$A$1:$I$89,3,0)*VLOOKUP('Données projet'!$B$14,Paramètres!$A$1:$I$89,5,0)</f>
        <v>188.82806800000006</v>
      </c>
      <c r="DQ39" s="13">
        <f t="shared" si="43"/>
        <v>47.280762100017121</v>
      </c>
      <c r="DR39" s="20">
        <f t="shared" si="16"/>
        <v>411.22287909086322</v>
      </c>
      <c r="DS39" s="59">
        <f t="shared" si="17"/>
        <v>693.81561110389089</v>
      </c>
      <c r="DT39" s="59">
        <f ca="1">AVERAGE(OFFSET($DS$3,0,0,'Données projet'!$E$14+1,1))-AVERAGE(OFFSET($H$3,0,0,'Données projet'!$E$14+1,1))</f>
        <v>443.64905827069435</v>
      </c>
      <c r="DU39" s="59">
        <f t="shared" si="44"/>
        <v>381.14782516862385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6.6076347765460781</v>
      </c>
      <c r="EB39" s="21">
        <f>EXP(-LN(2)/25)*EB38+(1-EXP(-LN(2)/25))/(LN(2)/25)*Calculateur!DW39*Calculateur!DY39*VLOOKUP('Données projet'!$B$14,Paramètres!$A$1:$I$89,3,0)*0.475*44/12</f>
        <v>13.700240924689982</v>
      </c>
      <c r="EC39" s="21">
        <f>EXP(-LN(2)/2)*EC38+(1-EXP(-LN(2)/2))/(LN(2)/2)*DW39*DZ39*VLOOKUP('Données projet'!$B$14,Paramètres!$A$1:$I$89,3,0)*0.475*44/12</f>
        <v>2.0146857730383609</v>
      </c>
      <c r="ED39" s="22">
        <f t="shared" si="18"/>
        <v>22.322561474274423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9.4</v>
      </c>
      <c r="EJ39" s="12">
        <f>IF('Données projet'!$A$192&gt;35,EJ38+EI39-ER38,IF(A39&lt;'Données projet'!$A$192,$EG$205^A39,IF(A39='Données projet'!$A$192,'Données projet'!$B$192,EJ38+EI39-ER38)))</f>
        <v>305.39999999999992</v>
      </c>
      <c r="EK39" s="17">
        <f>EJ39*VLOOKUP('Données projet'!$B$15,Paramètres!$A$1:$I$89,3,0)*VLOOKUP('Données projet'!$B$15,Paramètres!$A$1:$I$89,5,0)</f>
        <v>276.32591999999994</v>
      </c>
      <c r="EL39" s="13">
        <f t="shared" si="45"/>
        <v>66.189974290480777</v>
      </c>
      <c r="EM39" s="20">
        <f t="shared" si="19"/>
        <v>596.54851588925396</v>
      </c>
      <c r="EN39" s="59">
        <f t="shared" si="20"/>
        <v>879.14124790228152</v>
      </c>
      <c r="EO39" s="59">
        <f ca="1">AVERAGE(OFFSET($EN$3,0,0,'Données projet'!$E$15+1,1))-AVERAGE(OFFSET($H$3,0,0,'Données projet'!$E$15+1,1))</f>
        <v>504.37890861635196</v>
      </c>
      <c r="EP39" s="59">
        <f t="shared" si="46"/>
        <v>611.82129317522913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2.7387899639141451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2.7387899639141451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5.4</v>
      </c>
      <c r="FE39" s="12">
        <f>IF('Données projet'!$A$218&gt;35,FE38+FD39-FM38,IF(A39&lt;'Données projet'!$A$218,$FB$205^A39,IF(A39='Données projet'!$A$218,'Données projet'!$B$218,FE38+FD39-FM38)))</f>
        <v>71.399999999999991</v>
      </c>
      <c r="FF39" s="17">
        <f>FE39*VLOOKUP('Données projet'!$B$16,Paramètres!$A$1:$I$89,3,0)*VLOOKUP('Données projet'!$B$16,Paramètres!$A$1:$I$89,5,0)</f>
        <v>76.854959999999991</v>
      </c>
      <c r="FG39" s="13">
        <f t="shared" si="47"/>
        <v>21.366419773799993</v>
      </c>
      <c r="FH39" s="20">
        <f t="shared" si="22"/>
        <v>171.06890310603498</v>
      </c>
      <c r="FI39" s="59">
        <f t="shared" si="23"/>
        <v>453.66163511906257</v>
      </c>
      <c r="FJ39" s="59">
        <f ca="1">AVERAGE(OFFSET($FI$3,0,0,'Données projet'!$E$16+1,1))-AVERAGE(OFFSET($H$3,0,0,'Données projet'!$E$16+1,1))</f>
        <v>334.01098870576732</v>
      </c>
      <c r="FK39" s="59">
        <f t="shared" si="48"/>
        <v>171.1802153303471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9.6</v>
      </c>
      <c r="FZ39" s="12">
        <f>IF('Données projet'!$A$244&gt;35,FZ38+FY39-GH38,IF(A39&lt;'Données projet'!$A$244,$FW$205^A39,IF(A39='Données projet'!$A$244,'Données projet'!$B$244,FZ38+FY39-GH38)))</f>
        <v>153.60000000000002</v>
      </c>
      <c r="GA39" s="17">
        <f>FZ39*VLOOKUP('Données projet'!$B$17,Paramètres!$A$1:$I$89,3,0)*VLOOKUP('Données projet'!$B$17,Paramètres!$A$1:$I$89,5,0)</f>
        <v>134.18496000000005</v>
      </c>
      <c r="GB39" s="13">
        <f t="shared" si="49"/>
        <v>34.961590270648216</v>
      </c>
      <c r="GC39" s="20">
        <f t="shared" si="25"/>
        <v>294.59690838804573</v>
      </c>
      <c r="GD39" s="59">
        <f t="shared" si="26"/>
        <v>577.18964040107335</v>
      </c>
      <c r="GE39" s="59">
        <f ca="1">AVERAGE(OFFSET($GD$3,0,0,'Données projet'!$E$17+1,1))-AVERAGE(OFFSET($H$3,0,0,'Données projet'!$E$17+1,1))</f>
        <v>330.12856974146598</v>
      </c>
      <c r="GF39" s="59">
        <f t="shared" si="50"/>
        <v>321.23368446552286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5.3552864047367192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5.3552864047367192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67.070745094462069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8.4</v>
      </c>
      <c r="GU39" s="12">
        <f>IF('Données projet'!$A$270&gt;35,GU38+GT39-HC38,IF(A39&lt;'Données projet'!$A$270,$GR$205^A39,IF(A39='Données projet'!$A$270,'Données projet'!$B$270,GU38+GT39-HC38)))</f>
        <v>103.4</v>
      </c>
      <c r="GV39" s="17">
        <f>GU39*VLOOKUP('Données projet'!$B$18,Paramètres!$A$1:$I$89,3,0)*VLOOKUP('Données projet'!$B$18,Paramètres!$A$1:$I$89,5,0)</f>
        <v>69.360720000000001</v>
      </c>
      <c r="GW39" s="13">
        <f t="shared" si="51"/>
        <v>19.514617146984691</v>
      </c>
      <c r="GX39" s="20">
        <f t="shared" si="28"/>
        <v>154.791212197665</v>
      </c>
      <c r="GY39" s="59">
        <f t="shared" si="29"/>
        <v>437.38394421069262</v>
      </c>
      <c r="GZ39" s="59">
        <f ca="1">AVERAGE(OFFSET($GY$3,0,0,'Données projet'!$E$18+1,1))-AVERAGE(OFFSET($H$3,0,0,'Données projet'!$E$18+1,1))</f>
        <v>296.67751292332753</v>
      </c>
      <c r="HA39" s="59">
        <f t="shared" si="52"/>
        <v>197.99510031603018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1.1000000000000001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4.0333333333333341</v>
      </c>
      <c r="H40" s="67">
        <f t="shared" si="1"/>
        <v>240.5333333333333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</v>
      </c>
      <c r="O40" s="13">
        <f>N40*VLOOKUP('Données projet'!$B$9,Paramètres!$A$1:$I$89,3,0)*VLOOKUP('Données projet'!$B$9,Paramètres!$A$1:$I$89,5,0)</f>
        <v>127.93872</v>
      </c>
      <c r="P40" s="13">
        <f t="shared" si="33"/>
        <v>33.519615889545641</v>
      </c>
      <c r="Q40" s="20">
        <f t="shared" si="53"/>
        <v>281.20660167429202</v>
      </c>
      <c r="R40" s="59">
        <f t="shared" si="0"/>
        <v>563.98565910783964</v>
      </c>
      <c r="S40" s="59">
        <f ca="1">AVERAGE(OFFSET($R$3,0,0,'Données projet'!$E$9+1,1))-AVERAGE(OFFSET($H$3,0,0,'Données projet'!$E$9+1,1))</f>
        <v>461.20962581398715</v>
      </c>
      <c r="T40" s="59">
        <f t="shared" si="34"/>
        <v>348.44322874953923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</v>
      </c>
      <c r="AJ40" s="13">
        <f>AI40*VLOOKUP('Données projet'!$B$10,Paramètres!$A$1:$I$89,3,0)*VLOOKUP('Données projet'!$B$10,Paramètres!$A$1:$I$89,5,0)</f>
        <v>143.37960000000001</v>
      </c>
      <c r="AK40" s="13">
        <f t="shared" si="35"/>
        <v>37.070146308317469</v>
      </c>
      <c r="AL40" s="20">
        <f t="shared" si="4"/>
        <v>314.28330815365297</v>
      </c>
      <c r="AM40" s="59">
        <f t="shared" si="5"/>
        <v>597.06236558720059</v>
      </c>
      <c r="AN40" s="59">
        <f ca="1">AVERAGE(OFFSET($AM$3,0,0,'Données projet'!$E$10+1,1))-AVERAGE(OFFSET($H$3,0,0,'Données projet'!$E$10+1,1))</f>
        <v>510.86584023875525</v>
      </c>
      <c r="AO40" s="59">
        <f t="shared" si="36"/>
        <v>384.62921487244125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10.4</v>
      </c>
      <c r="BD40" s="12">
        <f>IF('Données projet'!$A$88&gt;35,BD39+BC40-BL39,IF(A40&lt;'Données projet'!$A$88,$BA$205^A40,IF(A40='Données projet'!$A$88,'Données projet'!$B$88,BD39+BC40-BL39)))</f>
        <v>131.80000000000001</v>
      </c>
      <c r="BE40" s="13">
        <f>BD40*VLOOKUP('Données projet'!$B$11,Paramètres!$A$1:$I$89,3,0)*VLOOKUP('Données projet'!$B$11,Paramètres!$A$1:$I$89,5,0)</f>
        <v>96.635760000000005</v>
      </c>
      <c r="BF40" s="13">
        <f t="shared" si="37"/>
        <v>26.158924460752409</v>
      </c>
      <c r="BG40" s="20">
        <f t="shared" si="7"/>
        <v>213.86740876914379</v>
      </c>
      <c r="BH40" s="59">
        <f t="shared" si="8"/>
        <v>496.64646620269139</v>
      </c>
      <c r="BI40" s="59">
        <f ca="1">AVERAGE(OFFSET($BH$3,0,0,'Données projet'!$E$11+1,1))-AVERAGE(OFFSET($H$3,0,0,'Données projet'!$E$11+1,1))</f>
        <v>201.7253431547006</v>
      </c>
      <c r="BJ40" s="59">
        <f t="shared" si="38"/>
        <v>229.70004720044096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1.8759632884574178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1.8759632884574178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23.4</v>
      </c>
      <c r="BY40" s="12">
        <f>IF('Données projet'!$A$114&gt;35,BY39+BX40-CG39,IF(A40&lt;'Données projet'!$A$114,$BV$205^A40,IF(A40='Données projet'!$A$114,'Données projet'!$B$114,BY39+BX40-CG39)))</f>
        <v>343.79999999999984</v>
      </c>
      <c r="BZ40" s="13">
        <f>BY40*VLOOKUP('Données projet'!$B$12,Paramètres!$A$1:$I$89,3,0)*VLOOKUP('Données projet'!$B$12,Paramètres!$A$1:$I$89,5,0)</f>
        <v>192.18419999999989</v>
      </c>
      <c r="CA40" s="13">
        <f t="shared" si="39"/>
        <v>48.022526749587506</v>
      </c>
      <c r="CB40" s="20">
        <f t="shared" si="10"/>
        <v>418.36004908886474</v>
      </c>
      <c r="CC40" s="59">
        <f t="shared" si="11"/>
        <v>701.13910652241236</v>
      </c>
      <c r="CD40" s="59">
        <f ca="1">AVERAGE(OFFSET($CC$3,0,0,'Données projet'!$E$12+1,1))-AVERAGE(OFFSET($H$3,0,0,'Données projet'!$E$12+1,1))</f>
        <v>462.09240749760784</v>
      </c>
      <c r="CE40" s="59">
        <f t="shared" si="40"/>
        <v>403.52202223463337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46.816944790402658</v>
      </c>
      <c r="CL40" s="21">
        <f>EXP(-LN(2)/25)*CL39+(1-EXP(-LN(2)/25))/(LN(2)/25)*Calculateur!CG40*Calculateur!CI40*VLOOKUP('Données projet'!$B$12,Paramètres!$A$1:$I$89,3,0)*0.475*44/12</f>
        <v>22.619496637159273</v>
      </c>
      <c r="CM40" s="21">
        <f>EXP(-LN(2)/2)*CM39+(1-EXP(-LN(2)/2))/(LN(2)/2)*CG40*CJ40*VLOOKUP('Données projet'!$B$12,Paramètres!$A$1:$I$89,3,0)*0.475*44/12</f>
        <v>4.3910062328123169</v>
      </c>
      <c r="CN40" s="22">
        <f t="shared" si="12"/>
        <v>73.827447660374247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</v>
      </c>
      <c r="CT40" s="12">
        <f>IF('Données projet'!$A$140&gt;35,CT39+CS40-DB39,IF(A40&lt;'Données projet'!$A$140,$CQ$205^A40,IF(A40='Données projet'!$A$140,'Données projet'!$B$140,CT39+CS40-DB39)))</f>
        <v>258</v>
      </c>
      <c r="CU40" s="17">
        <f>CT40*VLOOKUP('Données projet'!$B$13,Paramètres!$A$1:$I$89,3,0)*VLOOKUP('Données projet'!$B$13,Paramètres!$A$1:$I$89,5,0)</f>
        <v>120.744</v>
      </c>
      <c r="CV40" s="13">
        <f t="shared" si="41"/>
        <v>31.848462605207807</v>
      </c>
      <c r="CW40" s="20">
        <f t="shared" si="13"/>
        <v>265.76520570407024</v>
      </c>
      <c r="CX40" s="59">
        <f t="shared" si="14"/>
        <v>548.54426313761792</v>
      </c>
      <c r="CY40" s="59">
        <f ca="1">AVERAGE(OFFSET($CX$3,0,0,'Données projet'!$E$13+1,1))-AVERAGE(OFFSET($H$3,0,0,'Données projet'!$E$13+1,1))</f>
        <v>319.88925869887464</v>
      </c>
      <c r="CZ40" s="59">
        <f t="shared" si="42"/>
        <v>258.2857172412098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2.9725618509397007</v>
      </c>
      <c r="DG40" s="21">
        <f>EXP(-LN(2)/25)*DG39+(1-EXP(-LN(2)/25))/(LN(2)/25)*Calculateur!DB40*Calculateur!DD40*VLOOKUP('Données projet'!$B$13,Paramètres!$A$1:$I$89,3,0)*0.475*44/12</f>
        <v>11.057795740906275</v>
      </c>
      <c r="DH40" s="21">
        <f>EXP(-LN(2)/2)*DH39+(1-EXP(-LN(2)/2))/(LN(2)/2)*DB40*DE40*VLOOKUP('Données projet'!$B$13,Paramètres!$A$1:$I$89,3,0)*0.475*44/12</f>
        <v>0.84538320135995526</v>
      </c>
      <c r="DI40" s="22">
        <f t="shared" si="15"/>
        <v>14.875740793205932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337.12</v>
      </c>
      <c r="DM40" s="12">
        <f>VLOOKUP(A40,'Données projet'!$A$165:$I$185,9,0)</f>
        <v>21.354000000000003</v>
      </c>
      <c r="DN40" s="12">
        <f t="array" ref="DN40">INDEX(DM:DM,MIN(IF(ISNUMBER(DM40:DM236),ROW(DM40:DM236),"")))</f>
        <v>21.354000000000003</v>
      </c>
      <c r="DO40" s="12">
        <f>IF('Données projet'!$A$166&gt;35,DO39+DN40-DW39,IF(A40&lt;'Données projet'!$A$166,$DL$205^A40,IF(A40='Données projet'!$A$166,'Données projet'!$B$166,DO39+DN40-DW39)))</f>
        <v>337.12000000000006</v>
      </c>
      <c r="DP40" s="17">
        <f>DO40*VLOOKUP('Données projet'!$B$14,Paramètres!$A$1:$I$89,3,0)*VLOOKUP('Données projet'!$B$14,Paramètres!$A$1:$I$89,5,0)</f>
        <v>201.59776000000005</v>
      </c>
      <c r="DQ40" s="13">
        <f t="shared" si="43"/>
        <v>50.095144235751</v>
      </c>
      <c r="DR40" s="20">
        <f t="shared" si="16"/>
        <v>438.36514154393308</v>
      </c>
      <c r="DS40" s="59">
        <f t="shared" si="17"/>
        <v>721.14419897748076</v>
      </c>
      <c r="DT40" s="59">
        <f ca="1">AVERAGE(OFFSET($DS$3,0,0,'Données projet'!$E$14+1,1))-AVERAGE(OFFSET($H$3,0,0,'Données projet'!$E$14+1,1))</f>
        <v>443.64905827069435</v>
      </c>
      <c r="DU40" s="59">
        <f t="shared" si="44"/>
        <v>381.14782516862385</v>
      </c>
      <c r="DV40" s="15">
        <f>IF(ISNA(VLOOKUP(A40,'Données projet'!$A$165:$I$185,3,0)),0,VLOOKUP(A40,'Données projet'!$A$165:$I$185,3,0))</f>
        <v>6</v>
      </c>
      <c r="DW40" s="15">
        <f>IF(ISNA(VLOOKUP(A40,'Données projet'!$A$165:$I$185,4,0)),0,VLOOKUP(A40,'Données projet'!$A$165:$I$185,4,0))</f>
        <v>55</v>
      </c>
      <c r="DX40" s="16">
        <f>IF(ISNA(VLOOKUP(A40,'Données projet'!$A$165:$I$185,5,0)),0%,VLOOKUP(A40,'Données projet'!$A$165:$I$185,5,0)*VLOOKUP('Données projet'!$B$14,Paramètres!$A$1:$I$89,7,0))</f>
        <v>0.18000000000000002</v>
      </c>
      <c r="DY40" s="16">
        <f>IF(ISNA(VLOOKUP(A40,'Données projet'!$A$165:$I$185,6,0)),0%,VLOOKUP(A40,'Données projet'!$A$165:$I$185,6,0)*VLOOKUP('Données projet'!$B$14,Paramètres!$A$1:$I$89,7,0))</f>
        <v>0.15300000000000002</v>
      </c>
      <c r="DZ40" s="16">
        <f>IF(ISNA(VLOOKUP(A40,'Données projet'!$A$165:$I$185,7,0)),0%,VLOOKUP(A40,'Données projet'!$A$165:$I$185,7,0))</f>
        <v>0.26</v>
      </c>
      <c r="EA40" s="21">
        <f>EXP(-LN(2)/35)*EA39+(1-EXP(-LN(2)/35))/(LN(2)/35)*DW40*DX40*VLOOKUP('Données projet'!$B$14,Paramètres!$A$1:$I$89,3,0)*0.475*44/12</f>
        <v>14.331589977930435</v>
      </c>
      <c r="EB40" s="21">
        <f>EXP(-LN(2)/25)*EB39+(1-EXP(-LN(2)/25))/(LN(2)/25)*Calculateur!DW40*Calculateur!DY40*VLOOKUP('Données projet'!$B$14,Paramètres!$A$1:$I$89,3,0)*0.475*44/12</f>
        <v>19.974820993247068</v>
      </c>
      <c r="EC40" s="21">
        <f>EXP(-LN(2)/2)*EC39+(1-EXP(-LN(2)/2))/(LN(2)/2)*DW40*DZ40*VLOOKUP('Données projet'!$B$14,Paramètres!$A$1:$I$89,3,0)*0.475*44/12</f>
        <v>11.106769241143308</v>
      </c>
      <c r="ED40" s="22">
        <f t="shared" si="18"/>
        <v>45.41318021232081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9.4</v>
      </c>
      <c r="EJ40" s="12">
        <f>IF('Données projet'!$A$192&gt;35,EJ39+EI40-ER39,IF(A40&lt;'Données projet'!$A$192,$EG$205^A40,IF(A40='Données projet'!$A$192,'Données projet'!$B$192,EJ39+EI40-ER39)))</f>
        <v>314.7999999999999</v>
      </c>
      <c r="EK40" s="17">
        <f>EJ40*VLOOKUP('Données projet'!$B$15,Paramètres!$A$1:$I$89,3,0)*VLOOKUP('Données projet'!$B$15,Paramètres!$A$1:$I$89,5,0)</f>
        <v>284.83103999999986</v>
      </c>
      <c r="EL40" s="13">
        <f t="shared" si="45"/>
        <v>67.986927841015898</v>
      </c>
      <c r="EM40" s="20">
        <f t="shared" si="19"/>
        <v>614.49129398976902</v>
      </c>
      <c r="EN40" s="59">
        <f t="shared" si="20"/>
        <v>897.2703514233167</v>
      </c>
      <c r="EO40" s="59">
        <f ca="1">AVERAGE(OFFSET($EN$3,0,0,'Données projet'!$E$15+1,1))-AVERAGE(OFFSET($H$3,0,0,'Données projet'!$E$15+1,1))</f>
        <v>504.37890861635196</v>
      </c>
      <c r="EP40" s="59">
        <f t="shared" si="46"/>
        <v>611.82129317522913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2.6850839632187187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2.6850839632187187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5.4</v>
      </c>
      <c r="FE40" s="12">
        <f>IF('Données projet'!$A$218&gt;35,FE39+FD40-FM39,IF(A40&lt;'Données projet'!$A$218,$FB$205^A40,IF(A40='Données projet'!$A$218,'Données projet'!$B$218,FE39+FD40-FM39)))</f>
        <v>76.8</v>
      </c>
      <c r="FF40" s="17">
        <f>FE40*VLOOKUP('Données projet'!$B$16,Paramètres!$A$1:$I$89,3,0)*VLOOKUP('Données projet'!$B$16,Paramètres!$A$1:$I$89,5,0)</f>
        <v>82.667519999999996</v>
      </c>
      <c r="FG40" s="13">
        <f t="shared" si="47"/>
        <v>22.788156353818806</v>
      </c>
      <c r="FH40" s="20">
        <f t="shared" si="22"/>
        <v>183.6686363162344</v>
      </c>
      <c r="FI40" s="59">
        <f t="shared" si="23"/>
        <v>466.44769374978205</v>
      </c>
      <c r="FJ40" s="59">
        <f ca="1">AVERAGE(OFFSET($FI$3,0,0,'Données projet'!$E$16+1,1))-AVERAGE(OFFSET($H$3,0,0,'Données projet'!$E$16+1,1))</f>
        <v>334.01098870576732</v>
      </c>
      <c r="FK40" s="59">
        <f t="shared" si="48"/>
        <v>171.1802153303471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9.6</v>
      </c>
      <c r="FZ40" s="12">
        <f>IF('Données projet'!$A$244&gt;35,FZ39+FY40-GH39,IF(A40&lt;'Données projet'!$A$244,$FW$205^A40,IF(A40='Données projet'!$A$244,'Données projet'!$B$244,FZ39+FY40-GH39)))</f>
        <v>163.20000000000002</v>
      </c>
      <c r="GA40" s="17">
        <f>FZ40*VLOOKUP('Données projet'!$B$17,Paramètres!$A$1:$I$89,3,0)*VLOOKUP('Données projet'!$B$17,Paramètres!$A$1:$I$89,5,0)</f>
        <v>142.57152000000005</v>
      </c>
      <c r="GB40" s="13">
        <f t="shared" si="49"/>
        <v>36.885479122455578</v>
      </c>
      <c r="GC40" s="20">
        <f t="shared" si="25"/>
        <v>312.5542734716102</v>
      </c>
      <c r="GD40" s="59">
        <f t="shared" si="26"/>
        <v>595.33333090515782</v>
      </c>
      <c r="GE40" s="59">
        <f ca="1">AVERAGE(OFFSET($GD$3,0,0,'Données projet'!$E$17+1,1))-AVERAGE(OFFSET($H$3,0,0,'Données projet'!$E$17+1,1))</f>
        <v>330.12856974146598</v>
      </c>
      <c r="GF40" s="59">
        <f t="shared" si="50"/>
        <v>321.23368446552286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5.2502725047420089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5.2502725047420089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67.121561118240265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8.4</v>
      </c>
      <c r="GU40" s="12">
        <f>IF('Données projet'!$A$270&gt;35,GU39+GT40-HC39,IF(A40&lt;'Données projet'!$A$270,$GR$205^A40,IF(A40='Données projet'!$A$270,'Données projet'!$B$270,GU39+GT40-HC39)))</f>
        <v>111.80000000000001</v>
      </c>
      <c r="GV40" s="17">
        <f>GU40*VLOOKUP('Données projet'!$B$18,Paramètres!$A$1:$I$89,3,0)*VLOOKUP('Données projet'!$B$18,Paramètres!$A$1:$I$89,5,0)</f>
        <v>74.995440000000016</v>
      </c>
      <c r="GW40" s="13">
        <f t="shared" si="51"/>
        <v>20.908980854017098</v>
      </c>
      <c r="GX40" s="20">
        <f t="shared" si="28"/>
        <v>167.03353298741314</v>
      </c>
      <c r="GY40" s="59">
        <f t="shared" si="29"/>
        <v>449.81259042096076</v>
      </c>
      <c r="GZ40" s="59">
        <f ca="1">AVERAGE(OFFSET($GY$3,0,0,'Données projet'!$E$18+1,1))-AVERAGE(OFFSET($H$3,0,0,'Données projet'!$E$18+1,1))</f>
        <v>296.67751292332753</v>
      </c>
      <c r="HA40" s="59">
        <f t="shared" si="52"/>
        <v>197.99510031603018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1.1000000000000001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4.0333333333333341</v>
      </c>
      <c r="H41" s="67">
        <f t="shared" si="1"/>
        <v>240.5333333333333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</v>
      </c>
      <c r="O41" s="13">
        <f>N41*VLOOKUP('Données projet'!$B$9,Paramètres!$A$1:$I$89,3,0)*VLOOKUP('Données projet'!$B$9,Paramètres!$A$1:$I$89,5,0)</f>
        <v>138.07247999999998</v>
      </c>
      <c r="P41" s="13">
        <f t="shared" si="33"/>
        <v>35.855082076777961</v>
      </c>
      <c r="Q41" s="20">
        <f t="shared" si="53"/>
        <v>302.92383728372158</v>
      </c>
      <c r="R41" s="59">
        <f t="shared" si="0"/>
        <v>585.88598780830444</v>
      </c>
      <c r="S41" s="59">
        <f ca="1">AVERAGE(OFFSET($R$3,0,0,'Données projet'!$E$9+1,1))-AVERAGE(OFFSET($H$3,0,0,'Données projet'!$E$9+1,1))</f>
        <v>461.20962581398715</v>
      </c>
      <c r="T41" s="59">
        <f t="shared" si="34"/>
        <v>348.44322874953923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</v>
      </c>
      <c r="AJ41" s="13">
        <f>AI41*VLOOKUP('Données projet'!$B$10,Paramètres!$A$1:$I$89,3,0)*VLOOKUP('Données projet'!$B$10,Paramètres!$A$1:$I$89,5,0)</f>
        <v>154.7364</v>
      </c>
      <c r="AK41" s="13">
        <f t="shared" si="35"/>
        <v>39.652994320183701</v>
      </c>
      <c r="AL41" s="20">
        <f t="shared" si="4"/>
        <v>338.56152844098659</v>
      </c>
      <c r="AM41" s="59">
        <f t="shared" si="5"/>
        <v>621.5236789655695</v>
      </c>
      <c r="AN41" s="59">
        <f ca="1">AVERAGE(OFFSET($AM$3,0,0,'Données projet'!$E$10+1,1))-AVERAGE(OFFSET($H$3,0,0,'Données projet'!$E$10+1,1))</f>
        <v>510.86584023875525</v>
      </c>
      <c r="AO41" s="59">
        <f t="shared" si="36"/>
        <v>384.62921487244125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10.4</v>
      </c>
      <c r="BD41" s="12">
        <f>IF('Données projet'!$A$88&gt;35,BD40+BC41-BL40,IF(A41&lt;'Données projet'!$A$88,$BA$205^A41,IF(A41='Données projet'!$A$88,'Données projet'!$B$88,BD40+BC41-BL40)))</f>
        <v>142.20000000000002</v>
      </c>
      <c r="BE41" s="13">
        <f>BD41*VLOOKUP('Données projet'!$B$11,Paramètres!$A$1:$I$89,3,0)*VLOOKUP('Données projet'!$B$11,Paramètres!$A$1:$I$89,5,0)</f>
        <v>104.26104000000001</v>
      </c>
      <c r="BF41" s="13">
        <f t="shared" si="37"/>
        <v>27.974653155453439</v>
      </c>
      <c r="BG41" s="20">
        <f t="shared" si="7"/>
        <v>230.31049891241477</v>
      </c>
      <c r="BH41" s="59">
        <f t="shared" si="8"/>
        <v>513.27264943699765</v>
      </c>
      <c r="BI41" s="59">
        <f ca="1">AVERAGE(OFFSET($BH$3,0,0,'Données projet'!$E$11+1,1))-AVERAGE(OFFSET($H$3,0,0,'Données projet'!$E$11+1,1))</f>
        <v>201.7253431547006</v>
      </c>
      <c r="BJ41" s="59">
        <f t="shared" si="38"/>
        <v>229.70004720044096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1.839176792595391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1.839176792595391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23.4</v>
      </c>
      <c r="BY41" s="12">
        <f>IF('Données projet'!$A$114&gt;35,BY40+BX41-CG40,IF(A41&lt;'Données projet'!$A$114,$BV$205^A41,IF(A41='Données projet'!$A$114,'Données projet'!$B$114,BY40+BX41-CG40)))</f>
        <v>367.19999999999982</v>
      </c>
      <c r="BZ41" s="13">
        <f>BY41*VLOOKUP('Données projet'!$B$12,Paramètres!$A$1:$I$89,3,0)*VLOOKUP('Données projet'!$B$12,Paramètres!$A$1:$I$89,5,0)</f>
        <v>205.26479999999992</v>
      </c>
      <c r="CA41" s="13">
        <f t="shared" si="39"/>
        <v>50.899455886133694</v>
      </c>
      <c r="CB41" s="20">
        <f t="shared" si="10"/>
        <v>446.15274566834938</v>
      </c>
      <c r="CC41" s="59">
        <f t="shared" si="11"/>
        <v>729.11489619293229</v>
      </c>
      <c r="CD41" s="59">
        <f ca="1">AVERAGE(OFFSET($CC$3,0,0,'Données projet'!$E$12+1,1))-AVERAGE(OFFSET($H$3,0,0,'Données projet'!$E$12+1,1))</f>
        <v>462.09240749760784</v>
      </c>
      <c r="CE41" s="59">
        <f t="shared" si="40"/>
        <v>403.52202223463337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45.89889305857956</v>
      </c>
      <c r="CL41" s="21">
        <f>EXP(-LN(2)/25)*CL40+(1-EXP(-LN(2)/25))/(LN(2)/25)*Calculateur!CG41*Calculateur!CI41*VLOOKUP('Données projet'!$B$12,Paramètres!$A$1:$I$89,3,0)*0.475*44/12</f>
        <v>22.000965312108523</v>
      </c>
      <c r="CM41" s="21">
        <f>EXP(-LN(2)/2)*CM40+(1-EXP(-LN(2)/2))/(LN(2)/2)*CG41*CJ41*VLOOKUP('Données projet'!$B$12,Paramètres!$A$1:$I$89,3,0)*0.475*44/12</f>
        <v>3.1049102834539855</v>
      </c>
      <c r="CN41" s="22">
        <f t="shared" si="12"/>
        <v>71.004768654142069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</v>
      </c>
      <c r="CT41" s="12">
        <f>IF('Données projet'!$A$140&gt;35,CT40+CS41-DB40,IF(A41&lt;'Données projet'!$A$140,$CQ$205^A41,IF(A41='Données projet'!$A$140,'Données projet'!$B$140,CT40+CS41-DB40)))</f>
        <v>272</v>
      </c>
      <c r="CU41" s="17">
        <f>CT41*VLOOKUP('Données projet'!$B$13,Paramètres!$A$1:$I$89,3,0)*VLOOKUP('Données projet'!$B$13,Paramètres!$A$1:$I$89,5,0)</f>
        <v>127.29600000000001</v>
      </c>
      <c r="CV41" s="13">
        <f t="shared" si="41"/>
        <v>33.370782027774453</v>
      </c>
      <c r="CW41" s="20">
        <f t="shared" si="13"/>
        <v>279.82797869837384</v>
      </c>
      <c r="CX41" s="59">
        <f t="shared" si="14"/>
        <v>562.79012922295669</v>
      </c>
      <c r="CY41" s="59">
        <f ca="1">AVERAGE(OFFSET($CX$3,0,0,'Données projet'!$E$13+1,1))-AVERAGE(OFFSET($H$3,0,0,'Données projet'!$E$13+1,1))</f>
        <v>319.88925869887464</v>
      </c>
      <c r="CZ41" s="59">
        <f t="shared" si="42"/>
        <v>258.2857172412098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2.9142717261264752</v>
      </c>
      <c r="DG41" s="21">
        <f>EXP(-LN(2)/25)*DG40+(1-EXP(-LN(2)/25))/(LN(2)/25)*Calculateur!DB41*Calculateur!DD41*VLOOKUP('Données projet'!$B$13,Paramètres!$A$1:$I$89,3,0)*0.475*44/12</f>
        <v>10.755419734866988</v>
      </c>
      <c r="DH41" s="21">
        <f>EXP(-LN(2)/2)*DH40+(1-EXP(-LN(2)/2))/(LN(2)/2)*DB41*DE41*VLOOKUP('Données projet'!$B$13,Paramètres!$A$1:$I$89,3,0)*0.475*44/12</f>
        <v>0.59777619438281693</v>
      </c>
      <c r="DI41" s="22">
        <f t="shared" si="15"/>
        <v>14.267467655376281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20.269999999999996</v>
      </c>
      <c r="DO41" s="12">
        <f>IF('Données projet'!$A$166&gt;35,DO40+DN41-DW40,IF(A41&lt;'Données projet'!$A$166,$DL$205^A41,IF(A41='Données projet'!$A$166,'Données projet'!$B$166,DO40+DN41-DW40)))</f>
        <v>302.39000000000004</v>
      </c>
      <c r="DP41" s="17">
        <f>DO41*VLOOKUP('Données projet'!$B$14,Paramètres!$A$1:$I$89,3,0)*VLOOKUP('Données projet'!$B$14,Paramètres!$A$1:$I$89,5,0)</f>
        <v>180.82922000000005</v>
      </c>
      <c r="DQ41" s="13">
        <f t="shared" si="43"/>
        <v>45.506622960271066</v>
      </c>
      <c r="DR41" s="20">
        <f t="shared" si="16"/>
        <v>394.20159315580548</v>
      </c>
      <c r="DS41" s="59">
        <f t="shared" si="17"/>
        <v>677.16374368038839</v>
      </c>
      <c r="DT41" s="59">
        <f ca="1">AVERAGE(OFFSET($DS$3,0,0,'Données projet'!$E$14+1,1))-AVERAGE(OFFSET($H$3,0,0,'Données projet'!$E$14+1,1))</f>
        <v>443.64905827069435</v>
      </c>
      <c r="DU41" s="59">
        <f t="shared" si="44"/>
        <v>381.14782516862385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14.050556239869962</v>
      </c>
      <c r="EB41" s="21">
        <f>EXP(-LN(2)/25)*EB40+(1-EXP(-LN(2)/25))/(LN(2)/25)*Calculateur!DW41*Calculateur!DY41*VLOOKUP('Données projet'!$B$14,Paramètres!$A$1:$I$89,3,0)*0.475*44/12</f>
        <v>19.428608462756543</v>
      </c>
      <c r="EC41" s="21">
        <f>EXP(-LN(2)/2)*EC40+(1-EXP(-LN(2)/2))/(LN(2)/2)*DW41*DZ41*VLOOKUP('Données projet'!$B$14,Paramètres!$A$1:$I$89,3,0)*0.475*44/12</f>
        <v>7.8536718474865976</v>
      </c>
      <c r="ED41" s="22">
        <f t="shared" si="18"/>
        <v>41.3328365501131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9.4</v>
      </c>
      <c r="EJ41" s="12">
        <f>IF('Données projet'!$A$192&gt;35,EJ40+EI41-ER40,IF(A41&lt;'Données projet'!$A$192,$EG$205^A41,IF(A41='Données projet'!$A$192,'Données projet'!$B$192,EJ40+EI41-ER40)))</f>
        <v>324.19999999999987</v>
      </c>
      <c r="EK41" s="17">
        <f>EJ41*VLOOKUP('Données projet'!$B$15,Paramètres!$A$1:$I$89,3,0)*VLOOKUP('Données projet'!$B$15,Paramètres!$A$1:$I$89,5,0)</f>
        <v>293.33615999999989</v>
      </c>
      <c r="EL41" s="13">
        <f t="shared" si="45"/>
        <v>69.777645527609536</v>
      </c>
      <c r="EM41" s="20">
        <f t="shared" si="19"/>
        <v>632.42321129391973</v>
      </c>
      <c r="EN41" s="59">
        <f t="shared" si="20"/>
        <v>915.38536181850259</v>
      </c>
      <c r="EO41" s="59">
        <f ca="1">AVERAGE(OFFSET($EN$3,0,0,'Données projet'!$E$15+1,1))-AVERAGE(OFFSET($H$3,0,0,'Données projet'!$E$15+1,1))</f>
        <v>504.37890861635196</v>
      </c>
      <c r="EP41" s="59">
        <f t="shared" si="46"/>
        <v>611.82129317522913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2.6324311044395037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2.6324311044395037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5.4</v>
      </c>
      <c r="FE41" s="12">
        <f>IF('Données projet'!$A$218&gt;35,FE40+FD41-FM40,IF(A41&lt;'Données projet'!$A$218,$FB$205^A41,IF(A41='Données projet'!$A$218,'Données projet'!$B$218,FE40+FD41-FM40)))</f>
        <v>82.2</v>
      </c>
      <c r="FF41" s="17">
        <f>FE41*VLOOKUP('Données projet'!$B$16,Paramètres!$A$1:$I$89,3,0)*VLOOKUP('Données projet'!$B$16,Paramètres!$A$1:$I$89,5,0)</f>
        <v>88.480080000000001</v>
      </c>
      <c r="FG41" s="13">
        <f t="shared" si="47"/>
        <v>24.1982943117189</v>
      </c>
      <c r="FH41" s="20">
        <f t="shared" si="22"/>
        <v>196.24816859291039</v>
      </c>
      <c r="FI41" s="59">
        <f t="shared" si="23"/>
        <v>479.21031911749333</v>
      </c>
      <c r="FJ41" s="59">
        <f ca="1">AVERAGE(OFFSET($FI$3,0,0,'Données projet'!$E$16+1,1))-AVERAGE(OFFSET($H$3,0,0,'Données projet'!$E$16+1,1))</f>
        <v>334.01098870576732</v>
      </c>
      <c r="FK41" s="59">
        <f t="shared" si="48"/>
        <v>171.1802153303471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9.6</v>
      </c>
      <c r="FZ41" s="12">
        <f>IF('Données projet'!$A$244&gt;35,FZ40+FY41-GH40,IF(A41&lt;'Données projet'!$A$244,$FW$205^A41,IF(A41='Données projet'!$A$244,'Données projet'!$B$244,FZ40+FY41-GH40)))</f>
        <v>172.8</v>
      </c>
      <c r="GA41" s="17">
        <f>FZ41*VLOOKUP('Données projet'!$B$17,Paramètres!$A$1:$I$89,3,0)*VLOOKUP('Données projet'!$B$17,Paramètres!$A$1:$I$89,5,0)</f>
        <v>150.95808000000002</v>
      </c>
      <c r="GB41" s="13">
        <f t="shared" si="49"/>
        <v>38.796231993724774</v>
      </c>
      <c r="GC41" s="20">
        <f t="shared" si="25"/>
        <v>330.48876005573732</v>
      </c>
      <c r="GD41" s="59">
        <f t="shared" si="26"/>
        <v>613.45091058032017</v>
      </c>
      <c r="GE41" s="59">
        <f ca="1">AVERAGE(OFFSET($GD$3,0,0,'Données projet'!$E$17+1,1))-AVERAGE(OFFSET($H$3,0,0,'Données projet'!$E$17+1,1))</f>
        <v>330.12856974146598</v>
      </c>
      <c r="GF41" s="59">
        <f t="shared" si="50"/>
        <v>321.23368446552286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5.14731786327404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5.14731786327404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67.171495597613529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8.4</v>
      </c>
      <c r="GU41" s="12">
        <f>IF('Données projet'!$A$270&gt;35,GU40+GT41-HC40,IF(A41&lt;'Données projet'!$A$270,$GR$205^A41,IF(A41='Données projet'!$A$270,'Données projet'!$B$270,GU40+GT41-HC40)))</f>
        <v>120.20000000000002</v>
      </c>
      <c r="GV41" s="17">
        <f>GU41*VLOOKUP('Données projet'!$B$18,Paramètres!$A$1:$I$89,3,0)*VLOOKUP('Données projet'!$B$18,Paramètres!$A$1:$I$89,5,0)</f>
        <v>80.630160000000018</v>
      </c>
      <c r="GW41" s="13">
        <f t="shared" si="51"/>
        <v>22.291191095412266</v>
      </c>
      <c r="GX41" s="20">
        <f t="shared" si="28"/>
        <v>179.25468649117639</v>
      </c>
      <c r="GY41" s="59">
        <f t="shared" si="29"/>
        <v>462.21683701575932</v>
      </c>
      <c r="GZ41" s="59">
        <f ca="1">AVERAGE(OFFSET($GY$3,0,0,'Données projet'!$E$18+1,1))-AVERAGE(OFFSET($H$3,0,0,'Données projet'!$E$18+1,1))</f>
        <v>296.67751292332753</v>
      </c>
      <c r="HA41" s="59">
        <f t="shared" si="52"/>
        <v>197.99510031603018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1.1000000000000001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4.0333333333333341</v>
      </c>
      <c r="H42" s="67">
        <f t="shared" si="1"/>
        <v>240.5333333333333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163.79999999999998</v>
      </c>
      <c r="O42" s="13">
        <f>N42*VLOOKUP('Données projet'!$B$9,Paramètres!$A$1:$I$89,3,0)*VLOOKUP('Données projet'!$B$9,Paramètres!$A$1:$I$89,5,0)</f>
        <v>148.20623999999998</v>
      </c>
      <c r="P42" s="13">
        <f t="shared" si="33"/>
        <v>38.170662245893794</v>
      </c>
      <c r="Q42" s="20">
        <f t="shared" si="53"/>
        <v>324.60643807826494</v>
      </c>
      <c r="R42" s="59">
        <f t="shared" si="0"/>
        <v>607.7485054380885</v>
      </c>
      <c r="S42" s="59">
        <f ca="1">AVERAGE(OFFSET($R$3,0,0,'Données projet'!$E$9+1,1))-AVERAGE(OFFSET($H$3,0,0,'Données projet'!$E$9+1,1))</f>
        <v>461.20962581398715</v>
      </c>
      <c r="T42" s="59">
        <f t="shared" si="34"/>
        <v>348.44322874953923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163.79999999999998</v>
      </c>
      <c r="AJ42" s="13">
        <f>AI42*VLOOKUP('Données projet'!$B$10,Paramètres!$A$1:$I$89,3,0)*VLOOKUP('Données projet'!$B$10,Paramètres!$A$1:$I$89,5,0)</f>
        <v>166.0932</v>
      </c>
      <c r="AK42" s="13">
        <f t="shared" si="35"/>
        <v>42.213849908165905</v>
      </c>
      <c r="AL42" s="20">
        <f t="shared" si="4"/>
        <v>362.80144525672222</v>
      </c>
      <c r="AM42" s="59">
        <f t="shared" si="5"/>
        <v>645.94351261654583</v>
      </c>
      <c r="AN42" s="59">
        <f ca="1">AVERAGE(OFFSET($AM$3,0,0,'Données projet'!$E$10+1,1))-AVERAGE(OFFSET($H$3,0,0,'Données projet'!$E$10+1,1))</f>
        <v>510.86584023875525</v>
      </c>
      <c r="AO42" s="59">
        <f t="shared" si="36"/>
        <v>384.62921487244125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10.4</v>
      </c>
      <c r="BD42" s="12">
        <f>IF('Données projet'!$A$88&gt;35,BD41+BC42-BL41,IF(A42&lt;'Données projet'!$A$88,$BA$205^A42,IF(A42='Données projet'!$A$88,'Données projet'!$B$88,BD41+BC42-BL41)))</f>
        <v>152.60000000000002</v>
      </c>
      <c r="BE42" s="13">
        <f>BD42*VLOOKUP('Données projet'!$B$11,Paramètres!$A$1:$I$89,3,0)*VLOOKUP('Données projet'!$B$11,Paramètres!$A$1:$I$89,5,0)</f>
        <v>111.88632000000001</v>
      </c>
      <c r="BF42" s="13">
        <f t="shared" si="37"/>
        <v>29.774975524166688</v>
      </c>
      <c r="BG42" s="20">
        <f t="shared" si="7"/>
        <v>246.72675637125698</v>
      </c>
      <c r="BH42" s="59">
        <f t="shared" si="8"/>
        <v>529.86882373108051</v>
      </c>
      <c r="BI42" s="59">
        <f ca="1">AVERAGE(OFFSET($BH$3,0,0,'Données projet'!$E$11+1,1))-AVERAGE(OFFSET($H$3,0,0,'Données projet'!$E$11+1,1))</f>
        <v>201.7253431547006</v>
      </c>
      <c r="BJ42" s="59">
        <f t="shared" si="38"/>
        <v>229.70004720044096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1.8031116574796715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1.8031116574796715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23.4</v>
      </c>
      <c r="BY42" s="12">
        <f>IF('Données projet'!$A$114&gt;35,BY41+BX42-CG41,IF(A42&lt;'Données projet'!$A$114,$BV$205^A42,IF(A42='Données projet'!$A$114,'Données projet'!$B$114,BY41+BX42-CG41)))</f>
        <v>390.5999999999998</v>
      </c>
      <c r="BZ42" s="13">
        <f>BY42*VLOOKUP('Données projet'!$B$12,Paramètres!$A$1:$I$89,3,0)*VLOOKUP('Données projet'!$B$12,Paramètres!$A$1:$I$89,5,0)</f>
        <v>218.3453999999999</v>
      </c>
      <c r="CA42" s="13">
        <f t="shared" si="39"/>
        <v>53.75510873195573</v>
      </c>
      <c r="CB42" s="20">
        <f t="shared" si="10"/>
        <v>473.90838604148939</v>
      </c>
      <c r="CC42" s="59">
        <f t="shared" si="11"/>
        <v>757.05045340131301</v>
      </c>
      <c r="CD42" s="59">
        <f ca="1">AVERAGE(OFFSET($CC$3,0,0,'Données projet'!$E$12+1,1))-AVERAGE(OFFSET($H$3,0,0,'Données projet'!$E$12+1,1))</f>
        <v>462.09240749760784</v>
      </c>
      <c r="CE42" s="59">
        <f t="shared" si="40"/>
        <v>403.52202223463337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44.998843761261249</v>
      </c>
      <c r="CL42" s="21">
        <f>EXP(-LN(2)/25)*CL41+(1-EXP(-LN(2)/25))/(LN(2)/25)*Calculateur!CG42*Calculateur!CI42*VLOOKUP('Données projet'!$B$12,Paramètres!$A$1:$I$89,3,0)*0.475*44/12</f>
        <v>21.399347758668434</v>
      </c>
      <c r="CM42" s="21">
        <f>EXP(-LN(2)/2)*CM41+(1-EXP(-LN(2)/2))/(LN(2)/2)*CG42*CJ42*VLOOKUP('Données projet'!$B$12,Paramètres!$A$1:$I$89,3,0)*0.475*44/12</f>
        <v>2.1955031164061585</v>
      </c>
      <c r="CN42" s="22">
        <f t="shared" si="12"/>
        <v>68.59369463633584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</v>
      </c>
      <c r="CT42" s="12">
        <f>IF('Données projet'!$A$140&gt;35,CT41+CS42-DB41,IF(A42&lt;'Données projet'!$A$140,$CQ$205^A42,IF(A42='Données projet'!$A$140,'Données projet'!$B$140,CT41+CS42-DB41)))</f>
        <v>286</v>
      </c>
      <c r="CU42" s="17">
        <f>CT42*VLOOKUP('Données projet'!$B$13,Paramètres!$A$1:$I$89,3,0)*VLOOKUP('Données projet'!$B$13,Paramètres!$A$1:$I$89,5,0)</f>
        <v>133.84799999999998</v>
      </c>
      <c r="CV42" s="13">
        <f t="shared" si="41"/>
        <v>34.884003992121656</v>
      </c>
      <c r="CW42" s="20">
        <f t="shared" si="13"/>
        <v>293.8749069529452</v>
      </c>
      <c r="CX42" s="59">
        <f t="shared" si="14"/>
        <v>577.01697431276875</v>
      </c>
      <c r="CY42" s="59">
        <f ca="1">AVERAGE(OFFSET($CX$3,0,0,'Données projet'!$E$13+1,1))-AVERAGE(OFFSET($H$3,0,0,'Données projet'!$E$13+1,1))</f>
        <v>319.88925869887464</v>
      </c>
      <c r="CZ42" s="59">
        <f t="shared" si="42"/>
        <v>258.2857172412098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2.8571246351073714</v>
      </c>
      <c r="DG42" s="21">
        <f>EXP(-LN(2)/25)*DG41+(1-EXP(-LN(2)/25))/(LN(2)/25)*Calculateur!DB42*Calculateur!DD42*VLOOKUP('Données projet'!$B$13,Paramètres!$A$1:$I$89,3,0)*0.475*44/12</f>
        <v>10.461312216614109</v>
      </c>
      <c r="DH42" s="21">
        <f>EXP(-LN(2)/2)*DH41+(1-EXP(-LN(2)/2))/(LN(2)/2)*DB42*DE42*VLOOKUP('Données projet'!$B$13,Paramètres!$A$1:$I$89,3,0)*0.475*44/12</f>
        <v>0.42269160067997763</v>
      </c>
      <c r="DI42" s="22">
        <f t="shared" si="15"/>
        <v>13.741128452401458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20.269999999999996</v>
      </c>
      <c r="DO42" s="12">
        <f>IF('Données projet'!$A$166&gt;35,DO41+DN42-DW41,IF(A42&lt;'Données projet'!$A$166,$DL$205^A42,IF(A42='Données projet'!$A$166,'Données projet'!$B$166,DO41+DN42-DW41)))</f>
        <v>322.66000000000003</v>
      </c>
      <c r="DP42" s="17">
        <f>DO42*VLOOKUP('Données projet'!$B$14,Paramètres!$A$1:$I$89,3,0)*VLOOKUP('Données projet'!$B$14,Paramètres!$A$1:$I$89,5,0)</f>
        <v>192.95068000000003</v>
      </c>
      <c r="DQ42" s="13">
        <f t="shared" si="43"/>
        <v>48.191720061592335</v>
      </c>
      <c r="DR42" s="20">
        <f t="shared" si="16"/>
        <v>419.98968010727327</v>
      </c>
      <c r="DS42" s="59">
        <f t="shared" si="17"/>
        <v>703.13174746709683</v>
      </c>
      <c r="DT42" s="59">
        <f ca="1">AVERAGE(OFFSET($DS$3,0,0,'Données projet'!$E$14+1,1))-AVERAGE(OFFSET($H$3,0,0,'Données projet'!$E$14+1,1))</f>
        <v>443.64905827069435</v>
      </c>
      <c r="DU42" s="59">
        <f t="shared" si="44"/>
        <v>381.14782516862385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13.775033401999202</v>
      </c>
      <c r="EB42" s="21">
        <f>EXP(-LN(2)/25)*EB41+(1-EXP(-LN(2)/25))/(LN(2)/25)*Calculateur!DW42*Calculateur!DY42*VLOOKUP('Données projet'!$B$14,Paramètres!$A$1:$I$89,3,0)*0.475*44/12</f>
        <v>18.897332142636351</v>
      </c>
      <c r="EC42" s="21">
        <f>EXP(-LN(2)/2)*EC41+(1-EXP(-LN(2)/2))/(LN(2)/2)*DW42*DZ42*VLOOKUP('Données projet'!$B$14,Paramètres!$A$1:$I$89,3,0)*0.475*44/12</f>
        <v>5.5533846205716548</v>
      </c>
      <c r="ED42" s="22">
        <f t="shared" si="18"/>
        <v>38.225750165207209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9.4</v>
      </c>
      <c r="EJ42" s="12">
        <f>IF('Données projet'!$A$192&gt;35,EJ41+EI42-ER41,IF(A42&lt;'Données projet'!$A$192,$EG$205^A42,IF(A42='Données projet'!$A$192,'Données projet'!$B$192,EJ41+EI42-ER41)))</f>
        <v>333.59999999999985</v>
      </c>
      <c r="EK42" s="17">
        <f>EJ42*VLOOKUP('Données projet'!$B$15,Paramètres!$A$1:$I$89,3,0)*VLOOKUP('Données projet'!$B$15,Paramètres!$A$1:$I$89,5,0)</f>
        <v>301.84127999999987</v>
      </c>
      <c r="EL42" s="13">
        <f t="shared" si="45"/>
        <v>71.562328918453616</v>
      </c>
      <c r="EM42" s="20">
        <f t="shared" si="19"/>
        <v>650.3446188663064</v>
      </c>
      <c r="EN42" s="59">
        <f t="shared" si="20"/>
        <v>933.4866862261299</v>
      </c>
      <c r="EO42" s="59">
        <f ca="1">AVERAGE(OFFSET($EN$3,0,0,'Données projet'!$E$15+1,1))-AVERAGE(OFFSET($H$3,0,0,'Données projet'!$E$15+1,1))</f>
        <v>504.37890861635196</v>
      </c>
      <c r="EP42" s="59">
        <f t="shared" si="46"/>
        <v>611.82129317522913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2.5808107361058763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2.5808107361058763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5.4</v>
      </c>
      <c r="FE42" s="12">
        <f>IF('Données projet'!$A$218&gt;35,FE41+FD42-FM41,IF(A42&lt;'Données projet'!$A$218,$FB$205^A42,IF(A42='Données projet'!$A$218,'Données projet'!$B$218,FE41+FD42-FM41)))</f>
        <v>87.600000000000009</v>
      </c>
      <c r="FF42" s="17">
        <f>FE42*VLOOKUP('Données projet'!$B$16,Paramètres!$A$1:$I$89,3,0)*VLOOKUP('Données projet'!$B$16,Paramètres!$A$1:$I$89,5,0)</f>
        <v>94.292640000000006</v>
      </c>
      <c r="FG42" s="13">
        <f t="shared" si="47"/>
        <v>25.597682308724192</v>
      </c>
      <c r="FH42" s="20">
        <f t="shared" si="22"/>
        <v>208.80897802102797</v>
      </c>
      <c r="FI42" s="59">
        <f t="shared" si="23"/>
        <v>491.9510453808515</v>
      </c>
      <c r="FJ42" s="59">
        <f ca="1">AVERAGE(OFFSET($FI$3,0,0,'Données projet'!$E$16+1,1))-AVERAGE(OFFSET($H$3,0,0,'Données projet'!$E$16+1,1))</f>
        <v>334.01098870576732</v>
      </c>
      <c r="FK42" s="59">
        <f t="shared" si="48"/>
        <v>171.1802153303471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9.6</v>
      </c>
      <c r="FZ42" s="12">
        <f>IF('Données projet'!$A$244&gt;35,FZ41+FY42-GH41,IF(A42&lt;'Données projet'!$A$244,$FW$205^A42,IF(A42='Données projet'!$A$244,'Données projet'!$B$244,FZ41+FY42-GH41)))</f>
        <v>182.4</v>
      </c>
      <c r="GA42" s="17">
        <f>FZ42*VLOOKUP('Données projet'!$B$17,Paramètres!$A$1:$I$89,3,0)*VLOOKUP('Données projet'!$B$17,Paramètres!$A$1:$I$89,5,0)</f>
        <v>159.34464000000003</v>
      </c>
      <c r="GB42" s="13">
        <f t="shared" si="49"/>
        <v>40.694661837553809</v>
      </c>
      <c r="GC42" s="20">
        <f t="shared" si="25"/>
        <v>348.4017840337396</v>
      </c>
      <c r="GD42" s="59">
        <f t="shared" si="26"/>
        <v>631.54385139356316</v>
      </c>
      <c r="GE42" s="59">
        <f ca="1">AVERAGE(OFFSET($GD$3,0,0,'Données projet'!$E$17+1,1))-AVERAGE(OFFSET($H$3,0,0,'Données projet'!$E$17+1,1))</f>
        <v>330.12856974146598</v>
      </c>
      <c r="GF42" s="59">
        <f t="shared" si="50"/>
        <v>321.23368446552286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5.0463820995291275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5.0463820995291275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67.22056382540643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8.4</v>
      </c>
      <c r="GU42" s="12">
        <f>IF('Données projet'!$A$270&gt;35,GU41+GT42-HC41,IF(A42&lt;'Données projet'!$A$270,$GR$205^A42,IF(A42='Données projet'!$A$270,'Données projet'!$B$270,GU41+GT42-HC41)))</f>
        <v>128.60000000000002</v>
      </c>
      <c r="GV42" s="17">
        <f>GU42*VLOOKUP('Données projet'!$B$18,Paramètres!$A$1:$I$89,3,0)*VLOOKUP('Données projet'!$B$18,Paramètres!$A$1:$I$89,5,0)</f>
        <v>86.264880000000019</v>
      </c>
      <c r="GW42" s="13">
        <f t="shared" si="51"/>
        <v>23.662193807539584</v>
      </c>
      <c r="GX42" s="20">
        <f t="shared" si="28"/>
        <v>191.45632021479813</v>
      </c>
      <c r="GY42" s="59">
        <f t="shared" si="29"/>
        <v>474.59838757462171</v>
      </c>
      <c r="GZ42" s="59">
        <f ca="1">AVERAGE(OFFSET($GY$3,0,0,'Données projet'!$E$18+1,1))-AVERAGE(OFFSET($H$3,0,0,'Données projet'!$E$18+1,1))</f>
        <v>296.67751292332753</v>
      </c>
      <c r="HA42" s="59">
        <f t="shared" si="52"/>
        <v>197.99510031603018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1.1000000000000001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4.0333333333333341</v>
      </c>
      <c r="H43" s="67">
        <f t="shared" si="1"/>
        <v>240.5333333333333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174.99999999999997</v>
      </c>
      <c r="O43" s="13">
        <f>N43*VLOOKUP('Données projet'!$B$9,Paramètres!$A$1:$I$89,3,0)*VLOOKUP('Données projet'!$B$9,Paramètres!$A$1:$I$89,5,0)</f>
        <v>158.33999999999997</v>
      </c>
      <c r="P43" s="13">
        <f t="shared" si="33"/>
        <v>40.467870812652819</v>
      </c>
      <c r="Q43" s="20">
        <f t="shared" si="53"/>
        <v>346.25704166537025</v>
      </c>
      <c r="R43" s="59">
        <f t="shared" si="0"/>
        <v>629.57590470557682</v>
      </c>
      <c r="S43" s="59">
        <f ca="1">AVERAGE(OFFSET($R$3,0,0,'Données projet'!$E$9+1,1))-AVERAGE(OFFSET($H$3,0,0,'Données projet'!$E$9+1,1))</f>
        <v>461.20962581398715</v>
      </c>
      <c r="T43" s="59">
        <f t="shared" si="34"/>
        <v>348.44322874953923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174.99999999999997</v>
      </c>
      <c r="AJ43" s="13">
        <f>AI43*VLOOKUP('Données projet'!$B$10,Paramètres!$A$1:$I$89,3,0)*VLOOKUP('Données projet'!$B$10,Paramètres!$A$1:$I$89,5,0)</f>
        <v>177.45</v>
      </c>
      <c r="AK43" s="13">
        <f t="shared" si="35"/>
        <v>44.754387900936791</v>
      </c>
      <c r="AL43" s="20">
        <f t="shared" si="4"/>
        <v>387.00597559413154</v>
      </c>
      <c r="AM43" s="59">
        <f t="shared" si="5"/>
        <v>670.32483863433811</v>
      </c>
      <c r="AN43" s="59">
        <f ca="1">AVERAGE(OFFSET($AM$3,0,0,'Données projet'!$E$10+1,1))-AVERAGE(OFFSET($H$3,0,0,'Données projet'!$E$10+1,1))</f>
        <v>510.86584023875525</v>
      </c>
      <c r="AO43" s="59">
        <f t="shared" si="36"/>
        <v>384.62921487244125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2.6992402913501592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2.6992402913501592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163</v>
      </c>
      <c r="BB43" s="12">
        <f>VLOOKUP(A43,'Données projet'!$A$87:$I$107,9,0)</f>
        <v>10.4</v>
      </c>
      <c r="BC43" s="12">
        <f t="array" ref="BC43">INDEX(BB:BB,MIN(IF(ISNUMBER(BB43:BB239),ROW(BB43:BB239),"")))</f>
        <v>10.4</v>
      </c>
      <c r="BD43" s="12">
        <f>IF('Données projet'!$A$88&gt;35,BD42+BC43-BL42,IF(A43&lt;'Données projet'!$A$88,$BA$205^A43,IF(A43='Données projet'!$A$88,'Données projet'!$B$88,BD42+BC43-BL42)))</f>
        <v>163.00000000000003</v>
      </c>
      <c r="BE43" s="13">
        <f>BD43*VLOOKUP('Données projet'!$B$11,Paramètres!$A$1:$I$89,3,0)*VLOOKUP('Données projet'!$B$11,Paramètres!$A$1:$I$89,5,0)</f>
        <v>119.51160000000003</v>
      </c>
      <c r="BF43" s="13">
        <f t="shared" si="37"/>
        <v>31.561060990985474</v>
      </c>
      <c r="BG43" s="20">
        <f t="shared" si="7"/>
        <v>263.11821789263303</v>
      </c>
      <c r="BH43" s="59">
        <f t="shared" si="8"/>
        <v>546.43708093283954</v>
      </c>
      <c r="BI43" s="59">
        <f ca="1">AVERAGE(OFFSET($BH$3,0,0,'Données projet'!$E$11+1,1))-AVERAGE(OFFSET($H$3,0,0,'Données projet'!$E$11+1,1))</f>
        <v>201.7253431547006</v>
      </c>
      <c r="BJ43" s="59">
        <f t="shared" si="38"/>
        <v>229.70004720044096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3.7195121021807416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3.7195121021807416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414</v>
      </c>
      <c r="BW43" s="12">
        <f>VLOOKUP(A43,'Données projet'!$A$113:$I$133,9,0)</f>
        <v>23.4</v>
      </c>
      <c r="BX43" s="12">
        <f t="array" ref="BX43">INDEX(BW:BW,MIN(IF(ISNUMBER(BW43:BW239),ROW(BW43:BW239),"")))</f>
        <v>23.4</v>
      </c>
      <c r="BY43" s="12">
        <f>IF('Données projet'!$A$114&gt;35,BY42+BX43-CG42,IF(A43&lt;'Données projet'!$A$114,$BV$205^A43,IF(A43='Données projet'!$A$114,'Données projet'!$B$114,BY42+BX43-CG42)))</f>
        <v>413.99999999999977</v>
      </c>
      <c r="BZ43" s="13">
        <f>BY43*VLOOKUP('Données projet'!$B$12,Paramètres!$A$1:$I$89,3,0)*VLOOKUP('Données projet'!$B$12,Paramètres!$A$1:$I$89,5,0)</f>
        <v>231.42599999999987</v>
      </c>
      <c r="CA43" s="13">
        <f t="shared" si="39"/>
        <v>56.590905067453171</v>
      </c>
      <c r="CB43" s="20">
        <f t="shared" si="10"/>
        <v>501.62944299248062</v>
      </c>
      <c r="CC43" s="59">
        <f t="shared" si="11"/>
        <v>784.94830603268724</v>
      </c>
      <c r="CD43" s="59">
        <f ca="1">AVERAGE(OFFSET($CC$3,0,0,'Données projet'!$E$12+1,1))-AVERAGE(OFFSET($H$3,0,0,'Données projet'!$E$12+1,1))</f>
        <v>462.09240749760784</v>
      </c>
      <c r="CE43" s="59">
        <f t="shared" si="40"/>
        <v>403.52202223463337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63</v>
      </c>
      <c r="CH43" s="16">
        <f>IF(ISNA(VLOOKUP(A43,'Données projet'!$A$113:$I$133,5,0)),0%,VLOOKUP(A43,'Données projet'!$A$113:$I$133,5,0)*VLOOKUP('Données projet'!$B$12,Paramètres!$A$1:$I$89,7,0))</f>
        <v>0.33</v>
      </c>
      <c r="CI43" s="16">
        <f>IF(ISNA(VLOOKUP(A43,'Données projet'!$A$113:$I$133,6,0)),0%,VLOOKUP(A43,'Données projet'!$A$113:$I$133,6,0)*VLOOKUP('Données projet'!$B$12,Paramètres!$A$1:$I$89,7,0))</f>
        <v>0.12100000000000001</v>
      </c>
      <c r="CJ43" s="16">
        <f>IF(ISNA(VLOOKUP(A43,'Données projet'!$A$113:$I$133,7,0)),0%,VLOOKUP(A43,'Données projet'!$A$113:$I$133,7,0))</f>
        <v>0.18</v>
      </c>
      <c r="CK43" s="21">
        <f>EXP(-LN(2)/35)*CK42+(1-EXP(-LN(2)/35))/(LN(2)/35)*CG43*CH43*VLOOKUP('Données projet'!$B$12,Paramètres!$A$1:$I$89,3,0)*0.475*44/12</f>
        <v>59.533258622668207</v>
      </c>
      <c r="CL43" s="21">
        <f>EXP(-LN(2)/25)*CL42+(1-EXP(-LN(2)/25))/(LN(2)/25)*Calculateur!CG43*Calculateur!CI43*VLOOKUP('Données projet'!$B$12,Paramètres!$A$1:$I$89,3,0)*0.475*44/12</f>
        <v>26.444756186793647</v>
      </c>
      <c r="CM43" s="21">
        <f>EXP(-LN(2)/2)*CM42+(1-EXP(-LN(2)/2))/(LN(2)/2)*CG43*CJ43*VLOOKUP('Données projet'!$B$12,Paramètres!$A$1:$I$89,3,0)*0.475*44/12</f>
        <v>8.7297436096851104</v>
      </c>
      <c r="CN43" s="22">
        <f t="shared" si="12"/>
        <v>94.70775841914697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300</v>
      </c>
      <c r="CR43" s="12">
        <f>VLOOKUP(A43,'Données projet'!$A$139:$I$159,9,0)</f>
        <v>14</v>
      </c>
      <c r="CS43" s="12">
        <f t="array" ref="CS43">INDEX(CR:CR,MIN(IF(ISNUMBER(CR43:CR239),ROW(CR43:CR239),"")))</f>
        <v>14</v>
      </c>
      <c r="CT43" s="12">
        <f>IF('Données projet'!$A$140&gt;35,CT42+CS43-DB42,IF(A43&lt;'Données projet'!$A$140,$CQ$205^A43,IF(A43='Données projet'!$A$140,'Données projet'!$B$140,CT42+CS43-DB42)))</f>
        <v>300</v>
      </c>
      <c r="CU43" s="17">
        <f>CT43*VLOOKUP('Données projet'!$B$13,Paramètres!$A$1:$I$89,3,0)*VLOOKUP('Données projet'!$B$13,Paramètres!$A$1:$I$89,5,0)</f>
        <v>140.4</v>
      </c>
      <c r="CV43" s="13">
        <f t="shared" si="41"/>
        <v>36.388624656711201</v>
      </c>
      <c r="CW43" s="20">
        <f t="shared" si="13"/>
        <v>307.90685461043864</v>
      </c>
      <c r="CX43" s="59">
        <f t="shared" si="14"/>
        <v>591.22571765064527</v>
      </c>
      <c r="CY43" s="59">
        <f ca="1">AVERAGE(OFFSET($CX$3,0,0,'Données projet'!$E$13+1,1))-AVERAGE(OFFSET($H$3,0,0,'Données projet'!$E$13+1,1))</f>
        <v>319.88925869887464</v>
      </c>
      <c r="CZ43" s="59">
        <f t="shared" si="42"/>
        <v>258.2857172412098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50</v>
      </c>
      <c r="DC43" s="16">
        <f>IF(ISNA(VLOOKUP(A43,'Données projet'!$A$139:$I$159,5,0)),0%,VLOOKUP(A43,'Données projet'!$A$139:$I$159,5,0)*VLOOKUP('Données projet'!$B$13,Paramètres!$A$1:$I$89,7,0))</f>
        <v>0.16500000000000001</v>
      </c>
      <c r="DD43" s="16">
        <f>IF(ISNA(VLOOKUP(A43,'Données projet'!$A$139:$I$159,6,0)),0%,VLOOKUP(A43,'Données projet'!$A$139:$I$159,6,0)*VLOOKUP('Données projet'!$B$13,Paramètres!$A$1:$I$89,7,0))</f>
        <v>0.21450000000000002</v>
      </c>
      <c r="DE43" s="16">
        <f>IF(ISNA(VLOOKUP(A43,'Données projet'!$A$139:$I$159,7,0)),0%,VLOOKUP(A43,'Données projet'!$A$139:$I$159,7,0))</f>
        <v>0.31</v>
      </c>
      <c r="DF43" s="21">
        <f>EXP(-LN(2)/35)*DF42+(1-EXP(-LN(2)/35))/(LN(2)/35)*DB43*DC43*VLOOKUP('Données projet'!$B$13,Paramètres!$A$1:$I$89,3,0)*0.475*44/12</f>
        <v>7.9229635261389344</v>
      </c>
      <c r="DG43" s="21">
        <f>EXP(-LN(2)/25)*DG42+(1-EXP(-LN(2)/25))/(LN(2)/25)*Calculateur!DB43*Calculateur!DD43*VLOOKUP('Données projet'!$B$13,Paramètres!$A$1:$I$89,3,0)*0.475*44/12</f>
        <v>16.8074552989316</v>
      </c>
      <c r="DH43" s="21">
        <f>EXP(-LN(2)/2)*DH42+(1-EXP(-LN(2)/2))/(LN(2)/2)*DB43*DE43*VLOOKUP('Données projet'!$B$13,Paramètres!$A$1:$I$89,3,0)*0.475*44/12</f>
        <v>8.5121011834483884</v>
      </c>
      <c r="DI43" s="22">
        <f t="shared" si="15"/>
        <v>33.242520008518923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20.269999999999996</v>
      </c>
      <c r="DO43" s="12">
        <f>IF('Données projet'!$A$166&gt;35,DO42+DN43-DW42,IF(A43&lt;'Données projet'!$A$166,$DL$205^A43,IF(A43='Données projet'!$A$166,'Données projet'!$B$166,DO42+DN43-DW42)))</f>
        <v>342.93</v>
      </c>
      <c r="DP43" s="17">
        <f>DO43*VLOOKUP('Données projet'!$B$14,Paramètres!$A$1:$I$89,3,0)*VLOOKUP('Données projet'!$B$14,Paramètres!$A$1:$I$89,5,0)</f>
        <v>205.07214000000002</v>
      </c>
      <c r="DQ43" s="13">
        <f t="shared" si="43"/>
        <v>50.857240608097577</v>
      </c>
      <c r="DR43" s="20">
        <f t="shared" si="16"/>
        <v>445.74367122576996</v>
      </c>
      <c r="DS43" s="59">
        <f t="shared" si="17"/>
        <v>729.06253426597652</v>
      </c>
      <c r="DT43" s="59">
        <f ca="1">AVERAGE(OFFSET($DS$3,0,0,'Données projet'!$E$14+1,1))-AVERAGE(OFFSET($H$3,0,0,'Données projet'!$E$14+1,1))</f>
        <v>443.64905827069435</v>
      </c>
      <c r="DU43" s="59">
        <f t="shared" si="44"/>
        <v>381.14782516862385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13.504913398926751</v>
      </c>
      <c r="EB43" s="21">
        <f>EXP(-LN(2)/25)*EB42+(1-EXP(-LN(2)/25))/(LN(2)/25)*Calculateur!DW43*Calculateur!DY43*VLOOKUP('Données projet'!$B$14,Paramètres!$A$1:$I$89,3,0)*0.475*44/12</f>
        <v>18.380583601428452</v>
      </c>
      <c r="EC43" s="21">
        <f>EXP(-LN(2)/2)*EC42+(1-EXP(-LN(2)/2))/(LN(2)/2)*DW43*DZ43*VLOOKUP('Données projet'!$B$14,Paramètres!$A$1:$I$89,3,0)*0.475*44/12</f>
        <v>3.9268359237432997</v>
      </c>
      <c r="ED43" s="22">
        <f t="shared" si="18"/>
        <v>35.812332924098499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343</v>
      </c>
      <c r="EH43" s="12">
        <f>VLOOKUP(A43,'Données projet'!$A$191:$I$211,9,0)</f>
        <v>9.4</v>
      </c>
      <c r="EI43" s="12">
        <f t="array" ref="EI43">INDEX(EH:EH,MIN(IF(ISNUMBER(EH43:EH239),ROW(EH43:EH239),"")))</f>
        <v>9.4</v>
      </c>
      <c r="EJ43" s="12">
        <f>IF('Données projet'!$A$192&gt;35,EJ42+EI43-ER42,IF(A43&lt;'Données projet'!$A$192,$EG$205^A43,IF(A43='Données projet'!$A$192,'Données projet'!$B$192,EJ42+EI43-ER42)))</f>
        <v>342.99999999999983</v>
      </c>
      <c r="EK43" s="17">
        <f>EJ43*VLOOKUP('Données projet'!$B$15,Paramètres!$A$1:$I$89,3,0)*VLOOKUP('Données projet'!$B$15,Paramètres!$A$1:$I$89,5,0)</f>
        <v>310.34639999999985</v>
      </c>
      <c r="EL43" s="13">
        <f t="shared" si="45"/>
        <v>73.341167576152998</v>
      </c>
      <c r="EM43" s="20">
        <f t="shared" si="19"/>
        <v>668.25584686179957</v>
      </c>
      <c r="EN43" s="59">
        <f t="shared" si="20"/>
        <v>951.57470990200613</v>
      </c>
      <c r="EO43" s="59">
        <f ca="1">AVERAGE(OFFSET($EN$3,0,0,'Données projet'!$E$15+1,1))-AVERAGE(OFFSET($H$3,0,0,'Données projet'!$E$15+1,1))</f>
        <v>504.37890861635196</v>
      </c>
      <c r="EP43" s="59">
        <f t="shared" si="46"/>
        <v>611.82129317522913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20</v>
      </c>
      <c r="ES43" s="16">
        <f>IF(ISNA(VLOOKUP(A43,'Données projet'!$A$191:$I$211,5,0)),0%,VLOOKUP(A43,'Données projet'!$A$191:$I$211,5,0)*VLOOKUP('Données projet'!$B$15,Paramètres!$A$1:$I$89,7,0))</f>
        <v>0.09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4.3306158906324992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4.3306158906324992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93</v>
      </c>
      <c r="FC43" s="12">
        <f>VLOOKUP(A43,'Données projet'!$A$217:$I$237,9,0)</f>
        <v>5.4</v>
      </c>
      <c r="FD43" s="12">
        <f t="array" ref="FD43">INDEX(FC:FC,MIN(IF(ISNUMBER(FC43:FC239),ROW(FC43:FC239),"")))</f>
        <v>5.4</v>
      </c>
      <c r="FE43" s="12">
        <f>IF('Données projet'!$A$218&gt;35,FE42+FD43-FM42,IF(A43&lt;'Données projet'!$A$218,$FB$205^A43,IF(A43='Données projet'!$A$218,'Données projet'!$B$218,FE42+FD43-FM42)))</f>
        <v>93.000000000000014</v>
      </c>
      <c r="FF43" s="17">
        <f>FE43*VLOOKUP('Données projet'!$B$16,Paramètres!$A$1:$I$89,3,0)*VLOOKUP('Données projet'!$B$16,Paramètres!$A$1:$I$89,5,0)</f>
        <v>100.10520000000001</v>
      </c>
      <c r="FG43" s="13">
        <f t="shared" si="47"/>
        <v>26.987058463795307</v>
      </c>
      <c r="FH43" s="20">
        <f t="shared" si="22"/>
        <v>221.35235015777684</v>
      </c>
      <c r="FI43" s="59">
        <f t="shared" si="23"/>
        <v>504.67121319798343</v>
      </c>
      <c r="FJ43" s="59">
        <f ca="1">AVERAGE(OFFSET($FI$3,0,0,'Données projet'!$E$16+1,1))-AVERAGE(OFFSET($H$3,0,0,'Données projet'!$E$16+1,1))</f>
        <v>334.01098870576732</v>
      </c>
      <c r="FK43" s="59">
        <f t="shared" si="48"/>
        <v>171.1802153303471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14</v>
      </c>
      <c r="FN43" s="16">
        <f>IF(ISNA(VLOOKUP(A43,'Données projet'!$A$217:$I$237,5,0)),0%,VLOOKUP(A43,'Données projet'!$A$217:$I$237,5,0)*VLOOKUP('Données projet'!$B$16,Paramètres!$A$1:$I$89,7,0))</f>
        <v>8.6000000000000007E-2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1.4326736931012383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1.4326736931012383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192</v>
      </c>
      <c r="FX43" s="12">
        <f>VLOOKUP(A43,'Données projet'!$A$243:$I$263,9,0)</f>
        <v>9.6</v>
      </c>
      <c r="FY43" s="12">
        <f t="array" ref="FY43">INDEX(FX:FX,MIN(IF(ISNUMBER(FX43:FX239),ROW(FX43:FX239),"")))</f>
        <v>9.6</v>
      </c>
      <c r="FZ43" s="12">
        <f>IF('Données projet'!$A$244&gt;35,FZ42+FY43-GH42,IF(A43&lt;'Données projet'!$A$244,$FW$205^A43,IF(A43='Données projet'!$A$244,'Données projet'!$B$244,FZ42+FY43-GH42)))</f>
        <v>192</v>
      </c>
      <c r="GA43" s="17">
        <f>FZ43*VLOOKUP('Données projet'!$B$17,Paramètres!$A$1:$I$89,3,0)*VLOOKUP('Données projet'!$B$17,Paramètres!$A$1:$I$89,5,0)</f>
        <v>167.73120000000003</v>
      </c>
      <c r="GB43" s="13">
        <f t="shared" si="49"/>
        <v>42.581491199832655</v>
      </c>
      <c r="GC43" s="20">
        <f t="shared" si="25"/>
        <v>366.29460383970854</v>
      </c>
      <c r="GD43" s="59">
        <f t="shared" si="26"/>
        <v>649.61346687991511</v>
      </c>
      <c r="GE43" s="59">
        <f ca="1">AVERAGE(OFFSET($GD$3,0,0,'Données projet'!$E$17+1,1))-AVERAGE(OFFSET($H$3,0,0,'Données projet'!$E$17+1,1))</f>
        <v>330.12856974146598</v>
      </c>
      <c r="GF43" s="59">
        <f t="shared" si="50"/>
        <v>321.23368446552286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0.159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9.2468953122355693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9.2468953122355693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67.268780829147246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137</v>
      </c>
      <c r="GS43" s="12">
        <f>VLOOKUP(A43,'Données projet'!$A$269:$I$289,9,0)</f>
        <v>8.4</v>
      </c>
      <c r="GT43" s="12">
        <f t="array" ref="GT43">INDEX(GS:GS,MIN(IF(ISNUMBER(GS43:GS239),ROW(GS43:GS239),"")))</f>
        <v>8.4</v>
      </c>
      <c r="GU43" s="12">
        <f>IF('Données projet'!$A$270&gt;35,GU42+GT43-HC42,IF(A43&lt;'Données projet'!$A$270,$GR$205^A43,IF(A43='Données projet'!$A$270,'Données projet'!$B$270,GU42+GT43-HC42)))</f>
        <v>137.00000000000003</v>
      </c>
      <c r="GV43" s="17">
        <f>GU43*VLOOKUP('Données projet'!$B$18,Paramètres!$A$1:$I$89,3,0)*VLOOKUP('Données projet'!$B$18,Paramètres!$A$1:$I$89,5,0)</f>
        <v>91.899600000000021</v>
      </c>
      <c r="GW43" s="13">
        <f t="shared" si="51"/>
        <v>25.022804363156492</v>
      </c>
      <c r="GX43" s="20">
        <f t="shared" si="28"/>
        <v>203.63985426583091</v>
      </c>
      <c r="GY43" s="59">
        <f t="shared" si="29"/>
        <v>486.95871730603744</v>
      </c>
      <c r="GZ43" s="59">
        <f ca="1">AVERAGE(OFFSET($GY$3,0,0,'Données projet'!$E$18+1,1))-AVERAGE(OFFSET($H$3,0,0,'Données projet'!$E$18+1,1))</f>
        <v>296.67751292332753</v>
      </c>
      <c r="HA43" s="59">
        <f t="shared" si="52"/>
        <v>197.99510031603018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21</v>
      </c>
      <c r="HD43" s="16">
        <f>IF(ISNA(VLOOKUP(A43,'Données projet'!$A$269:$I$289,5,0)),0%,VLOOKUP(A43,'Données projet'!$A$269:$I$289,5,0)*VLOOKUP('Données projet'!$B$18,Paramètres!$A$1:$I$89,7,0))</f>
        <v>0.10600000000000001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1.6506892550949051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1.6506892550949051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1.1000000000000001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4.0333333333333341</v>
      </c>
      <c r="H44" s="67">
        <f t="shared" si="1"/>
        <v>240.5333333333333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158.39999999999998</v>
      </c>
      <c r="O44" s="13">
        <f>N44*VLOOKUP('Données projet'!$B$9,Paramètres!$A$1:$I$89,3,0)*VLOOKUP('Données projet'!$B$9,Paramètres!$A$1:$I$89,5,0)</f>
        <v>143.32031999999998</v>
      </c>
      <c r="P44" s="13">
        <f t="shared" si="33"/>
        <v>37.056603420232349</v>
      </c>
      <c r="Q44" s="20">
        <f t="shared" si="53"/>
        <v>314.15647495690467</v>
      </c>
      <c r="R44" s="59">
        <f t="shared" si="0"/>
        <v>597.64906666769548</v>
      </c>
      <c r="S44" s="59">
        <f ca="1">AVERAGE(OFFSET($R$3,0,0,'Données projet'!$E$9+1,1))-AVERAGE(OFFSET($H$3,0,0,'Données projet'!$E$9+1,1))</f>
        <v>461.20962581398715</v>
      </c>
      <c r="T44" s="59">
        <f t="shared" si="34"/>
        <v>348.44322874953923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158.39999999999998</v>
      </c>
      <c r="AJ44" s="13">
        <f>AI44*VLOOKUP('Données projet'!$B$10,Paramètres!$A$1:$I$89,3,0)*VLOOKUP('Données projet'!$B$10,Paramètres!$A$1:$I$89,5,0)</f>
        <v>160.61759999999998</v>
      </c>
      <c r="AK44" s="13">
        <f t="shared" si="35"/>
        <v>40.981785561145074</v>
      </c>
      <c r="AL44" s="20">
        <f t="shared" si="4"/>
        <v>351.11892985232765</v>
      </c>
      <c r="AM44" s="59">
        <f t="shared" si="5"/>
        <v>634.61152156311846</v>
      </c>
      <c r="AN44" s="59">
        <f ca="1">AVERAGE(OFFSET($AM$3,0,0,'Données projet'!$E$10+1,1))-AVERAGE(OFFSET($H$3,0,0,'Données projet'!$E$10+1,1))</f>
        <v>510.86584023875525</v>
      </c>
      <c r="AO44" s="59">
        <f t="shared" si="36"/>
        <v>384.62921487244125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2.6463098356107944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2.6463098356107944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146.00000000000003</v>
      </c>
      <c r="BE44" s="13">
        <f>BD44*VLOOKUP('Données projet'!$B$11,Paramètres!$A$1:$I$89,3,0)*VLOOKUP('Données projet'!$B$11,Paramètres!$A$1:$I$89,5,0)</f>
        <v>107.0472</v>
      </c>
      <c r="BF44" s="13">
        <f t="shared" si="37"/>
        <v>28.634183951187907</v>
      </c>
      <c r="BG44" s="20">
        <f t="shared" si="7"/>
        <v>236.3117437149856</v>
      </c>
      <c r="BH44" s="59">
        <f t="shared" si="8"/>
        <v>519.80433542577646</v>
      </c>
      <c r="BI44" s="59">
        <f ca="1">AVERAGE(OFFSET($BH$3,0,0,'Données projet'!$E$11+1,1))-AVERAGE(OFFSET($H$3,0,0,'Données projet'!$E$11+1,1))</f>
        <v>201.7253431547006</v>
      </c>
      <c r="BJ44" s="59">
        <f t="shared" si="38"/>
        <v>229.70004720044096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3.646574738535346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3.646574738535346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21.8</v>
      </c>
      <c r="BY44" s="12">
        <f>IF('Données projet'!$A$114&gt;35,BY43+BX44-CG43,IF(A44&lt;'Données projet'!$A$114,$BV$205^A44,IF(A44='Données projet'!$A$114,'Données projet'!$B$114,BY43+BX44-CG43)))</f>
        <v>372.79999999999978</v>
      </c>
      <c r="BZ44" s="13">
        <f>BY44*VLOOKUP('Données projet'!$B$12,Paramètres!$A$1:$I$89,3,0)*VLOOKUP('Données projet'!$B$12,Paramètres!$A$1:$I$89,5,0)</f>
        <v>208.3951999999999</v>
      </c>
      <c r="CA44" s="13">
        <f t="shared" si="39"/>
        <v>51.584740104647317</v>
      </c>
      <c r="CB44" s="20">
        <f t="shared" si="10"/>
        <v>452.79839568226049</v>
      </c>
      <c r="CC44" s="59">
        <f t="shared" si="11"/>
        <v>736.29098739305141</v>
      </c>
      <c r="CD44" s="59">
        <f ca="1">AVERAGE(OFFSET($CC$3,0,0,'Données projet'!$E$12+1,1))-AVERAGE(OFFSET($H$3,0,0,'Données projet'!$E$12+1,1))</f>
        <v>462.09240749760784</v>
      </c>
      <c r="CE44" s="59">
        <f t="shared" si="40"/>
        <v>403.52202223463337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58.365847732779962</v>
      </c>
      <c r="CL44" s="21">
        <f>EXP(-LN(2)/25)*CL43+(1-EXP(-LN(2)/25))/(LN(2)/25)*Calculateur!CG44*Calculateur!CI44*VLOOKUP('Données projet'!$B$12,Paramètres!$A$1:$I$89,3,0)*0.475*44/12</f>
        <v>25.721622938196486</v>
      </c>
      <c r="CM44" s="21">
        <f>EXP(-LN(2)/2)*CM43+(1-EXP(-LN(2)/2))/(LN(2)/2)*CG44*CJ44*VLOOKUP('Données projet'!$B$12,Paramètres!$A$1:$I$89,3,0)*0.475*44/12</f>
        <v>6.172860904428271</v>
      </c>
      <c r="CN44" s="22">
        <f t="shared" si="12"/>
        <v>90.26033157540472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14</v>
      </c>
      <c r="CT44" s="12">
        <f>IF('Données projet'!$A$140&gt;35,CT43+CS44-DB43,IF(A44&lt;'Données projet'!$A$140,$CQ$205^A44,IF(A44='Données projet'!$A$140,'Données projet'!$B$140,CT43+CS44-DB43)))</f>
        <v>264</v>
      </c>
      <c r="CU44" s="17">
        <f>CT44*VLOOKUP('Données projet'!$B$13,Paramètres!$A$1:$I$89,3,0)*VLOOKUP('Données projet'!$B$13,Paramètres!$A$1:$I$89,5,0)</f>
        <v>123.55199999999999</v>
      </c>
      <c r="CV44" s="13">
        <f t="shared" si="41"/>
        <v>32.502033262579566</v>
      </c>
      <c r="CW44" s="20">
        <f t="shared" si="13"/>
        <v>271.79410793232609</v>
      </c>
      <c r="CX44" s="59">
        <f t="shared" si="14"/>
        <v>555.28669964311689</v>
      </c>
      <c r="CY44" s="59">
        <f ca="1">AVERAGE(OFFSET($CX$3,0,0,'Données projet'!$E$13+1,1))-AVERAGE(OFFSET($H$3,0,0,'Données projet'!$E$13+1,1))</f>
        <v>319.88925869887464</v>
      </c>
      <c r="CZ44" s="59">
        <f t="shared" si="42"/>
        <v>258.2857172412098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7.767599043921928</v>
      </c>
      <c r="DG44" s="21">
        <f>EXP(-LN(2)/25)*DG43+(1-EXP(-LN(2)/25))/(LN(2)/25)*Calculateur!DB44*Calculateur!DD44*VLOOKUP('Données projet'!$B$13,Paramètres!$A$1:$I$89,3,0)*0.475*44/12</f>
        <v>16.347854549916654</v>
      </c>
      <c r="DH44" s="21">
        <f>EXP(-LN(2)/2)*DH43+(1-EXP(-LN(2)/2))/(LN(2)/2)*DB44*DE44*VLOOKUP('Données projet'!$B$13,Paramètres!$A$1:$I$89,3,0)*0.475*44/12</f>
        <v>6.018964468962392</v>
      </c>
      <c r="DI44" s="22">
        <f t="shared" si="15"/>
        <v>30.134418062800972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363.2</v>
      </c>
      <c r="DM44" s="12">
        <f>VLOOKUP(A44,'Données projet'!$A$165:$I$185,9,0)</f>
        <v>20.269999999999996</v>
      </c>
      <c r="DN44" s="12">
        <f t="array" ref="DN44">INDEX(DM:DM,MIN(IF(ISNUMBER(DM44:DM240),ROW(DM44:DM240),"")))</f>
        <v>20.269999999999996</v>
      </c>
      <c r="DO44" s="12">
        <f>IF('Données projet'!$A$166&gt;35,DO43+DN44-DW43,IF(A44&lt;'Données projet'!$A$166,$DL$205^A44,IF(A44='Données projet'!$A$166,'Données projet'!$B$166,DO43+DN44-DW43)))</f>
        <v>363.2</v>
      </c>
      <c r="DP44" s="17">
        <f>DO44*VLOOKUP('Données projet'!$B$14,Paramètres!$A$1:$I$89,3,0)*VLOOKUP('Données projet'!$B$14,Paramètres!$A$1:$I$89,5,0)</f>
        <v>217.1936</v>
      </c>
      <c r="DQ44" s="13">
        <f t="shared" si="43"/>
        <v>53.504473537536725</v>
      </c>
      <c r="DR44" s="20">
        <f t="shared" si="16"/>
        <v>471.46581141120981</v>
      </c>
      <c r="DS44" s="59">
        <f t="shared" si="17"/>
        <v>754.95840312200062</v>
      </c>
      <c r="DT44" s="59">
        <f ca="1">AVERAGE(OFFSET($DS$3,0,0,'Données projet'!$E$14+1,1))-AVERAGE(OFFSET($H$3,0,0,'Données projet'!$E$14+1,1))</f>
        <v>443.64905827069435</v>
      </c>
      <c r="DU44" s="59">
        <f t="shared" si="44"/>
        <v>381.14782516862385</v>
      </c>
      <c r="DV44" s="15">
        <f>IF(ISNA(VLOOKUP(A44,'Données projet'!$A$165:$I$185,3,0)),0,VLOOKUP(A44,'Données projet'!$A$165:$I$185,3,0))</f>
        <v>8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13.240090284357617</v>
      </c>
      <c r="EB44" s="21">
        <f>EXP(-LN(2)/25)*EB43+(1-EXP(-LN(2)/25))/(LN(2)/25)*Calculateur!DW44*Calculateur!DY44*VLOOKUP('Données projet'!$B$14,Paramètres!$A$1:$I$89,3,0)*0.475*44/12</f>
        <v>17.877965576254507</v>
      </c>
      <c r="EC44" s="21">
        <f>EXP(-LN(2)/2)*EC43+(1-EXP(-LN(2)/2))/(LN(2)/2)*DW44*DZ44*VLOOKUP('Données projet'!$B$14,Paramètres!$A$1:$I$89,3,0)*0.475*44/12</f>
        <v>2.7766923102858279</v>
      </c>
      <c r="ED44" s="22">
        <f t="shared" si="18"/>
        <v>33.894748170897955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8.4</v>
      </c>
      <c r="EJ44" s="12">
        <f>IF('Données projet'!$A$192&gt;35,EJ43+EI44-ER43,IF(A44&lt;'Données projet'!$A$192,$EG$205^A44,IF(A44='Données projet'!$A$192,'Données projet'!$B$192,EJ43+EI44-ER43)))</f>
        <v>331.39999999999981</v>
      </c>
      <c r="EK44" s="17">
        <f>EJ44*VLOOKUP('Données projet'!$B$15,Paramètres!$A$1:$I$89,3,0)*VLOOKUP('Données projet'!$B$15,Paramètres!$A$1:$I$89,5,0)</f>
        <v>299.8507199999998</v>
      </c>
      <c r="EL44" s="13">
        <f t="shared" si="45"/>
        <v>71.145167747304271</v>
      </c>
      <c r="EM44" s="20">
        <f t="shared" si="19"/>
        <v>646.15117115988789</v>
      </c>
      <c r="EN44" s="59">
        <f t="shared" si="20"/>
        <v>929.64376287067876</v>
      </c>
      <c r="EO44" s="59">
        <f ca="1">AVERAGE(OFFSET($EN$3,0,0,'Données projet'!$E$15+1,1))-AVERAGE(OFFSET($H$3,0,0,'Données projet'!$E$15+1,1))</f>
        <v>504.37890861635196</v>
      </c>
      <c r="EP44" s="59">
        <f t="shared" si="46"/>
        <v>611.82129317522913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4.2456951544320711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4.2456951544320711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5.6</v>
      </c>
      <c r="FE44" s="12">
        <f>IF('Données projet'!$A$218&gt;35,FE43+FD44-FM43,IF(A44&lt;'Données projet'!$A$218,$FB$205^A44,IF(A44='Données projet'!$A$218,'Données projet'!$B$218,FE43+FD44-FM43)))</f>
        <v>84.600000000000009</v>
      </c>
      <c r="FF44" s="17">
        <f>FE44*VLOOKUP('Données projet'!$B$16,Paramètres!$A$1:$I$89,3,0)*VLOOKUP('Données projet'!$B$16,Paramètres!$A$1:$I$89,5,0)</f>
        <v>91.06344</v>
      </c>
      <c r="FG44" s="13">
        <f t="shared" si="47"/>
        <v>24.821525508693981</v>
      </c>
      <c r="FH44" s="20">
        <f t="shared" si="22"/>
        <v>201.83298159430865</v>
      </c>
      <c r="FI44" s="59">
        <f t="shared" si="23"/>
        <v>485.32557330509951</v>
      </c>
      <c r="FJ44" s="59">
        <f ca="1">AVERAGE(OFFSET($FI$3,0,0,'Données projet'!$E$16+1,1))-AVERAGE(OFFSET($H$3,0,0,'Données projet'!$E$16+1,1))</f>
        <v>334.01098870576732</v>
      </c>
      <c r="FK44" s="59">
        <f t="shared" si="48"/>
        <v>171.1802153303471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1.4045798358241908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1.4045798358241908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8.1999999999999993</v>
      </c>
      <c r="FZ44" s="12">
        <f>IF('Données projet'!$A$244&gt;35,FZ43+FY44-GH43,IF(A44&lt;'Données projet'!$A$244,$FW$205^A44,IF(A44='Données projet'!$A$244,'Données projet'!$B$244,FZ43+FY44-GH43)))</f>
        <v>172.2</v>
      </c>
      <c r="GA44" s="17">
        <f>FZ44*VLOOKUP('Données projet'!$B$17,Paramètres!$A$1:$I$89,3,0)*VLOOKUP('Données projet'!$B$17,Paramètres!$A$1:$I$89,5,0)</f>
        <v>150.43392</v>
      </c>
      <c r="GB44" s="13">
        <f t="shared" si="49"/>
        <v>38.677178913707927</v>
      </c>
      <c r="GC44" s="20">
        <f t="shared" si="25"/>
        <v>329.36849727470798</v>
      </c>
      <c r="GD44" s="59">
        <f t="shared" si="26"/>
        <v>612.86108898549878</v>
      </c>
      <c r="GE44" s="59">
        <f ca="1">AVERAGE(OFFSET($GD$3,0,0,'Données projet'!$E$17+1,1))-AVERAGE(OFFSET($H$3,0,0,'Données projet'!$E$17+1,1))</f>
        <v>330.12856974146598</v>
      </c>
      <c r="GF44" s="59">
        <f t="shared" si="50"/>
        <v>321.23368446552286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9.0655693352118618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9.0655693352118618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67.316161375670234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8.4</v>
      </c>
      <c r="GU44" s="12">
        <f>IF('Données projet'!$A$270&gt;35,GU43+GT44-HC43,IF(A44&lt;'Données projet'!$A$270,$GR$205^A44,IF(A44='Données projet'!$A$270,'Données projet'!$B$270,GU43+GT44-HC43)))</f>
        <v>124.40000000000003</v>
      </c>
      <c r="GV44" s="17">
        <f>GU44*VLOOKUP('Données projet'!$B$18,Paramètres!$A$1:$I$89,3,0)*VLOOKUP('Données projet'!$B$18,Paramètres!$A$1:$I$89,5,0)</f>
        <v>83.447520000000026</v>
      </c>
      <c r="GW44" s="13">
        <f t="shared" si="51"/>
        <v>22.978039697763734</v>
      </c>
      <c r="GX44" s="20">
        <f t="shared" si="28"/>
        <v>185.3578498069385</v>
      </c>
      <c r="GY44" s="59">
        <f t="shared" si="29"/>
        <v>468.85044151772934</v>
      </c>
      <c r="GZ44" s="59">
        <f ca="1">AVERAGE(OFFSET($GY$3,0,0,'Données projet'!$E$18+1,1))-AVERAGE(OFFSET($H$3,0,0,'Données projet'!$E$18+1,1))</f>
        <v>296.67751292332753</v>
      </c>
      <c r="HA44" s="59">
        <f t="shared" si="52"/>
        <v>197.99510031603018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1.6183202456235242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1.6183202456235242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1.1000000000000001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4.0333333333333341</v>
      </c>
      <c r="H45" s="67">
        <f t="shared" si="1"/>
        <v>240.5333333333333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169.79999999999998</v>
      </c>
      <c r="O45" s="13">
        <f>N45*VLOOKUP('Données projet'!$B$9,Paramètres!$A$1:$I$89,3,0)*VLOOKUP('Données projet'!$B$9,Paramètres!$A$1:$I$89,5,0)</f>
        <v>153.63503999999998</v>
      </c>
      <c r="P45" s="13">
        <f t="shared" si="33"/>
        <v>39.403506785222667</v>
      </c>
      <c r="Q45" s="20">
        <f t="shared" si="53"/>
        <v>336.20880231759611</v>
      </c>
      <c r="R45" s="59">
        <f t="shared" si="0"/>
        <v>619.87210889493576</v>
      </c>
      <c r="S45" s="59">
        <f ca="1">AVERAGE(OFFSET($R$3,0,0,'Données projet'!$E$9+1,1))-AVERAGE(OFFSET($H$3,0,0,'Données projet'!$E$9+1,1))</f>
        <v>461.20962581398715</v>
      </c>
      <c r="T45" s="59">
        <f t="shared" si="34"/>
        <v>348.44322874953923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9">
        <f t="shared" si="5"/>
        <v>659.43569644717854</v>
      </c>
      <c r="AN45" s="59">
        <f ca="1">AVERAGE(OFFSET($AM$3,0,0,'Données projet'!$E$10+1,1))-AVERAGE(OFFSET($H$3,0,0,'Données projet'!$E$10+1,1))</f>
        <v>510.86584023875525</v>
      </c>
      <c r="AO45" s="59">
        <f t="shared" si="36"/>
        <v>384.62921487244125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2.5944173138240885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2.5944173138240885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157.00000000000003</v>
      </c>
      <c r="BE45" s="13">
        <f>BD45*VLOOKUP('Données projet'!$B$11,Paramètres!$A$1:$I$89,3,0)*VLOOKUP('Données projet'!$B$11,Paramètres!$A$1:$I$89,5,0)</f>
        <v>115.11240000000001</v>
      </c>
      <c r="BF45" s="13">
        <f t="shared" si="37"/>
        <v>30.532302752785416</v>
      </c>
      <c r="BG45" s="20">
        <f t="shared" si="7"/>
        <v>253.66452396110128</v>
      </c>
      <c r="BH45" s="59">
        <f t="shared" si="8"/>
        <v>537.32783053844094</v>
      </c>
      <c r="BI45" s="59">
        <f ca="1">AVERAGE(OFFSET($BH$3,0,0,'Données projet'!$E$11+1,1))-AVERAGE(OFFSET($H$3,0,0,'Données projet'!$E$11+1,1))</f>
        <v>201.7253431547006</v>
      </c>
      <c r="BJ45" s="59">
        <f t="shared" si="38"/>
        <v>229.70004720044096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3.5750676321036376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3.5750676321036376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21.8</v>
      </c>
      <c r="BY45" s="12">
        <f>IF('Données projet'!$A$114&gt;35,BY44+BX45-CG44,IF(A45&lt;'Données projet'!$A$114,$BV$205^A45,IF(A45='Données projet'!$A$114,'Données projet'!$B$114,BY44+BX45-CG44)))</f>
        <v>394.5999999999998</v>
      </c>
      <c r="BZ45" s="13">
        <f>BY45*VLOOKUP('Données projet'!$B$12,Paramètres!$A$1:$I$89,3,0)*VLOOKUP('Données projet'!$B$12,Paramètres!$A$1:$I$89,5,0)</f>
        <v>220.58139999999989</v>
      </c>
      <c r="CA45" s="13">
        <f t="shared" si="39"/>
        <v>54.241230721401251</v>
      </c>
      <c r="CB45" s="20">
        <f t="shared" si="10"/>
        <v>478.649415173107</v>
      </c>
      <c r="CC45" s="59">
        <f t="shared" si="11"/>
        <v>762.3127217504466</v>
      </c>
      <c r="CD45" s="59">
        <f ca="1">AVERAGE(OFFSET($CC$3,0,0,'Données projet'!$E$12+1,1))-AVERAGE(OFFSET($H$3,0,0,'Données projet'!$E$12+1,1))</f>
        <v>462.09240749760784</v>
      </c>
      <c r="CE45" s="59">
        <f t="shared" si="40"/>
        <v>403.52202223463337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57.221329058392087</v>
      </c>
      <c r="CL45" s="21">
        <f>EXP(-LN(2)/25)*CL44+(1-EXP(-LN(2)/25))/(LN(2)/25)*Calculateur!CG45*Calculateur!CI45*VLOOKUP('Données projet'!$B$12,Paramètres!$A$1:$I$89,3,0)*0.475*44/12</f>
        <v>25.018263806310141</v>
      </c>
      <c r="CM45" s="21">
        <f>EXP(-LN(2)/2)*CM44+(1-EXP(-LN(2)/2))/(LN(2)/2)*CG45*CJ45*VLOOKUP('Données projet'!$B$12,Paramètres!$A$1:$I$89,3,0)*0.475*44/12</f>
        <v>4.3648718048425552</v>
      </c>
      <c r="CN45" s="22">
        <f t="shared" si="12"/>
        <v>86.604464669544782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14</v>
      </c>
      <c r="CT45" s="12">
        <f>IF('Données projet'!$A$140&gt;35,CT44+CS45-DB44,IF(A45&lt;'Données projet'!$A$140,$CQ$205^A45,IF(A45='Données projet'!$A$140,'Données projet'!$B$140,CT44+CS45-DB44)))</f>
        <v>278</v>
      </c>
      <c r="CU45" s="17">
        <f>CT45*VLOOKUP('Données projet'!$B$13,Paramètres!$A$1:$I$89,3,0)*VLOOKUP('Données projet'!$B$13,Paramètres!$A$1:$I$89,5,0)</f>
        <v>130.10400000000001</v>
      </c>
      <c r="CV45" s="13">
        <f t="shared" si="41"/>
        <v>34.020389560268086</v>
      </c>
      <c r="CW45" s="20">
        <f t="shared" si="13"/>
        <v>285.8499784841336</v>
      </c>
      <c r="CX45" s="59">
        <f t="shared" si="14"/>
        <v>569.5132850614732</v>
      </c>
      <c r="CY45" s="59">
        <f ca="1">AVERAGE(OFFSET($CX$3,0,0,'Données projet'!$E$13+1,1))-AVERAGE(OFFSET($H$3,0,0,'Données projet'!$E$13+1,1))</f>
        <v>319.88925869887464</v>
      </c>
      <c r="CZ45" s="59">
        <f t="shared" si="42"/>
        <v>258.2857172412098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7.6152811644382199</v>
      </c>
      <c r="DG45" s="21">
        <f>EXP(-LN(2)/25)*DG44+(1-EXP(-LN(2)/25))/(LN(2)/25)*Calculateur!DB45*Calculateur!DD45*VLOOKUP('Données projet'!$B$13,Paramètres!$A$1:$I$89,3,0)*0.475*44/12</f>
        <v>15.900821607552876</v>
      </c>
      <c r="DH45" s="21">
        <f>EXP(-LN(2)/2)*DH44+(1-EXP(-LN(2)/2))/(LN(2)/2)*DB45*DE45*VLOOKUP('Données projet'!$B$13,Paramètres!$A$1:$I$89,3,0)*0.475*44/12</f>
        <v>4.2560505917241942</v>
      </c>
      <c r="DI45" s="22">
        <f t="shared" si="15"/>
        <v>27.77215336371529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20.612000000000002</v>
      </c>
      <c r="DO45" s="12">
        <f>IF('Données projet'!$A$166&gt;35,DO44+DN45-DW44,IF(A45&lt;'Données projet'!$A$166,$DL$205^A45,IF(A45='Données projet'!$A$166,'Données projet'!$B$166,DO44+DN45-DW44)))</f>
        <v>383.81200000000001</v>
      </c>
      <c r="DP45" s="17">
        <f>DO45*VLOOKUP('Données projet'!$B$14,Paramètres!$A$1:$I$89,3,0)*VLOOKUP('Données projet'!$B$14,Paramètres!$A$1:$I$89,5,0)</f>
        <v>229.51957600000003</v>
      </c>
      <c r="DQ45" s="13">
        <f t="shared" si="43"/>
        <v>56.178789991832062</v>
      </c>
      <c r="DR45" s="20">
        <f t="shared" si="16"/>
        <v>497.59132076910754</v>
      </c>
      <c r="DS45" s="59">
        <f t="shared" si="17"/>
        <v>781.25462734644725</v>
      </c>
      <c r="DT45" s="59">
        <f ca="1">AVERAGE(OFFSET($DS$3,0,0,'Données projet'!$E$14+1,1))-AVERAGE(OFFSET($H$3,0,0,'Données projet'!$E$14+1,1))</f>
        <v>443.64905827069435</v>
      </c>
      <c r="DU45" s="59">
        <f t="shared" si="44"/>
        <v>381.14782516862385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12.980460189539032</v>
      </c>
      <c r="EB45" s="21">
        <f>EXP(-LN(2)/25)*EB44+(1-EXP(-LN(2)/25))/(LN(2)/25)*Calculateur!DW45*Calculateur!DY45*VLOOKUP('Données projet'!$B$14,Paramètres!$A$1:$I$89,3,0)*0.475*44/12</f>
        <v>17.389091667410479</v>
      </c>
      <c r="EC45" s="21">
        <f>EXP(-LN(2)/2)*EC44+(1-EXP(-LN(2)/2))/(LN(2)/2)*DW45*DZ45*VLOOKUP('Données projet'!$B$14,Paramètres!$A$1:$I$89,3,0)*0.475*44/12</f>
        <v>1.9634179618716501</v>
      </c>
      <c r="ED45" s="22">
        <f t="shared" si="18"/>
        <v>32.332969818821162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8.4</v>
      </c>
      <c r="EJ45" s="12">
        <f>IF('Données projet'!$A$192&gt;35,EJ44+EI45-ER44,IF(A45&lt;'Données projet'!$A$192,$EG$205^A45,IF(A45='Données projet'!$A$192,'Données projet'!$B$192,EJ44+EI45-ER44)))</f>
        <v>339.79999999999978</v>
      </c>
      <c r="EK45" s="17">
        <f>EJ45*VLOOKUP('Données projet'!$B$15,Paramètres!$A$1:$I$89,3,0)*VLOOKUP('Données projet'!$B$15,Paramètres!$A$1:$I$89,5,0)</f>
        <v>307.45103999999981</v>
      </c>
      <c r="EL45" s="13">
        <f t="shared" si="45"/>
        <v>72.736250347470119</v>
      </c>
      <c r="EM45" s="20">
        <f t="shared" si="19"/>
        <v>662.15953068851002</v>
      </c>
      <c r="EN45" s="59">
        <f t="shared" si="20"/>
        <v>945.82283726584967</v>
      </c>
      <c r="EO45" s="59">
        <f ca="1">AVERAGE(OFFSET($EN$3,0,0,'Données projet'!$E$15+1,1))-AVERAGE(OFFSET($H$3,0,0,'Données projet'!$E$15+1,1))</f>
        <v>504.37890861635196</v>
      </c>
      <c r="EP45" s="59">
        <f t="shared" si="46"/>
        <v>611.82129317522913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4.162439662071999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4.162439662071999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5.6</v>
      </c>
      <c r="FE45" s="12">
        <f>IF('Données projet'!$A$218&gt;35,FE44+FD45-FM44,IF(A45&lt;'Données projet'!$A$218,$FB$205^A45,IF(A45='Données projet'!$A$218,'Données projet'!$B$218,FE44+FD45-FM44)))</f>
        <v>90.2</v>
      </c>
      <c r="FF45" s="17">
        <f>FE45*VLOOKUP('Données projet'!$B$16,Paramètres!$A$1:$I$89,3,0)*VLOOKUP('Données projet'!$B$16,Paramètres!$A$1:$I$89,5,0)</f>
        <v>97.091279999999998</v>
      </c>
      <c r="FG45" s="13">
        <f t="shared" si="47"/>
        <v>26.267849122787243</v>
      </c>
      <c r="FH45" s="20">
        <f t="shared" si="22"/>
        <v>214.85048322218776</v>
      </c>
      <c r="FI45" s="59">
        <f t="shared" si="23"/>
        <v>498.51378979952744</v>
      </c>
      <c r="FJ45" s="59">
        <f ca="1">AVERAGE(OFFSET($FI$3,0,0,'Données projet'!$E$16+1,1))-AVERAGE(OFFSET($H$3,0,0,'Données projet'!$E$16+1,1))</f>
        <v>334.01098870576732</v>
      </c>
      <c r="FK45" s="59">
        <f t="shared" si="48"/>
        <v>171.1802153303471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1.3770368819527852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1.3770368819527852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8.1999999999999993</v>
      </c>
      <c r="FZ45" s="12">
        <f>IF('Données projet'!$A$244&gt;35,FZ44+FY45-GH44,IF(A45&lt;'Données projet'!$A$244,$FW$205^A45,IF(A45='Données projet'!$A$244,'Données projet'!$B$244,FZ44+FY45-GH44)))</f>
        <v>180.39999999999998</v>
      </c>
      <c r="GA45" s="17">
        <f>FZ45*VLOOKUP('Données projet'!$B$17,Paramètres!$A$1:$I$89,3,0)*VLOOKUP('Données projet'!$B$17,Paramètres!$A$1:$I$89,5,0)</f>
        <v>157.59744000000001</v>
      </c>
      <c r="GB45" s="13">
        <f t="shared" si="49"/>
        <v>40.300135037830529</v>
      </c>
      <c r="GC45" s="20">
        <f t="shared" si="25"/>
        <v>344.67160985755481</v>
      </c>
      <c r="GD45" s="59">
        <f t="shared" si="26"/>
        <v>628.33491643489447</v>
      </c>
      <c r="GE45" s="59">
        <f ca="1">AVERAGE(OFFSET($GD$3,0,0,'Données projet'!$E$17+1,1))-AVERAGE(OFFSET($H$3,0,0,'Données projet'!$E$17+1,1))</f>
        <v>330.12856974146598</v>
      </c>
      <c r="GF45" s="59">
        <f t="shared" si="50"/>
        <v>321.23368446552286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8.8877990499996642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8.8877990499996642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67.362719975638086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8.4</v>
      </c>
      <c r="GU45" s="12">
        <f>IF('Données projet'!$A$270&gt;35,GU44+GT45-HC44,IF(A45&lt;'Données projet'!$A$270,$GR$205^A45,IF(A45='Données projet'!$A$270,'Données projet'!$B$270,GU44+GT45-HC44)))</f>
        <v>132.80000000000004</v>
      </c>
      <c r="GV45" s="17">
        <f>GU45*VLOOKUP('Données projet'!$B$18,Paramètres!$A$1:$I$89,3,0)*VLOOKUP('Données projet'!$B$18,Paramètres!$A$1:$I$89,5,0)</f>
        <v>89.082240000000027</v>
      </c>
      <c r="GW45" s="13">
        <f t="shared" si="51"/>
        <v>24.343751517442186</v>
      </c>
      <c r="GX45" s="20">
        <f t="shared" si="28"/>
        <v>197.5502685595452</v>
      </c>
      <c r="GY45" s="59">
        <f t="shared" si="29"/>
        <v>481.21357513688486</v>
      </c>
      <c r="GZ45" s="59">
        <f ca="1">AVERAGE(OFFSET($GY$3,0,0,'Données projet'!$E$18+1,1))-AVERAGE(OFFSET($H$3,0,0,'Données projet'!$E$18+1,1))</f>
        <v>296.67751292332753</v>
      </c>
      <c r="HA45" s="59">
        <f t="shared" si="52"/>
        <v>197.99510031603018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1.5865859726847309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1.5865859726847309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1.1000000000000001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4.0333333333333341</v>
      </c>
      <c r="H46" s="67">
        <f t="shared" si="1"/>
        <v>240.5333333333333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9">
        <f t="shared" si="0"/>
        <v>642.06034550344589</v>
      </c>
      <c r="S46" s="59">
        <f ca="1">AVERAGE(OFFSET($R$3,0,0,'Données projet'!$E$9+1,1))-AVERAGE(OFFSET($H$3,0,0,'Données projet'!$E$9+1,1))</f>
        <v>461.20962581398715</v>
      </c>
      <c r="T46" s="59">
        <f t="shared" si="34"/>
        <v>348.44322874953923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9">
        <f t="shared" si="5"/>
        <v>684.22169265963521</v>
      </c>
      <c r="AN46" s="59">
        <f ca="1">AVERAGE(OFFSET($AM$3,0,0,'Données projet'!$E$10+1,1))-AVERAGE(OFFSET($H$3,0,0,'Données projet'!$E$10+1,1))</f>
        <v>510.86584023875525</v>
      </c>
      <c r="AO46" s="59">
        <f t="shared" si="36"/>
        <v>384.62921487244125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2.5435423727383069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2.5435423727383069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168.00000000000003</v>
      </c>
      <c r="BE46" s="13">
        <f>BD46*VLOOKUP('Données projet'!$B$11,Paramètres!$A$1:$I$89,3,0)*VLOOKUP('Données projet'!$B$11,Paramètres!$A$1:$I$89,5,0)</f>
        <v>123.17760000000001</v>
      </c>
      <c r="BF46" s="13">
        <f t="shared" si="37"/>
        <v>32.414991240570416</v>
      </c>
      <c r="BG46" s="20">
        <f t="shared" si="7"/>
        <v>270.99042974399345</v>
      </c>
      <c r="BH46" s="59">
        <f t="shared" si="8"/>
        <v>554.8214896666085</v>
      </c>
      <c r="BI46" s="59">
        <f ca="1">AVERAGE(OFFSET($BH$3,0,0,'Données projet'!$E$11+1,1))-AVERAGE(OFFSET($H$3,0,0,'Données projet'!$E$11+1,1))</f>
        <v>201.7253431547006</v>
      </c>
      <c r="BJ46" s="59">
        <f t="shared" si="38"/>
        <v>229.70004720044096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3.504962736414027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3.504962736414027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21.8</v>
      </c>
      <c r="BY46" s="12">
        <f>IF('Données projet'!$A$114&gt;35,BY45+BX46-CG45,IF(A46&lt;'Données projet'!$A$114,$BV$205^A46,IF(A46='Données projet'!$A$114,'Données projet'!$B$114,BY45+BX46-CG45)))</f>
        <v>416.39999999999981</v>
      </c>
      <c r="BZ46" s="13">
        <f>BY46*VLOOKUP('Données projet'!$B$12,Paramètres!$A$1:$I$89,3,0)*VLOOKUP('Données projet'!$B$12,Paramètres!$A$1:$I$89,5,0)</f>
        <v>232.76759999999987</v>
      </c>
      <c r="CA46" s="13">
        <f t="shared" si="39"/>
        <v>56.880684135164152</v>
      </c>
      <c r="CB46" s="20">
        <f t="shared" si="10"/>
        <v>504.47076153541065</v>
      </c>
      <c r="CC46" s="59">
        <f t="shared" si="11"/>
        <v>788.30182145802564</v>
      </c>
      <c r="CD46" s="59">
        <f ca="1">AVERAGE(OFFSET($CC$3,0,0,'Données projet'!$E$12+1,1))-AVERAGE(OFFSET($H$3,0,0,'Données projet'!$E$12+1,1))</f>
        <v>462.09240749760784</v>
      </c>
      <c r="CE46" s="59">
        <f t="shared" si="40"/>
        <v>403.52202223463337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56.099253697121497</v>
      </c>
      <c r="CL46" s="21">
        <f>EXP(-LN(2)/25)*CL45+(1-EXP(-LN(2)/25))/(LN(2)/25)*Calculateur!CG46*Calculateur!CI46*VLOOKUP('Données projet'!$B$12,Paramètres!$A$1:$I$89,3,0)*0.475*44/12</f>
        <v>24.334138066873276</v>
      </c>
      <c r="CM46" s="21">
        <f>EXP(-LN(2)/2)*CM45+(1-EXP(-LN(2)/2))/(LN(2)/2)*CG46*CJ46*VLOOKUP('Données projet'!$B$12,Paramètres!$A$1:$I$89,3,0)*0.475*44/12</f>
        <v>3.0864304522141355</v>
      </c>
      <c r="CN46" s="22">
        <f t="shared" si="12"/>
        <v>83.519822216208908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14</v>
      </c>
      <c r="CT46" s="12">
        <f>IF('Données projet'!$A$140&gt;35,CT45+CS46-DB45,IF(A46&lt;'Données projet'!$A$140,$CQ$205^A46,IF(A46='Données projet'!$A$140,'Données projet'!$B$140,CT45+CS46-DB45)))</f>
        <v>292</v>
      </c>
      <c r="CU46" s="17">
        <f>CT46*VLOOKUP('Données projet'!$B$13,Paramètres!$A$1:$I$89,3,0)*VLOOKUP('Données projet'!$B$13,Paramètres!$A$1:$I$89,5,0)</f>
        <v>136.65600000000001</v>
      </c>
      <c r="CV46" s="13">
        <f t="shared" si="41"/>
        <v>35.52986752364091</v>
      </c>
      <c r="CW46" s="20">
        <f t="shared" si="13"/>
        <v>299.89038593700792</v>
      </c>
      <c r="CX46" s="59">
        <f t="shared" si="14"/>
        <v>583.72144585962292</v>
      </c>
      <c r="CY46" s="59">
        <f ca="1">AVERAGE(OFFSET($CX$3,0,0,'Données projet'!$E$13+1,1))-AVERAGE(OFFSET($H$3,0,0,'Données projet'!$E$13+1,1))</f>
        <v>319.88925869887464</v>
      </c>
      <c r="CZ46" s="59">
        <f t="shared" si="42"/>
        <v>258.2857172412098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7.4659501456664543</v>
      </c>
      <c r="DG46" s="21">
        <f>EXP(-LN(2)/25)*DG45+(1-EXP(-LN(2)/25))/(LN(2)/25)*Calculateur!DB46*Calculateur!DD46*VLOOKUP('Données projet'!$B$13,Paramètres!$A$1:$I$89,3,0)*0.475*44/12</f>
        <v>15.466012804506477</v>
      </c>
      <c r="DH46" s="21">
        <f>EXP(-LN(2)/2)*DH45+(1-EXP(-LN(2)/2))/(LN(2)/2)*DB46*DE46*VLOOKUP('Données projet'!$B$13,Paramètres!$A$1:$I$89,3,0)*0.475*44/12</f>
        <v>3.009482234481196</v>
      </c>
      <c r="DI46" s="22">
        <f t="shared" si="15"/>
        <v>25.941445184654128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20.612000000000002</v>
      </c>
      <c r="DO46" s="12">
        <f>IF('Données projet'!$A$166&gt;35,DO45+DN46-DW45,IF(A46&lt;'Données projet'!$A$166,$DL$205^A46,IF(A46='Données projet'!$A$166,'Données projet'!$B$166,DO45+DN46-DW45)))</f>
        <v>404.42400000000004</v>
      </c>
      <c r="DP46" s="17">
        <f>DO46*VLOOKUP('Données projet'!$B$14,Paramètres!$A$1:$I$89,3,0)*VLOOKUP('Données projet'!$B$14,Paramètres!$A$1:$I$89,5,0)</f>
        <v>241.84555200000005</v>
      </c>
      <c r="DQ46" s="13">
        <f t="shared" si="43"/>
        <v>58.836432780420971</v>
      </c>
      <c r="DR46" s="20">
        <f t="shared" si="16"/>
        <v>523.68779015923326</v>
      </c>
      <c r="DS46" s="59">
        <f t="shared" si="17"/>
        <v>807.51885008184831</v>
      </c>
      <c r="DT46" s="59">
        <f ca="1">AVERAGE(OFFSET($DS$3,0,0,'Données projet'!$E$14+1,1))-AVERAGE(OFFSET($H$3,0,0,'Données projet'!$E$14+1,1))</f>
        <v>443.64905827069435</v>
      </c>
      <c r="DU46" s="59">
        <f t="shared" si="44"/>
        <v>381.14782516862385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12.725921282521119</v>
      </c>
      <c r="EB46" s="21">
        <f>EXP(-LN(2)/25)*EB45+(1-EXP(-LN(2)/25))/(LN(2)/25)*Calculateur!DW46*Calculateur!DY46*VLOOKUP('Données projet'!$B$14,Paramètres!$A$1:$I$89,3,0)*0.475*44/12</f>
        <v>16.913586041312552</v>
      </c>
      <c r="EC46" s="21">
        <f>EXP(-LN(2)/2)*EC45+(1-EXP(-LN(2)/2))/(LN(2)/2)*DW46*DZ46*VLOOKUP('Données projet'!$B$14,Paramètres!$A$1:$I$89,3,0)*0.475*44/12</f>
        <v>1.3883461551429142</v>
      </c>
      <c r="ED46" s="22">
        <f t="shared" si="18"/>
        <v>31.027853478976585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8.4</v>
      </c>
      <c r="EJ46" s="12">
        <f>IF('Données projet'!$A$192&gt;35,EJ45+EI46-ER45,IF(A46&lt;'Données projet'!$A$192,$EG$205^A46,IF(A46='Données projet'!$A$192,'Données projet'!$B$192,EJ45+EI46-ER45)))</f>
        <v>348.19999999999976</v>
      </c>
      <c r="EK46" s="17">
        <f>EJ46*VLOOKUP('Données projet'!$B$15,Paramètres!$A$1:$I$89,3,0)*VLOOKUP('Données projet'!$B$15,Paramètres!$A$1:$I$89,5,0)</f>
        <v>315.05135999999976</v>
      </c>
      <c r="EL46" s="13">
        <f t="shared" si="45"/>
        <v>74.322760763784132</v>
      </c>
      <c r="EM46" s="20">
        <f t="shared" si="19"/>
        <v>678.15992699692356</v>
      </c>
      <c r="EN46" s="59">
        <f t="shared" si="20"/>
        <v>961.99098691953861</v>
      </c>
      <c r="EO46" s="59">
        <f ca="1">AVERAGE(OFFSET($EN$3,0,0,'Données projet'!$E$15+1,1))-AVERAGE(OFFSET($H$3,0,0,'Données projet'!$E$15+1,1))</f>
        <v>504.37890861635196</v>
      </c>
      <c r="EP46" s="59">
        <f t="shared" si="46"/>
        <v>611.82129317522913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4.0808167591362716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4.0808167591362716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5.6</v>
      </c>
      <c r="FE46" s="12">
        <f>IF('Données projet'!$A$218&gt;35,FE45+FD46-FM45,IF(A46&lt;'Données projet'!$A$218,$FB$205^A46,IF(A46='Données projet'!$A$218,'Données projet'!$B$218,FE45+FD46-FM45)))</f>
        <v>95.8</v>
      </c>
      <c r="FF46" s="17">
        <f>FE46*VLOOKUP('Données projet'!$B$16,Paramètres!$A$1:$I$89,3,0)*VLOOKUP('Données projet'!$B$16,Paramètres!$A$1:$I$89,5,0)</f>
        <v>103.11911999999998</v>
      </c>
      <c r="FG46" s="13">
        <f t="shared" si="47"/>
        <v>27.703751333753903</v>
      </c>
      <c r="FH46" s="20">
        <f t="shared" si="22"/>
        <v>227.84983423962134</v>
      </c>
      <c r="FI46" s="59">
        <f t="shared" si="23"/>
        <v>511.68089416223643</v>
      </c>
      <c r="FJ46" s="59">
        <f ca="1">AVERAGE(OFFSET($FI$3,0,0,'Données projet'!$E$16+1,1))-AVERAGE(OFFSET($H$3,0,0,'Données projet'!$E$16+1,1))</f>
        <v>334.01098870576732</v>
      </c>
      <c r="FK46" s="59">
        <f t="shared" si="48"/>
        <v>171.1802153303471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1.350034028607255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1.350034028607255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8.1999999999999993</v>
      </c>
      <c r="FZ46" s="12">
        <f>IF('Données projet'!$A$244&gt;35,FZ45+FY46-GH45,IF(A46&lt;'Données projet'!$A$244,$FW$205^A46,IF(A46='Données projet'!$A$244,'Données projet'!$B$244,FZ45+FY46-GH45)))</f>
        <v>188.59999999999997</v>
      </c>
      <c r="GA46" s="17">
        <f>FZ46*VLOOKUP('Données projet'!$B$17,Paramètres!$A$1:$I$89,3,0)*VLOOKUP('Données projet'!$B$17,Paramètres!$A$1:$I$89,5,0)</f>
        <v>164.76095999999998</v>
      </c>
      <c r="GB46" s="13">
        <f t="shared" si="49"/>
        <v>41.91452380971991</v>
      </c>
      <c r="GC46" s="20">
        <f t="shared" si="25"/>
        <v>359.9598009685954</v>
      </c>
      <c r="GD46" s="59">
        <f t="shared" si="26"/>
        <v>643.79086089121051</v>
      </c>
      <c r="GE46" s="59">
        <f ca="1">AVERAGE(OFFSET($GD$3,0,0,'Données projet'!$E$17+1,1))-AVERAGE(OFFSET($H$3,0,0,'Données projet'!$E$17+1,1))</f>
        <v>330.12856974146598</v>
      </c>
      <c r="GF46" s="59">
        <f t="shared" si="50"/>
        <v>321.23368446552286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8.7135147316513102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8.7135147316513102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67.408470887985928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8.4</v>
      </c>
      <c r="GU46" s="12">
        <f>IF('Données projet'!$A$270&gt;35,GU45+GT46-HC45,IF(A46&lt;'Données projet'!$A$270,$GR$205^A46,IF(A46='Données projet'!$A$270,'Données projet'!$B$270,GU45+GT46-HC45)))</f>
        <v>141.20000000000005</v>
      </c>
      <c r="GV46" s="17">
        <f>GU46*VLOOKUP('Données projet'!$B$18,Paramètres!$A$1:$I$89,3,0)*VLOOKUP('Données projet'!$B$18,Paramètres!$A$1:$I$89,5,0)</f>
        <v>94.716960000000029</v>
      </c>
      <c r="GW46" s="13">
        <f t="shared" si="51"/>
        <v>25.69943794908513</v>
      </c>
      <c r="GX46" s="20">
        <f t="shared" si="28"/>
        <v>209.72522642799001</v>
      </c>
      <c r="GY46" s="59">
        <f t="shared" si="29"/>
        <v>493.55628635060509</v>
      </c>
      <c r="GZ46" s="59">
        <f ca="1">AVERAGE(OFFSET($GY$3,0,0,'Données projet'!$E$18+1,1))-AVERAGE(OFFSET($H$3,0,0,'Données projet'!$E$18+1,1))</f>
        <v>296.67751292332753</v>
      </c>
      <c r="HA46" s="59">
        <f t="shared" si="52"/>
        <v>197.99510031603018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1.555473989482272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1.555473989482272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1.1000000000000001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4.0333333333333341</v>
      </c>
      <c r="H47" s="67">
        <f t="shared" si="1"/>
        <v>240.5333333333333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9">
        <f t="shared" si="0"/>
        <v>664.21605937156983</v>
      </c>
      <c r="S47" s="59">
        <f ca="1">AVERAGE(OFFSET($R$3,0,0,'Données projet'!$E$9+1,1))-AVERAGE(OFFSET($H$3,0,0,'Données projet'!$E$9+1,1))</f>
        <v>461.20962581398715</v>
      </c>
      <c r="T47" s="59">
        <f t="shared" si="34"/>
        <v>348.44322874953923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</v>
      </c>
      <c r="AJ47" s="13">
        <f>AI47*VLOOKUP('Données projet'!$B$10,Paramètres!$A$1:$I$89,3,0)*VLOOKUP('Données projet'!$B$10,Paramètres!$A$1:$I$89,5,0)</f>
        <v>195.29640000000001</v>
      </c>
      <c r="AK47" s="13">
        <f t="shared" si="35"/>
        <v>48.709031383366153</v>
      </c>
      <c r="AL47" s="20">
        <f t="shared" si="4"/>
        <v>424.97612632602937</v>
      </c>
      <c r="AM47" s="59">
        <f t="shared" si="5"/>
        <v>708.97202944841956</v>
      </c>
      <c r="AN47" s="59">
        <f ca="1">AVERAGE(OFFSET($AM$3,0,0,'Données projet'!$E$10+1,1))-AVERAGE(OFFSET($H$3,0,0,'Données projet'!$E$10+1,1))</f>
        <v>510.86584023875525</v>
      </c>
      <c r="AO47" s="59">
        <f t="shared" si="36"/>
        <v>384.62921487244125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2.4936650582165671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2.4936650582165671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179.00000000000003</v>
      </c>
      <c r="BE47" s="13">
        <f>BD47*VLOOKUP('Données projet'!$B$11,Paramètres!$A$1:$I$89,3,0)*VLOOKUP('Données projet'!$B$11,Paramètres!$A$1:$I$89,5,0)</f>
        <v>131.24280000000002</v>
      </c>
      <c r="BF47" s="13">
        <f t="shared" si="37"/>
        <v>34.28337470677905</v>
      </c>
      <c r="BG47" s="20">
        <f t="shared" si="7"/>
        <v>288.29142094764018</v>
      </c>
      <c r="BH47" s="59">
        <f t="shared" si="8"/>
        <v>572.28732407003042</v>
      </c>
      <c r="BI47" s="59">
        <f ca="1">AVERAGE(OFFSET($BH$3,0,0,'Données projet'!$E$11+1,1))-AVERAGE(OFFSET($H$3,0,0,'Données projet'!$E$11+1,1))</f>
        <v>201.7253431547006</v>
      </c>
      <c r="BJ47" s="59">
        <f t="shared" si="38"/>
        <v>229.70004720044096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3.4362325549691253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3.4362325549691253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21.8</v>
      </c>
      <c r="BY47" s="12">
        <f>IF('Données projet'!$A$114&gt;35,BY46+BX47-CG46,IF(A47&lt;'Données projet'!$A$114,$BV$205^A47,IF(A47='Données projet'!$A$114,'Données projet'!$B$114,BY46+BX47-CG46)))</f>
        <v>438.19999999999982</v>
      </c>
      <c r="BZ47" s="13">
        <f>BY47*VLOOKUP('Données projet'!$B$12,Paramètres!$A$1:$I$89,3,0)*VLOOKUP('Données projet'!$B$12,Paramètres!$A$1:$I$89,5,0)</f>
        <v>244.95379999999992</v>
      </c>
      <c r="CA47" s="13">
        <f t="shared" si="39"/>
        <v>59.504094029978972</v>
      </c>
      <c r="CB47" s="20">
        <f t="shared" si="10"/>
        <v>530.2641654355466</v>
      </c>
      <c r="CC47" s="59">
        <f t="shared" si="11"/>
        <v>814.26006855793685</v>
      </c>
      <c r="CD47" s="59">
        <f ca="1">AVERAGE(OFFSET($CC$3,0,0,'Données projet'!$E$12+1,1))-AVERAGE(OFFSET($H$3,0,0,'Données projet'!$E$12+1,1))</f>
        <v>462.09240749760784</v>
      </c>
      <c r="CE47" s="59">
        <f t="shared" si="40"/>
        <v>403.52202223463337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54.999181549287037</v>
      </c>
      <c r="CL47" s="21">
        <f>EXP(-LN(2)/25)*CL46+(1-EXP(-LN(2)/25))/(LN(2)/25)*Calculateur!CG47*Calculateur!CI47*VLOOKUP('Données projet'!$B$12,Paramètres!$A$1:$I$89,3,0)*0.475*44/12</f>
        <v>23.668719781757922</v>
      </c>
      <c r="CM47" s="21">
        <f>EXP(-LN(2)/2)*CM46+(1-EXP(-LN(2)/2))/(LN(2)/2)*CG47*CJ47*VLOOKUP('Données projet'!$B$12,Paramètres!$A$1:$I$89,3,0)*0.475*44/12</f>
        <v>2.1824359024212776</v>
      </c>
      <c r="CN47" s="22">
        <f t="shared" si="12"/>
        <v>80.850337233466234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14</v>
      </c>
      <c r="CT47" s="12">
        <f>IF('Données projet'!$A$140&gt;35,CT46+CS47-DB46,IF(A47&lt;'Données projet'!$A$140,$CQ$205^A47,IF(A47='Données projet'!$A$140,'Données projet'!$B$140,CT46+CS47-DB46)))</f>
        <v>306</v>
      </c>
      <c r="CU47" s="17">
        <f>CT47*VLOOKUP('Données projet'!$B$13,Paramètres!$A$1:$I$89,3,0)*VLOOKUP('Données projet'!$B$13,Paramètres!$A$1:$I$89,5,0)</f>
        <v>143.208</v>
      </c>
      <c r="CV47" s="13">
        <f t="shared" si="41"/>
        <v>37.030941422835802</v>
      </c>
      <c r="CW47" s="20">
        <f t="shared" si="13"/>
        <v>313.91615631143901</v>
      </c>
      <c r="CX47" s="59">
        <f t="shared" si="14"/>
        <v>597.9120594338292</v>
      </c>
      <c r="CY47" s="59">
        <f ca="1">AVERAGE(OFFSET($CX$3,0,0,'Données projet'!$E$13+1,1))-AVERAGE(OFFSET($H$3,0,0,'Données projet'!$E$13+1,1))</f>
        <v>319.88925869887464</v>
      </c>
      <c r="CZ47" s="59">
        <f t="shared" si="42"/>
        <v>258.2857172412098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7.3195474170898756</v>
      </c>
      <c r="DG47" s="21">
        <f>EXP(-LN(2)/25)*DG46+(1-EXP(-LN(2)/25))/(LN(2)/25)*Calculateur!DB47*Calculateur!DD47*VLOOKUP('Données projet'!$B$13,Paramètres!$A$1:$I$89,3,0)*0.475*44/12</f>
        <v>15.043093871044981</v>
      </c>
      <c r="DH47" s="21">
        <f>EXP(-LN(2)/2)*DH46+(1-EXP(-LN(2)/2))/(LN(2)/2)*DB47*DE47*VLOOKUP('Données projet'!$B$13,Paramètres!$A$1:$I$89,3,0)*0.475*44/12</f>
        <v>2.1280252958620971</v>
      </c>
      <c r="DI47" s="22">
        <f t="shared" si="15"/>
        <v>24.490666583996955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20.612000000000002</v>
      </c>
      <c r="DO47" s="12">
        <f>IF('Données projet'!$A$166&gt;35,DO46+DN47-DW46,IF(A47&lt;'Données projet'!$A$166,$DL$205^A47,IF(A47='Données projet'!$A$166,'Données projet'!$B$166,DO46+DN47-DW46)))</f>
        <v>425.03600000000006</v>
      </c>
      <c r="DP47" s="17">
        <f>DO47*VLOOKUP('Données projet'!$B$14,Paramètres!$A$1:$I$89,3,0)*VLOOKUP('Données projet'!$B$14,Paramètres!$A$1:$I$89,5,0)</f>
        <v>254.17152800000005</v>
      </c>
      <c r="DQ47" s="13">
        <f t="shared" si="43"/>
        <v>61.47834864609284</v>
      </c>
      <c r="DR47" s="20">
        <f t="shared" si="16"/>
        <v>549.75686849194506</v>
      </c>
      <c r="DS47" s="59">
        <f t="shared" si="17"/>
        <v>833.7527716143353</v>
      </c>
      <c r="DT47" s="59">
        <f ca="1">AVERAGE(OFFSET($DS$3,0,0,'Données projet'!$E$14+1,1))-AVERAGE(OFFSET($H$3,0,0,'Données projet'!$E$14+1,1))</f>
        <v>443.64905827069435</v>
      </c>
      <c r="DU47" s="59">
        <f t="shared" si="44"/>
        <v>381.14782516862385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12.476373728216425</v>
      </c>
      <c r="EB47" s="21">
        <f>EXP(-LN(2)/25)*EB46+(1-EXP(-LN(2)/25))/(LN(2)/25)*Calculateur!DW47*Calculateur!DY47*VLOOKUP('Données projet'!$B$14,Paramètres!$A$1:$I$89,3,0)*0.475*44/12</f>
        <v>16.451083141566027</v>
      </c>
      <c r="EC47" s="21">
        <f>EXP(-LN(2)/2)*EC46+(1-EXP(-LN(2)/2))/(LN(2)/2)*DW47*DZ47*VLOOKUP('Données projet'!$B$14,Paramètres!$A$1:$I$89,3,0)*0.475*44/12</f>
        <v>0.98170898093582526</v>
      </c>
      <c r="ED47" s="22">
        <f t="shared" si="18"/>
        <v>29.909165850718278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8.4</v>
      </c>
      <c r="EJ47" s="12">
        <f>IF('Données projet'!$A$192&gt;35,EJ46+EI47-ER46,IF(A47&lt;'Données projet'!$A$192,$EG$205^A47,IF(A47='Données projet'!$A$192,'Données projet'!$B$192,EJ46+EI47-ER46)))</f>
        <v>356.59999999999974</v>
      </c>
      <c r="EK47" s="17">
        <f>EJ47*VLOOKUP('Données projet'!$B$15,Paramètres!$A$1:$I$89,3,0)*VLOOKUP('Données projet'!$B$15,Paramètres!$A$1:$I$89,5,0)</f>
        <v>322.65167999999977</v>
      </c>
      <c r="EL47" s="13">
        <f t="shared" si="45"/>
        <v>75.904821986191507</v>
      </c>
      <c r="EM47" s="20">
        <f t="shared" si="19"/>
        <v>694.15257429261646</v>
      </c>
      <c r="EN47" s="59">
        <f t="shared" si="20"/>
        <v>978.14847741500671</v>
      </c>
      <c r="EO47" s="59">
        <f ca="1">AVERAGE(OFFSET($EN$3,0,0,'Données projet'!$E$15+1,1))-AVERAGE(OFFSET($H$3,0,0,'Données projet'!$E$15+1,1))</f>
        <v>504.37890861635196</v>
      </c>
      <c r="EP47" s="59">
        <f t="shared" si="46"/>
        <v>611.82129317522913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4.0007944315420589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4.0007944315420589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5.6</v>
      </c>
      <c r="FE47" s="12">
        <f>IF('Données projet'!$A$218&gt;35,FE46+FD47-FM46,IF(A47&lt;'Données projet'!$A$218,$FB$205^A47,IF(A47='Données projet'!$A$218,'Données projet'!$B$218,FE46+FD47-FM46)))</f>
        <v>101.39999999999999</v>
      </c>
      <c r="FF47" s="17">
        <f>FE47*VLOOKUP('Données projet'!$B$16,Paramètres!$A$1:$I$89,3,0)*VLOOKUP('Données projet'!$B$16,Paramètres!$A$1:$I$89,5,0)</f>
        <v>109.14695999999999</v>
      </c>
      <c r="FG47" s="13">
        <f t="shared" si="47"/>
        <v>29.129910721485377</v>
      </c>
      <c r="FH47" s="20">
        <f t="shared" si="22"/>
        <v>240.83221650658706</v>
      </c>
      <c r="FI47" s="59">
        <f t="shared" si="23"/>
        <v>524.82811962897733</v>
      </c>
      <c r="FJ47" s="59">
        <f ca="1">AVERAGE(OFFSET($FI$3,0,0,'Données projet'!$E$16+1,1))-AVERAGE(OFFSET($H$3,0,0,'Données projet'!$E$16+1,1))</f>
        <v>334.01098870576732</v>
      </c>
      <c r="FK47" s="59">
        <f t="shared" si="48"/>
        <v>171.1802153303471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1.3235606847457162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1.3235606847457162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8.1999999999999993</v>
      </c>
      <c r="FZ47" s="12">
        <f>IF('Données projet'!$A$244&gt;35,FZ46+FY47-GH46,IF(A47&lt;'Données projet'!$A$244,$FW$205^A47,IF(A47='Données projet'!$A$244,'Données projet'!$B$244,FZ46+FY47-GH46)))</f>
        <v>196.79999999999995</v>
      </c>
      <c r="GA47" s="17">
        <f>FZ47*VLOOKUP('Données projet'!$B$17,Paramètres!$A$1:$I$89,3,0)*VLOOKUP('Données projet'!$B$17,Paramètres!$A$1:$I$89,5,0)</f>
        <v>171.92447999999999</v>
      </c>
      <c r="GB47" s="13">
        <f t="shared" si="49"/>
        <v>43.520760297647755</v>
      </c>
      <c r="GC47" s="20">
        <f t="shared" si="25"/>
        <v>375.23379351840316</v>
      </c>
      <c r="GD47" s="59">
        <f t="shared" si="26"/>
        <v>659.22969664079346</v>
      </c>
      <c r="GE47" s="59">
        <f ca="1">AVERAGE(OFFSET($GD$3,0,0,'Données projet'!$E$17+1,1))-AVERAGE(OFFSET($H$3,0,0,'Données projet'!$E$17+1,1))</f>
        <v>330.12856974146598</v>
      </c>
      <c r="GF47" s="59">
        <f t="shared" si="50"/>
        <v>321.23368446552286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8.5426480224828296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8.5426480224828296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67.453428124288251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8.4</v>
      </c>
      <c r="GU47" s="12">
        <f>IF('Données projet'!$A$270&gt;35,GU46+GT47-HC46,IF(A47&lt;'Données projet'!$A$270,$GR$205^A47,IF(A47='Données projet'!$A$270,'Données projet'!$B$270,GU46+GT47-HC46)))</f>
        <v>149.60000000000005</v>
      </c>
      <c r="GV47" s="17">
        <f>GU47*VLOOKUP('Données projet'!$B$18,Paramètres!$A$1:$I$89,3,0)*VLOOKUP('Données projet'!$B$18,Paramètres!$A$1:$I$89,5,0)</f>
        <v>100.35168000000003</v>
      </c>
      <c r="GW47" s="13">
        <f t="shared" si="51"/>
        <v>27.045763332704858</v>
      </c>
      <c r="GX47" s="20">
        <f t="shared" si="28"/>
        <v>221.88388047112767</v>
      </c>
      <c r="GY47" s="59">
        <f t="shared" si="29"/>
        <v>505.87978359351791</v>
      </c>
      <c r="GZ47" s="59">
        <f ca="1">AVERAGE(OFFSET($GY$3,0,0,'Données projet'!$E$18+1,1))-AVERAGE(OFFSET($H$3,0,0,'Données projet'!$E$18+1,1))</f>
        <v>296.67751292332753</v>
      </c>
      <c r="HA47" s="59">
        <f t="shared" si="52"/>
        <v>197.99510031603018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1.5249720932939774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1.5249720932939774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1.1000000000000001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4.0333333333333341</v>
      </c>
      <c r="H48" s="67">
        <f t="shared" si="1"/>
        <v>240.5333333333333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</v>
      </c>
      <c r="O48" s="13">
        <f>N48*VLOOKUP('Données projet'!$B$9,Paramètres!$A$1:$I$89,3,0)*VLOOKUP('Données projet'!$B$9,Paramètres!$A$1:$I$89,5,0)</f>
        <v>184.57919999999999</v>
      </c>
      <c r="P48" s="13">
        <f t="shared" si="33"/>
        <v>46.339479465836618</v>
      </c>
      <c r="Q48" s="20">
        <f t="shared" si="53"/>
        <v>402.18336673633206</v>
      </c>
      <c r="R48" s="59">
        <f t="shared" si="0"/>
        <v>686.34125339751552</v>
      </c>
      <c r="S48" s="59">
        <f ca="1">AVERAGE(OFFSET($R$3,0,0,'Données projet'!$E$9+1,1))-AVERAGE(OFFSET($H$3,0,0,'Données projet'!$E$9+1,1))</f>
        <v>461.20962581398715</v>
      </c>
      <c r="T48" s="59">
        <f t="shared" si="34"/>
        <v>348.44322874953923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</v>
      </c>
      <c r="AJ48" s="13">
        <f>AI48*VLOOKUP('Données projet'!$B$10,Paramètres!$A$1:$I$89,3,0)*VLOOKUP('Données projet'!$B$10,Paramètres!$A$1:$I$89,5,0)</f>
        <v>206.85599999999999</v>
      </c>
      <c r="AK48" s="13">
        <f t="shared" si="35"/>
        <v>51.247940588293027</v>
      </c>
      <c r="AL48" s="20">
        <f t="shared" si="4"/>
        <v>449.53102985794368</v>
      </c>
      <c r="AM48" s="59">
        <f t="shared" si="5"/>
        <v>733.68891651912713</v>
      </c>
      <c r="AN48" s="59">
        <f ca="1">AVERAGE(OFFSET($AM$3,0,0,'Données projet'!$E$10+1,1))-AVERAGE(OFFSET($H$3,0,0,'Données projet'!$E$10+1,1))</f>
        <v>510.86584023875525</v>
      </c>
      <c r="AO48" s="59">
        <f t="shared" si="36"/>
        <v>384.62921487244125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5.1440060987606007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5.1440060987606007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190</v>
      </c>
      <c r="BB48" s="12">
        <f>VLOOKUP(A48,'Données projet'!$A$87:$I$107,9,0)</f>
        <v>11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190.00000000000003</v>
      </c>
      <c r="BE48" s="13">
        <f>BD48*VLOOKUP('Données projet'!$B$11,Paramètres!$A$1:$I$89,3,0)*VLOOKUP('Données projet'!$B$11,Paramètres!$A$1:$I$89,5,0)</f>
        <v>139.30800000000002</v>
      </c>
      <c r="BF48" s="13">
        <f t="shared" si="37"/>
        <v>36.138432324006359</v>
      </c>
      <c r="BG48" s="20">
        <f t="shared" si="7"/>
        <v>305.5692029643111</v>
      </c>
      <c r="BH48" s="59">
        <f t="shared" si="8"/>
        <v>589.7270896254945</v>
      </c>
      <c r="BI48" s="59">
        <f ca="1">AVERAGE(OFFSET($BH$3,0,0,'Données projet'!$E$11+1,1))-AVERAGE(OFFSET($H$3,0,0,'Données projet'!$E$11+1,1))</f>
        <v>201.7253431547006</v>
      </c>
      <c r="BJ48" s="59">
        <f t="shared" si="38"/>
        <v>229.70004720044096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0.129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6.2964876772331824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6.2964876772331824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460</v>
      </c>
      <c r="BW48" s="12">
        <f>VLOOKUP(A48,'Données projet'!$A$113:$I$133,9,0)</f>
        <v>21.8</v>
      </c>
      <c r="BX48" s="12">
        <f t="array" ref="BX48">INDEX(BW:BW,MIN(IF(ISNUMBER(BW48:BW244),ROW(BW48:BW244),"")))</f>
        <v>21.8</v>
      </c>
      <c r="BY48" s="12">
        <f>IF('Données projet'!$A$114&gt;35,BY47+BX48-CG47,IF(A48&lt;'Données projet'!$A$114,$BV$205^A48,IF(A48='Données projet'!$A$114,'Données projet'!$B$114,BY47+BX48-CG47)))</f>
        <v>459.99999999999983</v>
      </c>
      <c r="BZ48" s="13">
        <f>BY48*VLOOKUP('Données projet'!$B$12,Paramètres!$A$1:$I$89,3,0)*VLOOKUP('Données projet'!$B$12,Paramètres!$A$1:$I$89,5,0)</f>
        <v>257.13999999999993</v>
      </c>
      <c r="CA48" s="13">
        <f t="shared" si="39"/>
        <v>62.112349635142181</v>
      </c>
      <c r="CB48" s="20">
        <f t="shared" si="10"/>
        <v>556.03117561453917</v>
      </c>
      <c r="CC48" s="59">
        <f t="shared" si="11"/>
        <v>840.18906227572256</v>
      </c>
      <c r="CD48" s="59">
        <f ca="1">AVERAGE(OFFSET($CC$3,0,0,'Données projet'!$E$12+1,1))-AVERAGE(OFFSET($H$3,0,0,'Données projet'!$E$12+1,1))</f>
        <v>462.09240749760784</v>
      </c>
      <c r="CE48" s="59">
        <f t="shared" si="40"/>
        <v>403.52202223463337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63</v>
      </c>
      <c r="CH48" s="16">
        <f>IF(ISNA(VLOOKUP(A48,'Données projet'!$A$113:$I$133,5,0)),0%,VLOOKUP(A48,'Données projet'!$A$113:$I$133,5,0)*VLOOKUP('Données projet'!$B$12,Paramètres!$A$1:$I$89,7,0))</f>
        <v>0.33</v>
      </c>
      <c r="CI48" s="16">
        <f>IF(ISNA(VLOOKUP(A48,'Données projet'!$A$113:$I$133,6,0)),0%,VLOOKUP(A48,'Données projet'!$A$113:$I$133,6,0)*VLOOKUP('Données projet'!$B$12,Paramètres!$A$1:$I$89,7,0))</f>
        <v>0.12100000000000001</v>
      </c>
      <c r="CJ48" s="16">
        <f>IF(ISNA(VLOOKUP(A48,'Données projet'!$A$113:$I$133,7,0)),0%,VLOOKUP(A48,'Données projet'!$A$113:$I$133,7,0))</f>
        <v>0.18</v>
      </c>
      <c r="CK48" s="21">
        <f>EXP(-LN(2)/35)*CK47+(1-EXP(-LN(2)/35))/(LN(2)/35)*CG48*CH48*VLOOKUP('Données projet'!$B$12,Paramètres!$A$1:$I$89,3,0)*0.475*44/12</f>
        <v>69.337495886274567</v>
      </c>
      <c r="CL48" s="21">
        <f>EXP(-LN(2)/25)*CL47+(1-EXP(-LN(2)/25))/(LN(2)/25)*Calculateur!CG48*Calculateur!CI48*VLOOKUP('Données projet'!$B$12,Paramètres!$A$1:$I$89,3,0)*0.475*44/12</f>
        <v>28.652072112570664</v>
      </c>
      <c r="CM48" s="21">
        <f>EXP(-LN(2)/2)*CM47+(1-EXP(-LN(2)/2))/(LN(2)/2)*CG48*CJ48*VLOOKUP('Données projet'!$B$12,Paramètres!$A$1:$I$89,3,0)*0.475*44/12</f>
        <v>8.7205036940651848</v>
      </c>
      <c r="CN48" s="22">
        <f t="shared" si="12"/>
        <v>106.71007169291042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14</v>
      </c>
      <c r="CT48" s="12">
        <f>IF('Données projet'!$A$140&gt;35,CT47+CS48-DB47,IF(A48&lt;'Données projet'!$A$140,$CQ$205^A48,IF(A48='Données projet'!$A$140,'Données projet'!$B$140,CT47+CS48-DB47)))</f>
        <v>320</v>
      </c>
      <c r="CU48" s="17">
        <f>CT48*VLOOKUP('Données projet'!$B$13,Paramètres!$A$1:$I$89,3,0)*VLOOKUP('Données projet'!$B$13,Paramètres!$A$1:$I$89,5,0)</f>
        <v>149.76</v>
      </c>
      <c r="CV48" s="13">
        <f t="shared" si="41"/>
        <v>38.524039677774802</v>
      </c>
      <c r="CW48" s="20">
        <f t="shared" si="13"/>
        <v>327.92803577212442</v>
      </c>
      <c r="CX48" s="59">
        <f t="shared" si="14"/>
        <v>612.08592243330781</v>
      </c>
      <c r="CY48" s="59">
        <f ca="1">AVERAGE(OFFSET($CX$3,0,0,'Données projet'!$E$13+1,1))-AVERAGE(OFFSET($H$3,0,0,'Données projet'!$E$13+1,1))</f>
        <v>319.88925869887464</v>
      </c>
      <c r="CZ48" s="59">
        <f t="shared" si="42"/>
        <v>258.2857172412098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7.1760155567238364</v>
      </c>
      <c r="DG48" s="21">
        <f>EXP(-LN(2)/25)*DG47+(1-EXP(-LN(2)/25))/(LN(2)/25)*Calculateur!DB48*Calculateur!DD48*VLOOKUP('Données projet'!$B$13,Paramètres!$A$1:$I$89,3,0)*0.475*44/12</f>
        <v>14.631739678059331</v>
      </c>
      <c r="DH48" s="21">
        <f>EXP(-LN(2)/2)*DH47+(1-EXP(-LN(2)/2))/(LN(2)/2)*DB48*DE48*VLOOKUP('Données projet'!$B$13,Paramètres!$A$1:$I$89,3,0)*0.475*44/12</f>
        <v>1.504741117240598</v>
      </c>
      <c r="DI48" s="22">
        <f t="shared" si="15"/>
        <v>23.312496352023764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20.612000000000002</v>
      </c>
      <c r="DO48" s="12">
        <f>IF('Données projet'!$A$166&gt;35,DO47+DN48-DW47,IF(A48&lt;'Données projet'!$A$166,$DL$205^A48,IF(A48='Données projet'!$A$166,'Données projet'!$B$166,DO47+DN48-DW47)))</f>
        <v>445.64800000000008</v>
      </c>
      <c r="DP48" s="17">
        <f>DO48*VLOOKUP('Données projet'!$B$14,Paramètres!$A$1:$I$89,3,0)*VLOOKUP('Données projet'!$B$14,Paramètres!$A$1:$I$89,5,0)</f>
        <v>266.49750400000005</v>
      </c>
      <c r="DQ48" s="13">
        <f t="shared" si="43"/>
        <v>64.105387319635156</v>
      </c>
      <c r="DR48" s="20">
        <f t="shared" si="16"/>
        <v>575.80003571503119</v>
      </c>
      <c r="DS48" s="59">
        <f t="shared" si="17"/>
        <v>859.95792237621458</v>
      </c>
      <c r="DT48" s="59">
        <f ca="1">AVERAGE(OFFSET($DS$3,0,0,'Données projet'!$E$14+1,1))-AVERAGE(OFFSET($H$3,0,0,'Données projet'!$E$14+1,1))</f>
        <v>443.64905827069435</v>
      </c>
      <c r="DU48" s="59">
        <f t="shared" si="44"/>
        <v>381.14782516862385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12.231719649242665</v>
      </c>
      <c r="EB48" s="21">
        <f>EXP(-LN(2)/25)*EB47+(1-EXP(-LN(2)/25))/(LN(2)/25)*Calculateur!DW48*Calculateur!DY48*VLOOKUP('Données projet'!$B$14,Paramètres!$A$1:$I$89,3,0)*0.475*44/12</f>
        <v>16.001227407935041</v>
      </c>
      <c r="EC48" s="21">
        <f>EXP(-LN(2)/2)*EC47+(1-EXP(-LN(2)/2))/(LN(2)/2)*DW48*DZ48*VLOOKUP('Données projet'!$B$14,Paramètres!$A$1:$I$89,3,0)*0.475*44/12</f>
        <v>0.69417307757145719</v>
      </c>
      <c r="ED48" s="22">
        <f t="shared" si="18"/>
        <v>28.92712013474916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365</v>
      </c>
      <c r="EH48" s="12">
        <f>VLOOKUP(A48,'Données projet'!$A$191:$I$211,9,0)</f>
        <v>8.4</v>
      </c>
      <c r="EI48" s="12">
        <f t="array" ref="EI48">INDEX(EH:EH,MIN(IF(ISNUMBER(EH48:EH244),ROW(EH48:EH244),"")))</f>
        <v>8.4</v>
      </c>
      <c r="EJ48" s="12">
        <f>IF('Données projet'!$A$192&gt;35,EJ47+EI48-ER47,IF(A48&lt;'Données projet'!$A$192,$EG$205^A48,IF(A48='Données projet'!$A$192,'Données projet'!$B$192,EJ47+EI48-ER47)))</f>
        <v>364.99999999999972</v>
      </c>
      <c r="EK48" s="17">
        <f>EJ48*VLOOKUP('Données projet'!$B$15,Paramètres!$A$1:$I$89,3,0)*VLOOKUP('Données projet'!$B$15,Paramètres!$A$1:$I$89,5,0)</f>
        <v>330.25199999999973</v>
      </c>
      <c r="EL48" s="13">
        <f t="shared" si="45"/>
        <v>77.482550879850876</v>
      </c>
      <c r="EM48" s="20">
        <f t="shared" si="19"/>
        <v>710.13767611573974</v>
      </c>
      <c r="EN48" s="59">
        <f t="shared" si="20"/>
        <v>994.29556277692313</v>
      </c>
      <c r="EO48" s="59">
        <f ca="1">AVERAGE(OFFSET($EN$3,0,0,'Données projet'!$E$15+1,1))-AVERAGE(OFFSET($H$3,0,0,'Données projet'!$E$15+1,1))</f>
        <v>504.37890861635196</v>
      </c>
      <c r="EP48" s="59">
        <f t="shared" si="46"/>
        <v>611.82129317522913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18</v>
      </c>
      <c r="ES48" s="16">
        <f>IF(ISNA(VLOOKUP(A48,'Données projet'!$A$191:$I$211,5,0)),0%,VLOOKUP(A48,'Données projet'!$A$191:$I$211,5,0)*VLOOKUP('Données projet'!$B$15,Paramètres!$A$1:$I$89,7,0))</f>
        <v>0.09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5.5427132440134574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5.5427132440134574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107</v>
      </c>
      <c r="FC48" s="12">
        <f>VLOOKUP(A48,'Données projet'!$A$217:$I$237,9,0)</f>
        <v>5.6</v>
      </c>
      <c r="FD48" s="12">
        <f t="array" ref="FD48">INDEX(FC:FC,MIN(IF(ISNUMBER(FC48:FC244),ROW(FC48:FC244),"")))</f>
        <v>5.6</v>
      </c>
      <c r="FE48" s="12">
        <f>IF('Données projet'!$A$218&gt;35,FE47+FD48-FM47,IF(A48&lt;'Données projet'!$A$218,$FB$205^A48,IF(A48='Données projet'!$A$218,'Données projet'!$B$218,FE47+FD48-FM47)))</f>
        <v>106.99999999999999</v>
      </c>
      <c r="FF48" s="17">
        <f>FE48*VLOOKUP('Données projet'!$B$16,Paramètres!$A$1:$I$89,3,0)*VLOOKUP('Données projet'!$B$16,Paramètres!$A$1:$I$89,5,0)</f>
        <v>115.17479999999998</v>
      </c>
      <c r="FG48" s="13">
        <f t="shared" si="47"/>
        <v>30.546926681092497</v>
      </c>
      <c r="FH48" s="20">
        <f t="shared" si="22"/>
        <v>253.79867396956936</v>
      </c>
      <c r="FI48" s="59">
        <f t="shared" si="23"/>
        <v>537.95656063075285</v>
      </c>
      <c r="FJ48" s="59">
        <f ca="1">AVERAGE(OFFSET($FI$3,0,0,'Données projet'!$E$16+1,1))-AVERAGE(OFFSET($H$3,0,0,'Données projet'!$E$16+1,1))</f>
        <v>334.01098870576732</v>
      </c>
      <c r="FK48" s="59">
        <f t="shared" si="48"/>
        <v>171.1802153303471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14</v>
      </c>
      <c r="FN48" s="16">
        <f>IF(ISNA(VLOOKUP(A48,'Données projet'!$A$217:$I$237,5,0)),0%,VLOOKUP(A48,'Données projet'!$A$217:$I$237,5,0)*VLOOKUP('Données projet'!$B$16,Paramètres!$A$1:$I$89,7,0))</f>
        <v>8.6000000000000007E-2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2.7302801601113948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2.7302801601113948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205</v>
      </c>
      <c r="FX48" s="12">
        <f>VLOOKUP(A48,'Données projet'!$A$243:$I$263,9,0)</f>
        <v>8.1999999999999993</v>
      </c>
      <c r="FY48" s="12">
        <f t="array" ref="FY48">INDEX(FX:FX,MIN(IF(ISNUMBER(FX48:FX244),ROW(FX48:FX244),"")))</f>
        <v>8.1999999999999993</v>
      </c>
      <c r="FZ48" s="12">
        <f>IF('Données projet'!$A$244&gt;35,FZ47+FY48-GH47,IF(A48&lt;'Données projet'!$A$244,$FW$205^A48,IF(A48='Données projet'!$A$244,'Données projet'!$B$244,FZ47+FY48-GH47)))</f>
        <v>204.99999999999994</v>
      </c>
      <c r="GA48" s="17">
        <f>FZ48*VLOOKUP('Données projet'!$B$17,Paramètres!$A$1:$I$89,3,0)*VLOOKUP('Données projet'!$B$17,Paramètres!$A$1:$I$89,5,0)</f>
        <v>179.08799999999997</v>
      </c>
      <c r="GB48" s="13">
        <f t="shared" si="49"/>
        <v>45.119223023956835</v>
      </c>
      <c r="GC48" s="20">
        <f t="shared" si="25"/>
        <v>390.49424676672476</v>
      </c>
      <c r="GD48" s="59">
        <f t="shared" si="26"/>
        <v>674.65213342790821</v>
      </c>
      <c r="GE48" s="59">
        <f ca="1">AVERAGE(OFFSET($GD$3,0,0,'Données projet'!$E$17+1,1))-AVERAGE(OFFSET($H$3,0,0,'Données projet'!$E$17+1,1))</f>
        <v>330.12856974146598</v>
      </c>
      <c r="GF48" s="59">
        <f t="shared" si="50"/>
        <v>321.23368446552286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0.159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11.75328665987557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11.75328665987557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67.497605453050042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158</v>
      </c>
      <c r="GS48" s="12">
        <f>VLOOKUP(A48,'Données projet'!$A$269:$I$289,9,0)</f>
        <v>8.4</v>
      </c>
      <c r="GT48" s="12">
        <f t="array" ref="GT48">INDEX(GS:GS,MIN(IF(ISNUMBER(GS48:GS244),ROW(GS48:GS244),"")))</f>
        <v>8.4</v>
      </c>
      <c r="GU48" s="12">
        <f>IF('Données projet'!$A$270&gt;35,GU47+GT48-HC47,IF(A48&lt;'Données projet'!$A$270,$GR$205^A48,IF(A48='Données projet'!$A$270,'Données projet'!$B$270,GU47+GT48-HC47)))</f>
        <v>158.00000000000006</v>
      </c>
      <c r="GV48" s="17">
        <f>GU48*VLOOKUP('Données projet'!$B$18,Paramètres!$A$1:$I$89,3,0)*VLOOKUP('Données projet'!$B$18,Paramètres!$A$1:$I$89,5,0)</f>
        <v>105.98640000000005</v>
      </c>
      <c r="GW48" s="13">
        <f t="shared" si="51"/>
        <v>28.383313189586875</v>
      </c>
      <c r="GX48" s="20">
        <f t="shared" si="28"/>
        <v>234.02725047186388</v>
      </c>
      <c r="GY48" s="59">
        <f t="shared" si="29"/>
        <v>518.18513713304731</v>
      </c>
      <c r="GZ48" s="59">
        <f ca="1">AVERAGE(OFFSET($GY$3,0,0,'Données projet'!$E$18+1,1))-AVERAGE(OFFSET($H$3,0,0,'Données projet'!$E$18+1,1))</f>
        <v>296.67751292332753</v>
      </c>
      <c r="HA48" s="59">
        <f t="shared" si="52"/>
        <v>197.99510031603018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21</v>
      </c>
      <c r="HD48" s="16">
        <f>IF(ISNA(VLOOKUP(A48,'Données projet'!$A$269:$I$289,5,0)),0%,VLOOKUP(A48,'Données projet'!$A$269:$I$289,5,0)*VLOOKUP('Données projet'!$B$18,Paramètres!$A$1:$I$89,7,0))</f>
        <v>0.10600000000000001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3.1457575757805207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3.1457575757805207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1.1000000000000001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4.0333333333333341</v>
      </c>
      <c r="H49" s="67">
        <f t="shared" si="1"/>
        <v>240.5333333333333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</v>
      </c>
      <c r="O49" s="13">
        <f>N49*VLOOKUP('Données projet'!$B$9,Paramètres!$A$1:$I$89,3,0)*VLOOKUP('Données projet'!$B$9,Paramètres!$A$1:$I$89,5,0)</f>
        <v>169.19759999999999</v>
      </c>
      <c r="P49" s="13">
        <f t="shared" si="33"/>
        <v>42.910263223432885</v>
      </c>
      <c r="Q49" s="20">
        <f t="shared" si="53"/>
        <v>369.42119511414558</v>
      </c>
      <c r="R49" s="59">
        <f t="shared" si="0"/>
        <v>653.73825526186522</v>
      </c>
      <c r="S49" s="59">
        <f ca="1">AVERAGE(OFFSET($R$3,0,0,'Données projet'!$E$9+1,1))-AVERAGE(OFFSET($H$3,0,0,'Données projet'!$E$9+1,1))</f>
        <v>461.20962581398715</v>
      </c>
      <c r="T49" s="59">
        <f t="shared" si="34"/>
        <v>348.44322874953923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</v>
      </c>
      <c r="AJ49" s="13">
        <f>AI49*VLOOKUP('Données projet'!$B$10,Paramètres!$A$1:$I$89,3,0)*VLOOKUP('Données projet'!$B$10,Paramètres!$A$1:$I$89,5,0)</f>
        <v>189.61799999999999</v>
      </c>
      <c r="AK49" s="13">
        <f t="shared" si="35"/>
        <v>47.4554881852685</v>
      </c>
      <c r="AL49" s="20">
        <f t="shared" si="4"/>
        <v>412.90299192267594</v>
      </c>
      <c r="AM49" s="59">
        <f t="shared" si="5"/>
        <v>697.22005207039558</v>
      </c>
      <c r="AN49" s="59">
        <f ca="1">AVERAGE(OFFSET($AM$3,0,0,'Données projet'!$E$10+1,1))-AVERAGE(OFFSET($H$3,0,0,'Données projet'!$E$10+1,1))</f>
        <v>510.86584023875525</v>
      </c>
      <c r="AO49" s="59">
        <f t="shared" si="36"/>
        <v>384.62921487244125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5.0431352766978197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5.0431352766978197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173.00000000000003</v>
      </c>
      <c r="BE49" s="13">
        <f>BD49*VLOOKUP('Données projet'!$B$11,Paramètres!$A$1:$I$89,3,0)*VLOOKUP('Données projet'!$B$11,Paramètres!$A$1:$I$89,5,0)</f>
        <v>126.84360000000001</v>
      </c>
      <c r="BF49" s="13">
        <f t="shared" si="37"/>
        <v>33.26596788929173</v>
      </c>
      <c r="BG49" s="20">
        <f t="shared" si="7"/>
        <v>278.85749740718308</v>
      </c>
      <c r="BH49" s="59">
        <f t="shared" si="8"/>
        <v>563.17455755490278</v>
      </c>
      <c r="BI49" s="59">
        <f ca="1">AVERAGE(OFFSET($BH$3,0,0,'Données projet'!$E$11+1,1))-AVERAGE(OFFSET($H$3,0,0,'Données projet'!$E$11+1,1))</f>
        <v>201.7253431547006</v>
      </c>
      <c r="BJ49" s="59">
        <f t="shared" si="38"/>
        <v>229.70004720044096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6.1730173943609072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6.1730173943609072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20.2</v>
      </c>
      <c r="BY49" s="12">
        <f>IF('Données projet'!$A$114&gt;35,BY48+BX49-CG48,IF(A49&lt;'Données projet'!$A$114,$BV$205^A49,IF(A49='Données projet'!$A$114,'Données projet'!$B$114,BY48+BX49-CG48)))</f>
        <v>417.19999999999982</v>
      </c>
      <c r="BZ49" s="13">
        <f>BY49*VLOOKUP('Données projet'!$B$12,Paramètres!$A$1:$I$89,3,0)*VLOOKUP('Données projet'!$B$12,Paramètres!$A$1:$I$89,5,0)</f>
        <v>233.21479999999991</v>
      </c>
      <c r="CA49" s="13">
        <f t="shared" si="39"/>
        <v>56.977233907865298</v>
      </c>
      <c r="CB49" s="20">
        <f t="shared" si="10"/>
        <v>505.41779238953194</v>
      </c>
      <c r="CC49" s="59">
        <f t="shared" si="11"/>
        <v>789.73485253725153</v>
      </c>
      <c r="CD49" s="59">
        <f ca="1">AVERAGE(OFFSET($CC$3,0,0,'Données projet'!$E$12+1,1))-AVERAGE(OFFSET($H$3,0,0,'Données projet'!$E$12+1,1))</f>
        <v>462.09240749760784</v>
      </c>
      <c r="CE49" s="59">
        <f t="shared" si="40"/>
        <v>403.52202223463337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67.977829883641249</v>
      </c>
      <c r="CL49" s="21">
        <f>EXP(-LN(2)/25)*CL48+(1-EXP(-LN(2)/25))/(LN(2)/25)*Calculateur!CG49*Calculateur!CI49*VLOOKUP('Données projet'!$B$12,Paramètres!$A$1:$I$89,3,0)*0.475*44/12</f>
        <v>27.868579693905431</v>
      </c>
      <c r="CM49" s="21">
        <f>EXP(-LN(2)/2)*CM48+(1-EXP(-LN(2)/2))/(LN(2)/2)*CG49*CJ49*VLOOKUP('Données projet'!$B$12,Paramètres!$A$1:$I$89,3,0)*0.475*44/12</f>
        <v>6.1663272974358305</v>
      </c>
      <c r="CN49" s="22">
        <f t="shared" si="12"/>
        <v>102.01273687498251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14</v>
      </c>
      <c r="CT49" s="12">
        <f>IF('Données projet'!$A$140&gt;35,CT48+CS49-DB48,IF(A49&lt;'Données projet'!$A$140,$CQ$205^A49,IF(A49='Données projet'!$A$140,'Données projet'!$B$140,CT48+CS49-DB48)))</f>
        <v>334</v>
      </c>
      <c r="CU49" s="17">
        <f>CT49*VLOOKUP('Données projet'!$B$13,Paramètres!$A$1:$I$89,3,0)*VLOOKUP('Données projet'!$B$13,Paramètres!$A$1:$I$89,5,0)</f>
        <v>156.31200000000001</v>
      </c>
      <c r="CV49" s="13">
        <f t="shared" si="41"/>
        <v>40.009551101892576</v>
      </c>
      <c r="CW49" s="20">
        <f t="shared" si="13"/>
        <v>341.92670150246295</v>
      </c>
      <c r="CX49" s="59">
        <f t="shared" si="14"/>
        <v>626.24376165018259</v>
      </c>
      <c r="CY49" s="59">
        <f ca="1">AVERAGE(OFFSET($CX$3,0,0,'Données projet'!$E$13+1,1))-AVERAGE(OFFSET($H$3,0,0,'Données projet'!$E$13+1,1))</f>
        <v>319.88925869887464</v>
      </c>
      <c r="CZ49" s="59">
        <f t="shared" si="42"/>
        <v>258.2857172412098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7.0352982685937846</v>
      </c>
      <c r="DG49" s="21">
        <f>EXP(-LN(2)/25)*DG48+(1-EXP(-LN(2)/25))/(LN(2)/25)*Calculateur!DB49*Calculateur!DD49*VLOOKUP('Données projet'!$B$13,Paramètres!$A$1:$I$89,3,0)*0.475*44/12</f>
        <v>14.231633987113049</v>
      </c>
      <c r="DH49" s="21">
        <f>EXP(-LN(2)/2)*DH48+(1-EXP(-LN(2)/2))/(LN(2)/2)*DB49*DE49*VLOOKUP('Données projet'!$B$13,Paramètres!$A$1:$I$89,3,0)*0.475*44/12</f>
        <v>1.0640126479310485</v>
      </c>
      <c r="DI49" s="22">
        <f t="shared" si="15"/>
        <v>22.330944903637882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>
        <f>VLOOKUP(A49,'Données projet'!$A$165:$I$185,2,0)</f>
        <v>466.26</v>
      </c>
      <c r="DM49" s="12">
        <f>VLOOKUP(A49,'Données projet'!$A$165:$I$185,9,0)</f>
        <v>20.612000000000002</v>
      </c>
      <c r="DN49" s="12">
        <f t="array" ref="DN49">INDEX(DM:DM,MIN(IF(ISNUMBER(DM49:DM245),ROW(DM49:DM245),"")))</f>
        <v>20.612000000000002</v>
      </c>
      <c r="DO49" s="12">
        <f>IF('Données projet'!$A$166&gt;35,DO48+DN49-DW48,IF(A49&lt;'Données projet'!$A$166,$DL$205^A49,IF(A49='Données projet'!$A$166,'Données projet'!$B$166,DO48+DN49-DW48)))</f>
        <v>466.2600000000001</v>
      </c>
      <c r="DP49" s="17">
        <f>DO49*VLOOKUP('Données projet'!$B$14,Paramètres!$A$1:$I$89,3,0)*VLOOKUP('Données projet'!$B$14,Paramètres!$A$1:$I$89,5,0)</f>
        <v>278.82348000000007</v>
      </c>
      <c r="DQ49" s="13">
        <f t="shared" si="43"/>
        <v>66.718315486273781</v>
      </c>
      <c r="DR49" s="20">
        <f t="shared" si="16"/>
        <v>601.81862713859357</v>
      </c>
      <c r="DS49" s="59">
        <f t="shared" si="17"/>
        <v>886.13568728631321</v>
      </c>
      <c r="DT49" s="59">
        <f ca="1">AVERAGE(OFFSET($DS$3,0,0,'Données projet'!$E$14+1,1))-AVERAGE(OFFSET($H$3,0,0,'Données projet'!$E$14+1,1))</f>
        <v>443.64905827069435</v>
      </c>
      <c r="DU49" s="59">
        <f t="shared" si="44"/>
        <v>381.14782516862385</v>
      </c>
      <c r="DV49" s="15">
        <f>IF(ISNA(VLOOKUP(A49,'Données projet'!$A$165:$I$185,3,0)),0,VLOOKUP(A49,'Données projet'!$A$165:$I$185,3,0))</f>
        <v>9</v>
      </c>
      <c r="DW49" s="15">
        <f>IF(ISNA(VLOOKUP(A49,'Données projet'!$A$165:$I$185,4,0)),0,VLOOKUP(A49,'Données projet'!$A$165:$I$185,4,0))</f>
        <v>93</v>
      </c>
      <c r="DX49" s="16">
        <f>IF(ISNA(VLOOKUP(A49,'Données projet'!$A$165:$I$185,5,0)),0%,VLOOKUP(A49,'Données projet'!$A$165:$I$185,5,0)*VLOOKUP('Données projet'!$B$14,Paramètres!$A$1:$I$89,7,0))</f>
        <v>0.18000000000000002</v>
      </c>
      <c r="DY49" s="16">
        <f>IF(ISNA(VLOOKUP(A49,'Données projet'!$A$165:$I$185,6,0)),0%,VLOOKUP(A49,'Données projet'!$A$165:$I$185,6,0)*VLOOKUP('Données projet'!$B$14,Paramètres!$A$1:$I$89,7,0))</f>
        <v>0.15300000000000002</v>
      </c>
      <c r="DZ49" s="16">
        <f>IF(ISNA(VLOOKUP(A49,'Données projet'!$A$165:$I$185,7,0)),0%,VLOOKUP(A49,'Données projet'!$A$165:$I$185,7,0))</f>
        <v>0.26</v>
      </c>
      <c r="EA49" s="21">
        <f>EXP(-LN(2)/35)*EA48+(1-EXP(-LN(2)/35))/(LN(2)/35)*DW49*DX49*VLOOKUP('Données projet'!$B$14,Paramètres!$A$1:$I$89,3,0)*0.475*44/12</f>
        <v>25.271463099999956</v>
      </c>
      <c r="EB49" s="21">
        <f>EXP(-LN(2)/25)*EB48+(1-EXP(-LN(2)/25))/(LN(2)/25)*Calculateur!DW49*Calculateur!DY49*VLOOKUP('Données projet'!$B$14,Paramètres!$A$1:$I$89,3,0)*0.475*44/12</f>
        <v>26.806889195196341</v>
      </c>
      <c r="EC49" s="21">
        <f>EXP(-LN(2)/2)*EC48+(1-EXP(-LN(2)/2))/(LN(2)/2)*DW49*DZ49*VLOOKUP('Données projet'!$B$14,Paramètres!$A$1:$I$89,3,0)*0.475*44/12</f>
        <v>16.862525909073504</v>
      </c>
      <c r="ED49" s="22">
        <f t="shared" si="18"/>
        <v>68.940878204269808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7.4</v>
      </c>
      <c r="EJ49" s="12">
        <f>IF('Données projet'!$A$192&gt;35,EJ48+EI49-ER48,IF(A49&lt;'Données projet'!$A$192,$EG$205^A49,IF(A49='Données projet'!$A$192,'Données projet'!$B$192,EJ48+EI49-ER48)))</f>
        <v>354.39999999999969</v>
      </c>
      <c r="EK49" s="17">
        <f>EJ49*VLOOKUP('Données projet'!$B$15,Paramètres!$A$1:$I$89,3,0)*VLOOKUP('Données projet'!$B$15,Paramètres!$A$1:$I$89,5,0)</f>
        <v>320.66111999999976</v>
      </c>
      <c r="EL49" s="13">
        <f t="shared" si="45"/>
        <v>75.490896008618265</v>
      </c>
      <c r="EM49" s="20">
        <f t="shared" si="19"/>
        <v>689.96476121500973</v>
      </c>
      <c r="EN49" s="59">
        <f t="shared" si="20"/>
        <v>974.28182136272937</v>
      </c>
      <c r="EO49" s="59">
        <f ca="1">AVERAGE(OFFSET($EN$3,0,0,'Données projet'!$E$15+1,1))-AVERAGE(OFFSET($H$3,0,0,'Données projet'!$E$15+1,1))</f>
        <v>504.37890861635196</v>
      </c>
      <c r="EP49" s="59">
        <f t="shared" si="46"/>
        <v>611.82129317522913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5.4340240180196142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5.4340240180196142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5.6</v>
      </c>
      <c r="FE49" s="12">
        <f>IF('Données projet'!$A$218&gt;35,FE48+FD49-FM48,IF(A49&lt;'Données projet'!$A$218,$FB$205^A49,IF(A49='Données projet'!$A$218,'Données projet'!$B$218,FE48+FD49-FM48)))</f>
        <v>98.59999999999998</v>
      </c>
      <c r="FF49" s="17">
        <f>FE49*VLOOKUP('Données projet'!$B$16,Paramètres!$A$1:$I$89,3,0)*VLOOKUP('Données projet'!$B$16,Paramètres!$A$1:$I$89,5,0)</f>
        <v>106.13303999999997</v>
      </c>
      <c r="FG49" s="13">
        <f t="shared" si="47"/>
        <v>28.418009728368016</v>
      </c>
      <c r="FH49" s="20">
        <f t="shared" si="22"/>
        <v>234.34307827690756</v>
      </c>
      <c r="FI49" s="59">
        <f t="shared" si="23"/>
        <v>518.66013842462723</v>
      </c>
      <c r="FJ49" s="59">
        <f ca="1">AVERAGE(OFFSET($FI$3,0,0,'Données projet'!$E$16+1,1))-AVERAGE(OFFSET($H$3,0,0,'Données projet'!$E$16+1,1))</f>
        <v>334.01098870576732</v>
      </c>
      <c r="FK49" s="59">
        <f t="shared" si="48"/>
        <v>171.1802153303471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2.6767410314780729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2.6767410314780729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7.2</v>
      </c>
      <c r="FZ49" s="12">
        <f>IF('Données projet'!$A$244&gt;35,FZ48+FY49-GH48,IF(A49&lt;'Données projet'!$A$244,$FW$205^A49,IF(A49='Données projet'!$A$244,'Données projet'!$B$244,FZ48+FY49-GH48)))</f>
        <v>190.19999999999993</v>
      </c>
      <c r="GA49" s="17">
        <f>FZ49*VLOOKUP('Données projet'!$B$17,Paramètres!$A$1:$I$89,3,0)*VLOOKUP('Données projet'!$B$17,Paramètres!$A$1:$I$89,5,0)</f>
        <v>166.15871999999996</v>
      </c>
      <c r="GB49" s="13">
        <f t="shared" si="49"/>
        <v>42.228563636586387</v>
      </c>
      <c r="GC49" s="20">
        <f t="shared" si="25"/>
        <v>362.94118566705453</v>
      </c>
      <c r="GD49" s="59">
        <f t="shared" si="26"/>
        <v>647.25824581477423</v>
      </c>
      <c r="GE49" s="59">
        <f ca="1">AVERAGE(OFFSET($GD$3,0,0,'Données projet'!$E$17+1,1))-AVERAGE(OFFSET($H$3,0,0,'Données projet'!$E$17+1,1))</f>
        <v>330.12856974146598</v>
      </c>
      <c r="GF49" s="59">
        <f t="shared" si="50"/>
        <v>321.23368446552286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11.522811877272414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11.522811877272414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67.541016403923535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8.1999999999999993</v>
      </c>
      <c r="GU49" s="12">
        <f>IF('Données projet'!$A$270&gt;35,GU48+GT49-HC48,IF(A49&lt;'Données projet'!$A$270,$GR$205^A49,IF(A49='Données projet'!$A$270,'Données projet'!$B$270,GU48+GT49-HC48)))</f>
        <v>145.20000000000005</v>
      </c>
      <c r="GV49" s="17">
        <f>GU49*VLOOKUP('Données projet'!$B$18,Paramètres!$A$1:$I$89,3,0)*VLOOKUP('Données projet'!$B$18,Paramètres!$A$1:$I$89,5,0)</f>
        <v>97.400160000000042</v>
      </c>
      <c r="GW49" s="13">
        <f t="shared" si="51"/>
        <v>26.34167514323763</v>
      </c>
      <c r="GX49" s="20">
        <f t="shared" si="28"/>
        <v>215.5170295411389</v>
      </c>
      <c r="GY49" s="59">
        <f t="shared" si="29"/>
        <v>499.83408968885851</v>
      </c>
      <c r="GZ49" s="59">
        <f ca="1">AVERAGE(OFFSET($GY$3,0,0,'Données projet'!$E$18+1,1))-AVERAGE(OFFSET($H$3,0,0,'Données projet'!$E$18+1,1))</f>
        <v>296.67751292332753</v>
      </c>
      <c r="HA49" s="59">
        <f t="shared" si="52"/>
        <v>197.99510031603018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3.0840711884421279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3.0840711884421279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1.1000000000000001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4.0333333333333341</v>
      </c>
      <c r="H50" s="67">
        <f t="shared" si="1"/>
        <v>240.5333333333333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</v>
      </c>
      <c r="O50" s="13">
        <f>N50*VLOOKUP('Données projet'!$B$9,Paramètres!$A$1:$I$89,3,0)*VLOOKUP('Données projet'!$B$9,Paramètres!$A$1:$I$89,5,0)</f>
        <v>179.15039999999999</v>
      </c>
      <c r="P50" s="13">
        <f t="shared" si="33"/>
        <v>45.133113803437304</v>
      </c>
      <c r="Q50" s="20">
        <f t="shared" si="53"/>
        <v>390.62711987431993</v>
      </c>
      <c r="R50" s="59">
        <f t="shared" si="0"/>
        <v>675.10059220444293</v>
      </c>
      <c r="S50" s="59">
        <f ca="1">AVERAGE(OFFSET($R$3,0,0,'Données projet'!$E$9+1,1))-AVERAGE(OFFSET($H$3,0,0,'Données projet'!$E$9+1,1))</f>
        <v>461.20962581398715</v>
      </c>
      <c r="T50" s="59">
        <f t="shared" si="34"/>
        <v>348.44322874953923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9">
        <f t="shared" si="5"/>
        <v>721.084559887453</v>
      </c>
      <c r="AN50" s="59">
        <f ca="1">AVERAGE(OFFSET($AM$3,0,0,'Données projet'!$E$10+1,1))-AVERAGE(OFFSET($H$3,0,0,'Données projet'!$E$10+1,1))</f>
        <v>510.86584023875525</v>
      </c>
      <c r="AO50" s="59">
        <f t="shared" si="36"/>
        <v>384.62921487244125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4.9442424699305638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4.9442424699305638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184.00000000000003</v>
      </c>
      <c r="BE50" s="13">
        <f>BD50*VLOOKUP('Données projet'!$B$11,Paramètres!$A$1:$I$89,3,0)*VLOOKUP('Données projet'!$B$11,Paramètres!$A$1:$I$89,5,0)</f>
        <v>134.90880000000001</v>
      </c>
      <c r="BF50" s="13">
        <f t="shared" si="37"/>
        <v>35.128180500859067</v>
      </c>
      <c r="BG50" s="20">
        <f t="shared" si="7"/>
        <v>296.14774103899623</v>
      </c>
      <c r="BH50" s="59">
        <f t="shared" si="8"/>
        <v>580.62121336911923</v>
      </c>
      <c r="BI50" s="59">
        <f ca="1">AVERAGE(OFFSET($BH$3,0,0,'Données projet'!$E$11+1,1))-AVERAGE(OFFSET($H$3,0,0,'Données projet'!$E$11+1,1))</f>
        <v>201.7253431547006</v>
      </c>
      <c r="BJ50" s="59">
        <f t="shared" si="38"/>
        <v>229.70004720044096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6.0519682884263206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6.0519682884263206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20.2</v>
      </c>
      <c r="BY50" s="12">
        <f>IF('Données projet'!$A$114&gt;35,BY49+BX50-CG49,IF(A50&lt;'Données projet'!$A$114,$BV$205^A50,IF(A50='Données projet'!$A$114,'Données projet'!$B$114,BY49+BX50-CG49)))</f>
        <v>437.39999999999981</v>
      </c>
      <c r="BZ50" s="13">
        <f>BY50*VLOOKUP('Données projet'!$B$12,Paramètres!$A$1:$I$89,3,0)*VLOOKUP('Données projet'!$B$12,Paramètres!$A$1:$I$89,5,0)</f>
        <v>244.50659999999988</v>
      </c>
      <c r="CA50" s="13">
        <f t="shared" si="39"/>
        <v>59.408095111079703</v>
      </c>
      <c r="CB50" s="20">
        <f t="shared" si="10"/>
        <v>529.3180939851303</v>
      </c>
      <c r="CC50" s="59">
        <f t="shared" si="11"/>
        <v>813.79156631525325</v>
      </c>
      <c r="CD50" s="59">
        <f ca="1">AVERAGE(OFFSET($CC$3,0,0,'Données projet'!$E$12+1,1))-AVERAGE(OFFSET($H$3,0,0,'Données projet'!$E$12+1,1))</f>
        <v>462.09240749760784</v>
      </c>
      <c r="CE50" s="59">
        <f t="shared" si="40"/>
        <v>403.52202223463337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66.644826102005197</v>
      </c>
      <c r="CL50" s="21">
        <f>EXP(-LN(2)/25)*CL49+(1-EXP(-LN(2)/25))/(LN(2)/25)*Calculateur!CG50*Calculateur!CI50*VLOOKUP('Données projet'!$B$12,Paramètres!$A$1:$I$89,3,0)*0.475*44/12</f>
        <v>27.106511916630676</v>
      </c>
      <c r="CM50" s="21">
        <f>EXP(-LN(2)/2)*CM49+(1-EXP(-LN(2)/2))/(LN(2)/2)*CG50*CJ50*VLOOKUP('Données projet'!$B$12,Paramètres!$A$1:$I$89,3,0)*0.475*44/12</f>
        <v>4.3602518470325933</v>
      </c>
      <c r="CN50" s="22">
        <f t="shared" si="12"/>
        <v>98.111589865668464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14</v>
      </c>
      <c r="CT50" s="12">
        <f>IF('Données projet'!$A$140&gt;35,CT49+CS50-DB49,IF(A50&lt;'Données projet'!$A$140,$CQ$205^A50,IF(A50='Données projet'!$A$140,'Données projet'!$B$140,CT49+CS50-DB49)))</f>
        <v>348</v>
      </c>
      <c r="CU50" s="17">
        <f>CT50*VLOOKUP('Données projet'!$B$13,Paramètres!$A$1:$I$89,3,0)*VLOOKUP('Données projet'!$B$13,Paramètres!$A$1:$I$89,5,0)</f>
        <v>162.864</v>
      </c>
      <c r="CV50" s="13">
        <f t="shared" si="41"/>
        <v>41.487830069509123</v>
      </c>
      <c r="CW50" s="20">
        <f t="shared" si="13"/>
        <v>355.91277070439509</v>
      </c>
      <c r="CX50" s="59">
        <f t="shared" si="14"/>
        <v>640.38624303451809</v>
      </c>
      <c r="CY50" s="59">
        <f ca="1">AVERAGE(OFFSET($CX$3,0,0,'Données projet'!$E$13+1,1))-AVERAGE(OFFSET($H$3,0,0,'Données projet'!$E$13+1,1))</f>
        <v>319.88925869887464</v>
      </c>
      <c r="CZ50" s="59">
        <f t="shared" si="42"/>
        <v>258.2857172412098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6.8973403606548924</v>
      </c>
      <c r="DG50" s="21">
        <f>EXP(-LN(2)/25)*DG49+(1-EXP(-LN(2)/25))/(LN(2)/25)*Calculateur!DB50*Calculateur!DD50*VLOOKUP('Données projet'!$B$13,Paramètres!$A$1:$I$89,3,0)*0.475*44/12</f>
        <v>13.842469207326339</v>
      </c>
      <c r="DH50" s="21">
        <f>EXP(-LN(2)/2)*DH49+(1-EXP(-LN(2)/2))/(LN(2)/2)*DB50*DE50*VLOOKUP('Données projet'!$B$13,Paramètres!$A$1:$I$89,3,0)*0.475*44/12</f>
        <v>0.752370558620299</v>
      </c>
      <c r="DI50" s="22">
        <f t="shared" si="15"/>
        <v>21.492180126601532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17.617500000000007</v>
      </c>
      <c r="DO50" s="12">
        <f>IF('Données projet'!$A$166&gt;35,DO49+DN50-DW49,IF(A50&lt;'Données projet'!$A$166,$DL$205^A50,IF(A50='Données projet'!$A$166,'Données projet'!$B$166,DO49+DN50-DW49)))</f>
        <v>390.87750000000011</v>
      </c>
      <c r="DP50" s="17">
        <f>DO50*VLOOKUP('Données projet'!$B$14,Paramètres!$A$1:$I$89,3,0)*VLOOKUP('Données projet'!$B$14,Paramètres!$A$1:$I$89,5,0)</f>
        <v>233.74474500000008</v>
      </c>
      <c r="DQ50" s="13">
        <f t="shared" si="43"/>
        <v>57.091620301844813</v>
      </c>
      <c r="DR50" s="20">
        <f t="shared" si="16"/>
        <v>506.5400029007132</v>
      </c>
      <c r="DS50" s="59">
        <f t="shared" si="17"/>
        <v>791.01347523083621</v>
      </c>
      <c r="DT50" s="59">
        <f ca="1">AVERAGE(OFFSET($DS$3,0,0,'Données projet'!$E$14+1,1))-AVERAGE(OFFSET($H$3,0,0,'Données projet'!$E$14+1,1))</f>
        <v>443.64905827069435</v>
      </c>
      <c r="DU50" s="59">
        <f t="shared" si="44"/>
        <v>381.14782516862385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24.775905122679436</v>
      </c>
      <c r="EB50" s="21">
        <f>EXP(-LN(2)/25)*EB49+(1-EXP(-LN(2)/25))/(LN(2)/25)*Calculateur!DW50*Calculateur!DY50*VLOOKUP('Données projet'!$B$14,Paramètres!$A$1:$I$89,3,0)*0.475*44/12</f>
        <v>26.073853400440662</v>
      </c>
      <c r="EC50" s="21">
        <f>EXP(-LN(2)/2)*EC49+(1-EXP(-LN(2)/2))/(LN(2)/2)*DW50*DZ50*VLOOKUP('Données projet'!$B$14,Paramètres!$A$1:$I$89,3,0)*0.475*44/12</f>
        <v>11.923606418239727</v>
      </c>
      <c r="ED50" s="22">
        <f t="shared" si="18"/>
        <v>62.77336494135983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7.4</v>
      </c>
      <c r="EJ50" s="12">
        <f>IF('Données projet'!$A$192&gt;35,EJ49+EI50-ER49,IF(A50&lt;'Données projet'!$A$192,$EG$205^A50,IF(A50='Données projet'!$A$192,'Données projet'!$B$192,EJ49+EI50-ER49)))</f>
        <v>361.79999999999967</v>
      </c>
      <c r="EK50" s="17">
        <f>EJ50*VLOOKUP('Données projet'!$B$15,Paramètres!$A$1:$I$89,3,0)*VLOOKUP('Données projet'!$B$15,Paramètres!$A$1:$I$89,5,0)</f>
        <v>327.35663999999969</v>
      </c>
      <c r="EL50" s="13">
        <f t="shared" si="45"/>
        <v>76.882014947633721</v>
      </c>
      <c r="EM50" s="20">
        <f t="shared" si="19"/>
        <v>704.04899070046156</v>
      </c>
      <c r="EN50" s="59">
        <f t="shared" si="20"/>
        <v>988.5224630305845</v>
      </c>
      <c r="EO50" s="59">
        <f ca="1">AVERAGE(OFFSET($EN$3,0,0,'Données projet'!$E$15+1,1))-AVERAGE(OFFSET($H$3,0,0,'Données projet'!$E$15+1,1))</f>
        <v>504.37890861635196</v>
      </c>
      <c r="EP50" s="59">
        <f t="shared" si="46"/>
        <v>611.82129317522913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5.3274661214536279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5.3274661214536279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5.6</v>
      </c>
      <c r="FE50" s="12">
        <f>IF('Données projet'!$A$218&gt;35,FE49+FD50-FM49,IF(A50&lt;'Données projet'!$A$218,$FB$205^A50,IF(A50='Données projet'!$A$218,'Données projet'!$B$218,FE49+FD50-FM49)))</f>
        <v>104.19999999999997</v>
      </c>
      <c r="FF50" s="17">
        <f>FE50*VLOOKUP('Données projet'!$B$16,Paramètres!$A$1:$I$89,3,0)*VLOOKUP('Données projet'!$B$16,Paramètres!$A$1:$I$89,5,0)</f>
        <v>112.16087999999998</v>
      </c>
      <c r="FG50" s="13">
        <f t="shared" si="47"/>
        <v>29.839526888181876</v>
      </c>
      <c r="FH50" s="20">
        <f t="shared" si="22"/>
        <v>247.31737533025003</v>
      </c>
      <c r="FI50" s="59">
        <f t="shared" si="23"/>
        <v>531.79084766037306</v>
      </c>
      <c r="FJ50" s="59">
        <f ca="1">AVERAGE(OFFSET($FI$3,0,0,'Données projet'!$E$16+1,1))-AVERAGE(OFFSET($H$3,0,0,'Données projet'!$E$16+1,1))</f>
        <v>334.01098870576732</v>
      </c>
      <c r="FK50" s="59">
        <f t="shared" si="48"/>
        <v>171.1802153303471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2.6242517725016064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2.6242517725016064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7.2</v>
      </c>
      <c r="FZ50" s="12">
        <f>IF('Données projet'!$A$244&gt;35,FZ49+FY50-GH49,IF(A50&lt;'Données projet'!$A$244,$FW$205^A50,IF(A50='Données projet'!$A$244,'Données projet'!$B$244,FZ49+FY50-GH49)))</f>
        <v>197.39999999999992</v>
      </c>
      <c r="GA50" s="17">
        <f>FZ50*VLOOKUP('Données projet'!$B$17,Paramètres!$A$1:$I$89,3,0)*VLOOKUP('Données projet'!$B$17,Paramètres!$A$1:$I$89,5,0)</f>
        <v>172.44863999999995</v>
      </c>
      <c r="GB50" s="13">
        <f t="shared" si="49"/>
        <v>43.637980200453676</v>
      </c>
      <c r="GC50" s="20">
        <f t="shared" si="25"/>
        <v>376.35086351579008</v>
      </c>
      <c r="GD50" s="59">
        <f t="shared" si="26"/>
        <v>660.82433584591308</v>
      </c>
      <c r="GE50" s="59">
        <f ca="1">AVERAGE(OFFSET($GD$3,0,0,'Données projet'!$E$17+1,1))-AVERAGE(OFFSET($H$3,0,0,'Données projet'!$E$17+1,1))</f>
        <v>330.12856974146598</v>
      </c>
      <c r="GF50" s="59">
        <f t="shared" si="50"/>
        <v>321.23368446552286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11.296856564580368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11.296856564580368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67.58367427185172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8.1999999999999993</v>
      </c>
      <c r="GU50" s="12">
        <f>IF('Données projet'!$A$270&gt;35,GU49+GT50-HC49,IF(A50&lt;'Données projet'!$A$270,$GR$205^A50,IF(A50='Données projet'!$A$270,'Données projet'!$B$270,GU49+GT50-HC49)))</f>
        <v>153.40000000000003</v>
      </c>
      <c r="GV50" s="17">
        <f>GU50*VLOOKUP('Données projet'!$B$18,Paramètres!$A$1:$I$89,3,0)*VLOOKUP('Données projet'!$B$18,Paramètres!$A$1:$I$89,5,0)</f>
        <v>102.90072000000004</v>
      </c>
      <c r="GW50" s="13">
        <f t="shared" si="51"/>
        <v>27.65189983724564</v>
      </c>
      <c r="GX50" s="20">
        <f t="shared" si="28"/>
        <v>227.37914621653621</v>
      </c>
      <c r="GY50" s="59">
        <f t="shared" si="29"/>
        <v>511.85261854665919</v>
      </c>
      <c r="GZ50" s="59">
        <f ca="1">AVERAGE(OFFSET($GY$3,0,0,'Données projet'!$E$18+1,1))-AVERAGE(OFFSET($H$3,0,0,'Données projet'!$E$18+1,1))</f>
        <v>296.67751292332753</v>
      </c>
      <c r="HA50" s="59">
        <f t="shared" si="52"/>
        <v>197.99510031603018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3.0235944335344596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3.0235944335344596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1.1000000000000001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4.0333333333333341</v>
      </c>
      <c r="H51" s="67">
        <f t="shared" si="1"/>
        <v>240.5333333333333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</v>
      </c>
      <c r="O51" s="13">
        <f>N51*VLOOKUP('Données projet'!$B$9,Paramètres!$A$1:$I$89,3,0)*VLOOKUP('Données projet'!$B$9,Paramètres!$A$1:$I$89,5,0)</f>
        <v>189.10319999999999</v>
      </c>
      <c r="P51" s="13">
        <f t="shared" si="33"/>
        <v>47.34162854278712</v>
      </c>
      <c r="Q51" s="20">
        <f t="shared" si="53"/>
        <v>411.80807637868747</v>
      </c>
      <c r="R51" s="59">
        <f t="shared" si="0"/>
        <v>696.43524748953428</v>
      </c>
      <c r="S51" s="59">
        <f ca="1">AVERAGE(OFFSET($R$3,0,0,'Données projet'!$E$9+1,1))-AVERAGE(OFFSET($H$3,0,0,'Données projet'!$E$9+1,1))</f>
        <v>461.20962581398715</v>
      </c>
      <c r="T51" s="59">
        <f t="shared" si="34"/>
        <v>348.44322874953923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</v>
      </c>
      <c r="AJ51" s="13">
        <f>AI51*VLOOKUP('Données projet'!$B$10,Paramètres!$A$1:$I$89,3,0)*VLOOKUP('Données projet'!$B$10,Paramètres!$A$1:$I$89,5,0)</f>
        <v>211.92599999999999</v>
      </c>
      <c r="AK51" s="13">
        <f t="shared" si="35"/>
        <v>52.356241262970116</v>
      </c>
      <c r="AL51" s="20">
        <f t="shared" si="4"/>
        <v>460.29157019967289</v>
      </c>
      <c r="AM51" s="59">
        <f t="shared" si="5"/>
        <v>744.91874131051975</v>
      </c>
      <c r="AN51" s="59">
        <f ca="1">AVERAGE(OFFSET($AM$3,0,0,'Données projet'!$E$10+1,1))-AVERAGE(OFFSET($H$3,0,0,'Données projet'!$E$10+1,1))</f>
        <v>510.86584023875525</v>
      </c>
      <c r="AO51" s="59">
        <f t="shared" si="36"/>
        <v>384.62921487244125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4.8472888907853573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4.8472888907853573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195.00000000000003</v>
      </c>
      <c r="BE51" s="13">
        <f>BD51*VLOOKUP('Données projet'!$B$11,Paramètres!$A$1:$I$89,3,0)*VLOOKUP('Données projet'!$B$11,Paramètres!$A$1:$I$89,5,0)</f>
        <v>142.97400000000002</v>
      </c>
      <c r="BF51" s="13">
        <f t="shared" si="37"/>
        <v>36.977471400949995</v>
      </c>
      <c r="BG51" s="20">
        <f t="shared" si="7"/>
        <v>313.41547935665466</v>
      </c>
      <c r="BH51" s="59">
        <f t="shared" si="8"/>
        <v>598.04265046750152</v>
      </c>
      <c r="BI51" s="59">
        <f ca="1">AVERAGE(OFFSET($BH$3,0,0,'Données projet'!$E$11+1,1))-AVERAGE(OFFSET($H$3,0,0,'Données projet'!$E$11+1,1))</f>
        <v>201.7253431547006</v>
      </c>
      <c r="BJ51" s="59">
        <f t="shared" si="38"/>
        <v>229.70004720044096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5.9332928816264472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5.9332928816264472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20.2</v>
      </c>
      <c r="BY51" s="12">
        <f>IF('Données projet'!$A$114&gt;35,BY50+BX51-CG50,IF(A51&lt;'Données projet'!$A$114,$BV$205^A51,IF(A51='Données projet'!$A$114,'Données projet'!$B$114,BY50+BX51-CG50)))</f>
        <v>457.5999999999998</v>
      </c>
      <c r="BZ51" s="13">
        <f>BY51*VLOOKUP('Données projet'!$B$12,Paramètres!$A$1:$I$89,3,0)*VLOOKUP('Données projet'!$B$12,Paramètres!$A$1:$I$89,5,0)</f>
        <v>255.7983999999999</v>
      </c>
      <c r="CA51" s="13">
        <f t="shared" si="39"/>
        <v>61.825919184190461</v>
      </c>
      <c r="CB51" s="20">
        <f t="shared" si="10"/>
        <v>553.19568924579823</v>
      </c>
      <c r="CC51" s="59">
        <f t="shared" si="11"/>
        <v>837.82286035664515</v>
      </c>
      <c r="CD51" s="59">
        <f ca="1">AVERAGE(OFFSET($CC$3,0,0,'Données projet'!$E$12+1,1))-AVERAGE(OFFSET($H$3,0,0,'Données projet'!$E$12+1,1))</f>
        <v>462.09240749760784</v>
      </c>
      <c r="CE51" s="59">
        <f t="shared" si="40"/>
        <v>403.52202223463337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65.337961711475003</v>
      </c>
      <c r="CL51" s="21">
        <f>EXP(-LN(2)/25)*CL50+(1-EXP(-LN(2)/25))/(LN(2)/25)*Calculateur!CG51*Calculateur!CI51*VLOOKUP('Données projet'!$B$12,Paramètres!$A$1:$I$89,3,0)*0.475*44/12</f>
        <v>26.365282922800901</v>
      </c>
      <c r="CM51" s="21">
        <f>EXP(-LN(2)/2)*CM50+(1-EXP(-LN(2)/2))/(LN(2)/2)*CG51*CJ51*VLOOKUP('Données projet'!$B$12,Paramètres!$A$1:$I$89,3,0)*0.475*44/12</f>
        <v>3.0831636487179157</v>
      </c>
      <c r="CN51" s="22">
        <f t="shared" si="12"/>
        <v>94.786408282993818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14</v>
      </c>
      <c r="CT51" s="12">
        <f>IF('Données projet'!$A$140&gt;35,CT50+CS51-DB50,IF(A51&lt;'Données projet'!$A$140,$CQ$205^A51,IF(A51='Données projet'!$A$140,'Données projet'!$B$140,CT50+CS51-DB50)))</f>
        <v>362</v>
      </c>
      <c r="CU51" s="17">
        <f>CT51*VLOOKUP('Données projet'!$B$13,Paramètres!$A$1:$I$89,3,0)*VLOOKUP('Données projet'!$B$13,Paramètres!$A$1:$I$89,5,0)</f>
        <v>169.416</v>
      </c>
      <c r="CV51" s="13">
        <f t="shared" si="41"/>
        <v>42.959200828261054</v>
      </c>
      <c r="CW51" s="20">
        <f t="shared" si="13"/>
        <v>369.88680810922136</v>
      </c>
      <c r="CX51" s="59">
        <f t="shared" si="14"/>
        <v>654.51397922006822</v>
      </c>
      <c r="CY51" s="59">
        <f ca="1">AVERAGE(OFFSET($CX$3,0,0,'Données projet'!$E$13+1,1))-AVERAGE(OFFSET($H$3,0,0,'Données projet'!$E$13+1,1))</f>
        <v>319.88925869887464</v>
      </c>
      <c r="CZ51" s="59">
        <f t="shared" si="42"/>
        <v>258.2857172412098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6.762087723144667</v>
      </c>
      <c r="DG51" s="21">
        <f>EXP(-LN(2)/25)*DG50+(1-EXP(-LN(2)/25))/(LN(2)/25)*Calculateur!DB51*Calculateur!DD51*VLOOKUP('Données projet'!$B$13,Paramètres!$A$1:$I$89,3,0)*0.475*44/12</f>
        <v>13.463946158908183</v>
      </c>
      <c r="DH51" s="21">
        <f>EXP(-LN(2)/2)*DH50+(1-EXP(-LN(2)/2))/(LN(2)/2)*DB51*DE51*VLOOKUP('Données projet'!$B$13,Paramètres!$A$1:$I$89,3,0)*0.475*44/12</f>
        <v>0.53200632396552427</v>
      </c>
      <c r="DI51" s="22">
        <f t="shared" si="15"/>
        <v>20.758040206018375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17.617500000000007</v>
      </c>
      <c r="DO51" s="12">
        <f>IF('Données projet'!$A$166&gt;35,DO50+DN51-DW50,IF(A51&lt;'Données projet'!$A$166,$DL$205^A51,IF(A51='Données projet'!$A$166,'Données projet'!$B$166,DO50+DN51-DW50)))</f>
        <v>408.49500000000012</v>
      </c>
      <c r="DP51" s="17">
        <f>DO51*VLOOKUP('Données projet'!$B$14,Paramètres!$A$1:$I$89,3,0)*VLOOKUP('Données projet'!$B$14,Paramètres!$A$1:$I$89,5,0)</f>
        <v>244.28001000000009</v>
      </c>
      <c r="DQ51" s="13">
        <f t="shared" si="43"/>
        <v>59.359445998964169</v>
      </c>
      <c r="DR51" s="20">
        <f t="shared" si="16"/>
        <v>528.83871919819615</v>
      </c>
      <c r="DS51" s="59">
        <f t="shared" si="17"/>
        <v>813.46589030904306</v>
      </c>
      <c r="DT51" s="59">
        <f ca="1">AVERAGE(OFFSET($DS$3,0,0,'Données projet'!$E$14+1,1))-AVERAGE(OFFSET($H$3,0,0,'Données projet'!$E$14+1,1))</f>
        <v>443.64905827069435</v>
      </c>
      <c r="DU51" s="59">
        <f t="shared" si="44"/>
        <v>381.14782516862385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24.290064735033649</v>
      </c>
      <c r="EB51" s="21">
        <f>EXP(-LN(2)/25)*EB50+(1-EXP(-LN(2)/25))/(LN(2)/25)*Calculateur!DW51*Calculateur!DY51*VLOOKUP('Données projet'!$B$14,Paramètres!$A$1:$I$89,3,0)*0.475*44/12</f>
        <v>25.360862508041254</v>
      </c>
      <c r="EC51" s="21">
        <f>EXP(-LN(2)/2)*EC50+(1-EXP(-LN(2)/2))/(LN(2)/2)*DW51*DZ51*VLOOKUP('Données projet'!$B$14,Paramètres!$A$1:$I$89,3,0)*0.475*44/12</f>
        <v>8.4312629545367521</v>
      </c>
      <c r="ED51" s="22">
        <f t="shared" si="18"/>
        <v>58.082190197611652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7.4</v>
      </c>
      <c r="EJ51" s="12">
        <f>IF('Données projet'!$A$192&gt;35,EJ50+EI51-ER50,IF(A51&lt;'Données projet'!$A$192,$EG$205^A51,IF(A51='Données projet'!$A$192,'Données projet'!$B$192,EJ50+EI51-ER50)))</f>
        <v>369.19999999999965</v>
      </c>
      <c r="EK51" s="17">
        <f>EJ51*VLOOKUP('Données projet'!$B$15,Paramètres!$A$1:$I$89,3,0)*VLOOKUP('Données projet'!$B$15,Paramètres!$A$1:$I$89,5,0)</f>
        <v>334.05215999999967</v>
      </c>
      <c r="EL51" s="13">
        <f t="shared" si="45"/>
        <v>78.269825657864359</v>
      </c>
      <c r="EM51" s="20">
        <f t="shared" si="19"/>
        <v>718.12745835411317</v>
      </c>
      <c r="EN51" s="59">
        <f t="shared" si="20"/>
        <v>1002.7546294649601</v>
      </c>
      <c r="EO51" s="59">
        <f ca="1">AVERAGE(OFFSET($EN$3,0,0,'Données projet'!$E$15+1,1))-AVERAGE(OFFSET($H$3,0,0,'Données projet'!$E$15+1,1))</f>
        <v>504.37890861635196</v>
      </c>
      <c r="EP51" s="59">
        <f t="shared" si="46"/>
        <v>611.82129317522913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5.2229977602454012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5.2229977602454012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5.6</v>
      </c>
      <c r="FE51" s="12">
        <f>IF('Données projet'!$A$218&gt;35,FE50+FD51-FM50,IF(A51&lt;'Données projet'!$A$218,$FB$205^A51,IF(A51='Données projet'!$A$218,'Données projet'!$B$218,FE50+FD51-FM50)))</f>
        <v>109.79999999999997</v>
      </c>
      <c r="FF51" s="17">
        <f>FE51*VLOOKUP('Données projet'!$B$16,Paramètres!$A$1:$I$89,3,0)*VLOOKUP('Données projet'!$B$16,Paramètres!$A$1:$I$89,5,0)</f>
        <v>118.18871999999996</v>
      </c>
      <c r="FG51" s="13">
        <f t="shared" si="47"/>
        <v>31.252174766242543</v>
      </c>
      <c r="FH51" s="20">
        <f t="shared" si="22"/>
        <v>260.2762250512057</v>
      </c>
      <c r="FI51" s="59">
        <f t="shared" si="23"/>
        <v>544.90339616205256</v>
      </c>
      <c r="FJ51" s="59">
        <f ca="1">AVERAGE(OFFSET($FI$3,0,0,'Données projet'!$E$16+1,1))-AVERAGE(OFFSET($H$3,0,0,'Données projet'!$E$16+1,1))</f>
        <v>334.01098870576732</v>
      </c>
      <c r="FK51" s="59">
        <f t="shared" si="48"/>
        <v>171.1802153303471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2.5727917958783815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2.5727917958783815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7.2</v>
      </c>
      <c r="FZ51" s="12">
        <f>IF('Données projet'!$A$244&gt;35,FZ50+FY51-GH50,IF(A51&lt;'Données projet'!$A$244,$FW$205^A51,IF(A51='Données projet'!$A$244,'Données projet'!$B$244,FZ50+FY51-GH50)))</f>
        <v>204.59999999999991</v>
      </c>
      <c r="GA51" s="17">
        <f>FZ51*VLOOKUP('Données projet'!$B$17,Paramètres!$A$1:$I$89,3,0)*VLOOKUP('Données projet'!$B$17,Paramètres!$A$1:$I$89,5,0)</f>
        <v>178.73855999999995</v>
      </c>
      <c r="GB51" s="13">
        <f t="shared" si="49"/>
        <v>45.041424241265332</v>
      </c>
      <c r="GC51" s="20">
        <f t="shared" si="25"/>
        <v>389.75013922020366</v>
      </c>
      <c r="GD51" s="59">
        <f t="shared" si="26"/>
        <v>674.37731033105047</v>
      </c>
      <c r="GE51" s="59">
        <f ca="1">AVERAGE(OFFSET($GD$3,0,0,'Données projet'!$E$17+1,1))-AVERAGE(OFFSET($H$3,0,0,'Données projet'!$E$17+1,1))</f>
        <v>330.12856974146598</v>
      </c>
      <c r="GF51" s="59">
        <f t="shared" si="50"/>
        <v>321.23368446552286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11.075332097751081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11.075332097751081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67.625592121140059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8.1999999999999993</v>
      </c>
      <c r="GU51" s="12">
        <f>IF('Données projet'!$A$270&gt;35,GU50+GT51-HC50,IF(A51&lt;'Données projet'!$A$270,$GR$205^A51,IF(A51='Données projet'!$A$270,'Données projet'!$B$270,GU50+GT51-HC50)))</f>
        <v>161.60000000000002</v>
      </c>
      <c r="GV51" s="17">
        <f>GU51*VLOOKUP('Données projet'!$B$18,Paramètres!$A$1:$I$89,3,0)*VLOOKUP('Données projet'!$B$18,Paramètres!$A$1:$I$89,5,0)</f>
        <v>108.40128000000003</v>
      </c>
      <c r="GW51" s="13">
        <f t="shared" si="51"/>
        <v>28.953993320457293</v>
      </c>
      <c r="GX51" s="20">
        <f t="shared" si="28"/>
        <v>239.2271010331298</v>
      </c>
      <c r="GY51" s="59">
        <f t="shared" si="29"/>
        <v>523.85427214397669</v>
      </c>
      <c r="GZ51" s="59">
        <f ca="1">AVERAGE(OFFSET($GY$3,0,0,'Données projet'!$E$18+1,1))-AVERAGE(OFFSET($H$3,0,0,'Données projet'!$E$18+1,1))</f>
        <v>296.67751292332753</v>
      </c>
      <c r="HA51" s="59">
        <f t="shared" si="52"/>
        <v>197.99510031603018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2.9643035909033526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2.9643035909033526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1.1000000000000001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4.0333333333333341</v>
      </c>
      <c r="H52" s="67">
        <f t="shared" si="1"/>
        <v>240.5333333333333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9">
        <f t="shared" si="0"/>
        <v>717.74373217223661</v>
      </c>
      <c r="S52" s="59">
        <f ca="1">AVERAGE(OFFSET($R$3,0,0,'Données projet'!$E$9+1,1))-AVERAGE(OFFSET($H$3,0,0,'Données projet'!$E$9+1,1))</f>
        <v>461.20962581398715</v>
      </c>
      <c r="T52" s="59">
        <f t="shared" si="34"/>
        <v>348.44322874953923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</v>
      </c>
      <c r="AJ52" s="13">
        <f>AI52*VLOOKUP('Données projet'!$B$10,Paramètres!$A$1:$I$89,3,0)*VLOOKUP('Données projet'!$B$10,Paramètres!$A$1:$I$89,5,0)</f>
        <v>223.08</v>
      </c>
      <c r="AK52" s="13">
        <f t="shared" si="35"/>
        <v>54.783765878062667</v>
      </c>
      <c r="AL52" s="20">
        <f t="shared" si="4"/>
        <v>483.94605890429244</v>
      </c>
      <c r="AM52" s="59">
        <f t="shared" si="5"/>
        <v>768.72426246563668</v>
      </c>
      <c r="AN52" s="59">
        <f ca="1">AVERAGE(OFFSET($AM$3,0,0,'Données projet'!$E$10+1,1))-AVERAGE(OFFSET($H$3,0,0,'Données projet'!$E$10+1,1))</f>
        <v>510.86584023875525</v>
      </c>
      <c r="AO52" s="59">
        <f t="shared" si="36"/>
        <v>384.62921487244125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4.7522365121913444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4.7522365121913444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206.00000000000003</v>
      </c>
      <c r="BE52" s="13">
        <f>BD52*VLOOKUP('Données projet'!$B$11,Paramètres!$A$1:$I$89,3,0)*VLOOKUP('Données projet'!$B$11,Paramètres!$A$1:$I$89,5,0)</f>
        <v>151.03920000000002</v>
      </c>
      <c r="BF52" s="13">
        <f t="shared" si="37"/>
        <v>38.814652571726079</v>
      </c>
      <c r="BG52" s="20">
        <f t="shared" si="7"/>
        <v>330.66212656242288</v>
      </c>
      <c r="BH52" s="59">
        <f t="shared" si="8"/>
        <v>615.44033012376713</v>
      </c>
      <c r="BI52" s="59">
        <f ca="1">AVERAGE(OFFSET($BH$3,0,0,'Données projet'!$E$11+1,1))-AVERAGE(OFFSET($H$3,0,0,'Données projet'!$E$11+1,1))</f>
        <v>201.7253431547006</v>
      </c>
      <c r="BJ52" s="59">
        <f t="shared" si="38"/>
        <v>229.70004720044096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5.816944627169069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5.816944627169069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20.2</v>
      </c>
      <c r="BY52" s="12">
        <f>IF('Données projet'!$A$114&gt;35,BY51+BX52-CG51,IF(A52&lt;'Données projet'!$A$114,$BV$205^A52,IF(A52='Données projet'!$A$114,'Données projet'!$B$114,BY51+BX52-CG51)))</f>
        <v>477.79999999999978</v>
      </c>
      <c r="BZ52" s="13">
        <f>BY52*VLOOKUP('Données projet'!$B$12,Paramètres!$A$1:$I$89,3,0)*VLOOKUP('Données projet'!$B$12,Paramètres!$A$1:$I$89,5,0)</f>
        <v>267.09019999999987</v>
      </c>
      <c r="CA52" s="13">
        <f t="shared" si="39"/>
        <v>64.231347395864233</v>
      </c>
      <c r="CB52" s="20">
        <f t="shared" si="10"/>
        <v>577.05169504779667</v>
      </c>
      <c r="CC52" s="59">
        <f t="shared" si="11"/>
        <v>861.82989860914086</v>
      </c>
      <c r="CD52" s="59">
        <f ca="1">AVERAGE(OFFSET($CC$3,0,0,'Données projet'!$E$12+1,1))-AVERAGE(OFFSET($H$3,0,0,'Données projet'!$E$12+1,1))</f>
        <v>462.09240749760784</v>
      </c>
      <c r="CE52" s="59">
        <f t="shared" si="40"/>
        <v>403.52202223463337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64.056724134534548</v>
      </c>
      <c r="CL52" s="21">
        <f>EXP(-LN(2)/25)*CL51+(1-EXP(-LN(2)/25))/(LN(2)/25)*Calculateur!CG52*Calculateur!CI52*VLOOKUP('Données projet'!$B$12,Paramètres!$A$1:$I$89,3,0)*0.475*44/12</f>
        <v>25.644322874786941</v>
      </c>
      <c r="CM52" s="21">
        <f>EXP(-LN(2)/2)*CM51+(1-EXP(-LN(2)/2))/(LN(2)/2)*CG52*CJ52*VLOOKUP('Données projet'!$B$12,Paramètres!$A$1:$I$89,3,0)*0.475*44/12</f>
        <v>2.1801259235162966</v>
      </c>
      <c r="CN52" s="22">
        <f t="shared" si="12"/>
        <v>91.881172932837785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14</v>
      </c>
      <c r="CT52" s="12">
        <f>IF('Données projet'!$A$140&gt;35,CT51+CS52-DB51,IF(A52&lt;'Données projet'!$A$140,$CQ$205^A52,IF(A52='Données projet'!$A$140,'Données projet'!$B$140,CT51+CS52-DB51)))</f>
        <v>376</v>
      </c>
      <c r="CU52" s="17">
        <f>CT52*VLOOKUP('Données projet'!$B$13,Paramètres!$A$1:$I$89,3,0)*VLOOKUP('Données projet'!$B$13,Paramètres!$A$1:$I$89,5,0)</f>
        <v>175.96799999999999</v>
      </c>
      <c r="CV52" s="13">
        <f t="shared" si="41"/>
        <v>44.423961125650585</v>
      </c>
      <c r="CW52" s="20">
        <f t="shared" si="13"/>
        <v>383.84933229384137</v>
      </c>
      <c r="CX52" s="59">
        <f t="shared" si="14"/>
        <v>668.62753585518567</v>
      </c>
      <c r="CY52" s="59">
        <f ca="1">AVERAGE(OFFSET($CX$3,0,0,'Données projet'!$E$13+1,1))-AVERAGE(OFFSET($H$3,0,0,'Données projet'!$E$13+1,1))</f>
        <v>319.88925869887464</v>
      </c>
      <c r="CZ52" s="59">
        <f t="shared" si="42"/>
        <v>258.2857172412098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6.629487307360054</v>
      </c>
      <c r="DG52" s="21">
        <f>EXP(-LN(2)/25)*DG51+(1-EXP(-LN(2)/25))/(LN(2)/25)*Calculateur!DB52*Calculateur!DD52*VLOOKUP('Données projet'!$B$13,Paramètres!$A$1:$I$89,3,0)*0.475*44/12</f>
        <v>13.095773843154682</v>
      </c>
      <c r="DH52" s="21">
        <f>EXP(-LN(2)/2)*DH51+(1-EXP(-LN(2)/2))/(LN(2)/2)*DB52*DE52*VLOOKUP('Données projet'!$B$13,Paramètres!$A$1:$I$89,3,0)*0.475*44/12</f>
        <v>0.3761852793101495</v>
      </c>
      <c r="DI52" s="22">
        <f t="shared" si="15"/>
        <v>20.101446429824886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17.617500000000007</v>
      </c>
      <c r="DO52" s="12">
        <f>IF('Données projet'!$A$166&gt;35,DO51+DN52-DW51,IF(A52&lt;'Données projet'!$A$166,$DL$205^A52,IF(A52='Données projet'!$A$166,'Données projet'!$B$166,DO51+DN52-DW51)))</f>
        <v>426.11250000000013</v>
      </c>
      <c r="DP52" s="17">
        <f>DO52*VLOOKUP('Données projet'!$B$14,Paramètres!$A$1:$I$89,3,0)*VLOOKUP('Données projet'!$B$14,Paramètres!$A$1:$I$89,5,0)</f>
        <v>254.8152750000001</v>
      </c>
      <c r="DQ52" s="13">
        <f t="shared" si="43"/>
        <v>61.61591184221087</v>
      </c>
      <c r="DR52" s="20">
        <f t="shared" si="16"/>
        <v>551.11765041685078</v>
      </c>
      <c r="DS52" s="59">
        <f t="shared" si="17"/>
        <v>835.89585397819496</v>
      </c>
      <c r="DT52" s="59">
        <f ca="1">AVERAGE(OFFSET($DS$3,0,0,'Données projet'!$E$14+1,1))-AVERAGE(OFFSET($H$3,0,0,'Données projet'!$E$14+1,1))</f>
        <v>443.64905827069435</v>
      </c>
      <c r="DU52" s="59">
        <f t="shared" si="44"/>
        <v>381.14782516862385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23.813751381056221</v>
      </c>
      <c r="EB52" s="21">
        <f>EXP(-LN(2)/25)*EB51+(1-EXP(-LN(2)/25))/(LN(2)/25)*Calculateur!DW52*Calculateur!DY52*VLOOKUP('Données projet'!$B$14,Paramètres!$A$1:$I$89,3,0)*0.475*44/12</f>
        <v>24.66736838908907</v>
      </c>
      <c r="EC52" s="21">
        <f>EXP(-LN(2)/2)*EC51+(1-EXP(-LN(2)/2))/(LN(2)/2)*DW52*DZ52*VLOOKUP('Données projet'!$B$14,Paramètres!$A$1:$I$89,3,0)*0.475*44/12</f>
        <v>5.9618032091198634</v>
      </c>
      <c r="ED52" s="22">
        <f t="shared" si="18"/>
        <v>54.442922979265155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7.4</v>
      </c>
      <c r="EJ52" s="12">
        <f>IF('Données projet'!$A$192&gt;35,EJ51+EI52-ER51,IF(A52&lt;'Données projet'!$A$192,$EG$205^A52,IF(A52='Données projet'!$A$192,'Données projet'!$B$192,EJ51+EI52-ER51)))</f>
        <v>376.59999999999962</v>
      </c>
      <c r="EK52" s="17">
        <f>EJ52*VLOOKUP('Données projet'!$B$15,Paramètres!$A$1:$I$89,3,0)*VLOOKUP('Données projet'!$B$15,Paramètres!$A$1:$I$89,5,0)</f>
        <v>340.74767999999966</v>
      </c>
      <c r="EL52" s="13">
        <f t="shared" si="45"/>
        <v>79.654402089206485</v>
      </c>
      <c r="EM52" s="20">
        <f t="shared" si="19"/>
        <v>732.20029297203416</v>
      </c>
      <c r="EN52" s="59">
        <f t="shared" si="20"/>
        <v>1016.9784965333783</v>
      </c>
      <c r="EO52" s="59">
        <f ca="1">AVERAGE(OFFSET($EN$3,0,0,'Données projet'!$E$15+1,1))-AVERAGE(OFFSET($H$3,0,0,'Données projet'!$E$15+1,1))</f>
        <v>504.37890861635196</v>
      </c>
      <c r="EP52" s="59">
        <f t="shared" si="46"/>
        <v>611.82129317522913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5.1205779598810599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5.1205779598810599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5.6</v>
      </c>
      <c r="FE52" s="12">
        <f>IF('Données projet'!$A$218&gt;35,FE51+FD52-FM51,IF(A52&lt;'Données projet'!$A$218,$FB$205^A52,IF(A52='Données projet'!$A$218,'Données projet'!$B$218,FE51+FD52-FM51)))</f>
        <v>115.39999999999996</v>
      </c>
      <c r="FF52" s="17">
        <f>FE52*VLOOKUP('Données projet'!$B$16,Paramètres!$A$1:$I$89,3,0)*VLOOKUP('Données projet'!$B$16,Paramètres!$A$1:$I$89,5,0)</f>
        <v>124.21655999999994</v>
      </c>
      <c r="FG52" s="13">
        <f t="shared" si="47"/>
        <v>32.656457317237347</v>
      </c>
      <c r="FH52" s="20">
        <f t="shared" si="22"/>
        <v>273.220505160855</v>
      </c>
      <c r="FI52" s="59">
        <f t="shared" si="23"/>
        <v>557.99870872219924</v>
      </c>
      <c r="FJ52" s="59">
        <f ca="1">AVERAGE(OFFSET($FI$3,0,0,'Données projet'!$E$16+1,1))-AVERAGE(OFFSET($H$3,0,0,'Données projet'!$E$16+1,1))</f>
        <v>334.01098870576732</v>
      </c>
      <c r="FK52" s="59">
        <f t="shared" si="48"/>
        <v>171.1802153303471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2.5223409180092515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2.5223409180092515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7.2</v>
      </c>
      <c r="FZ52" s="12">
        <f>IF('Données projet'!$A$244&gt;35,FZ51+FY52-GH51,IF(A52&lt;'Données projet'!$A$244,$FW$205^A52,IF(A52='Données projet'!$A$244,'Données projet'!$B$244,FZ51+FY52-GH51)))</f>
        <v>211.7999999999999</v>
      </c>
      <c r="GA52" s="17">
        <f>FZ52*VLOOKUP('Données projet'!$B$17,Paramètres!$A$1:$I$89,3,0)*VLOOKUP('Données projet'!$B$17,Paramètres!$A$1:$I$89,5,0)</f>
        <v>185.02847999999992</v>
      </c>
      <c r="GB52" s="13">
        <f t="shared" si="49"/>
        <v>46.439130018745807</v>
      </c>
      <c r="GC52" s="20">
        <f t="shared" si="25"/>
        <v>403.13942078264876</v>
      </c>
      <c r="GD52" s="59">
        <f t="shared" si="26"/>
        <v>687.917624343993</v>
      </c>
      <c r="GE52" s="59">
        <f ca="1">AVERAGE(OFFSET($GD$3,0,0,'Données projet'!$E$17+1,1))-AVERAGE(OFFSET($H$3,0,0,'Données projet'!$E$17+1,1))</f>
        <v>330.12856974146598</v>
      </c>
      <c r="GF52" s="59">
        <f t="shared" si="50"/>
        <v>321.23368446552286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10.858151590599734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10.858151590599734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67.666782789457514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8.1999999999999993</v>
      </c>
      <c r="GU52" s="12">
        <f>IF('Données projet'!$A$270&gt;35,GU51+GT52-HC51,IF(A52&lt;'Données projet'!$A$270,$GR$205^A52,IF(A52='Données projet'!$A$270,'Données projet'!$B$270,GU51+GT52-HC51)))</f>
        <v>169.8</v>
      </c>
      <c r="GV52" s="17">
        <f>GU52*VLOOKUP('Données projet'!$B$18,Paramètres!$A$1:$I$89,3,0)*VLOOKUP('Données projet'!$B$18,Paramètres!$A$1:$I$89,5,0)</f>
        <v>113.90184000000002</v>
      </c>
      <c r="GW52" s="13">
        <f t="shared" si="51"/>
        <v>30.248415264444404</v>
      </c>
      <c r="GX52" s="20">
        <f t="shared" si="28"/>
        <v>251.06169458557397</v>
      </c>
      <c r="GY52" s="59">
        <f t="shared" si="29"/>
        <v>535.83989814691824</v>
      </c>
      <c r="GZ52" s="59">
        <f ca="1">AVERAGE(OFFSET($GY$3,0,0,'Données projet'!$E$18+1,1))-AVERAGE(OFFSET($H$3,0,0,'Données projet'!$E$18+1,1))</f>
        <v>296.67751292332753</v>
      </c>
      <c r="HA52" s="59">
        <f t="shared" si="52"/>
        <v>197.99510031603018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2.9061754055323985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2.9061754055323985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1.1000000000000001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4.0333333333333341</v>
      </c>
      <c r="H53" s="67">
        <f t="shared" si="1"/>
        <v>240.5333333333333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</v>
      </c>
      <c r="O53" s="13">
        <f>N53*VLOOKUP('Données projet'!$B$9,Paramètres!$A$1:$I$89,3,0)*VLOOKUP('Données projet'!$B$9,Paramètres!$A$1:$I$89,5,0)</f>
        <v>209.00879999999998</v>
      </c>
      <c r="P53" s="13">
        <f t="shared" si="33"/>
        <v>51.718923953824202</v>
      </c>
      <c r="Q53" s="20">
        <f t="shared" si="53"/>
        <v>454.10078588624373</v>
      </c>
      <c r="R53" s="59">
        <f t="shared" si="0"/>
        <v>739.02740182272714</v>
      </c>
      <c r="S53" s="59">
        <f ca="1">AVERAGE(OFFSET($R$3,0,0,'Données projet'!$E$9+1,1))-AVERAGE(OFFSET($H$3,0,0,'Données projet'!$E$9+1,1))</f>
        <v>461.20962581398715</v>
      </c>
      <c r="T53" s="59">
        <f t="shared" si="34"/>
        <v>348.44322874953923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</v>
      </c>
      <c r="AJ53" s="13">
        <f>AI53*VLOOKUP('Données projet'!$B$10,Paramètres!$A$1:$I$89,3,0)*VLOOKUP('Données projet'!$B$10,Paramètres!$A$1:$I$89,5,0)</f>
        <v>234.23400000000001</v>
      </c>
      <c r="AK53" s="13">
        <f t="shared" si="35"/>
        <v>57.197197133603488</v>
      </c>
      <c r="AL53" s="20">
        <f t="shared" si="4"/>
        <v>507.57600167435936</v>
      </c>
      <c r="AM53" s="59">
        <f t="shared" si="5"/>
        <v>792.50261761084278</v>
      </c>
      <c r="AN53" s="59">
        <f ca="1">AVERAGE(OFFSET($AM$3,0,0,'Données projet'!$E$10+1,1))-AVERAGE(OFFSET($H$3,0,0,'Données projet'!$E$10+1,1))</f>
        <v>510.86584023875525</v>
      </c>
      <c r="AO53" s="59">
        <f t="shared" si="36"/>
        <v>384.62921487244125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8.7079084897905723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8.7079084897905723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217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217.00000000000003</v>
      </c>
      <c r="BE53" s="13">
        <f>BD53*VLOOKUP('Données projet'!$B$11,Paramètres!$A$1:$I$89,3,0)*VLOOKUP('Données projet'!$B$11,Paramètres!$A$1:$I$89,5,0)</f>
        <v>159.10440000000003</v>
      </c>
      <c r="BF53" s="13">
        <f t="shared" si="37"/>
        <v>40.640444381186896</v>
      </c>
      <c r="BG53" s="20">
        <f t="shared" si="7"/>
        <v>347.88893729723378</v>
      </c>
      <c r="BH53" s="59">
        <f t="shared" si="8"/>
        <v>632.8155532337172</v>
      </c>
      <c r="BI53" s="59">
        <f ca="1">AVERAGE(OFFSET($BH$3,0,0,'Données projet'!$E$11+1,1))-AVERAGE(OFFSET($H$3,0,0,'Données projet'!$E$11+1,1))</f>
        <v>201.7253431547006</v>
      </c>
      <c r="BJ53" s="59">
        <f t="shared" si="38"/>
        <v>229.70004720044096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8.6305154377882669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8.6305154377882669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498</v>
      </c>
      <c r="BW53" s="12">
        <f>VLOOKUP(A53,'Données projet'!$A$113:$I$133,9,0)</f>
        <v>20.2</v>
      </c>
      <c r="BX53" s="12">
        <f t="array" ref="BX53">INDEX(BW:BW,MIN(IF(ISNUMBER(BW53:BW249),ROW(BW53:BW249),"")))</f>
        <v>20.2</v>
      </c>
      <c r="BY53" s="12">
        <f>IF('Données projet'!$A$114&gt;35,BY52+BX53-CG52,IF(A53&lt;'Données projet'!$A$114,$BV$205^A53,IF(A53='Données projet'!$A$114,'Données projet'!$B$114,BY52+BX53-CG52)))</f>
        <v>497.99999999999977</v>
      </c>
      <c r="BZ53" s="13">
        <f>BY53*VLOOKUP('Données projet'!$B$12,Paramètres!$A$1:$I$89,3,0)*VLOOKUP('Données projet'!$B$12,Paramètres!$A$1:$I$89,5,0)</f>
        <v>278.38199999999989</v>
      </c>
      <c r="CA53" s="13">
        <f t="shared" si="39"/>
        <v>66.624963725642488</v>
      </c>
      <c r="CB53" s="20">
        <f t="shared" si="10"/>
        <v>600.88712848882722</v>
      </c>
      <c r="CC53" s="59">
        <f t="shared" si="11"/>
        <v>885.81374442531069</v>
      </c>
      <c r="CD53" s="59">
        <f ca="1">AVERAGE(OFFSET($CC$3,0,0,'Données projet'!$E$12+1,1))-AVERAGE(OFFSET($H$3,0,0,'Données projet'!$E$12+1,1))</f>
        <v>462.09240749760784</v>
      </c>
      <c r="CE53" s="59">
        <f t="shared" si="40"/>
        <v>403.52202223463337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0.33</v>
      </c>
      <c r="CI53" s="16">
        <f>IF(ISNA(VLOOKUP(A53,'Données projet'!$A$113:$I$133,6,0)),0%,VLOOKUP(A53,'Données projet'!$A$113:$I$133,6,0)*VLOOKUP('Données projet'!$B$12,Paramètres!$A$1:$I$89,7,0))</f>
        <v>0.12100000000000001</v>
      </c>
      <c r="CJ53" s="16">
        <f>IF(ISNA(VLOOKUP(A53,'Données projet'!$A$113:$I$133,7,0)),0%,VLOOKUP(A53,'Données projet'!$A$113:$I$133,7,0))</f>
        <v>0.18</v>
      </c>
      <c r="CK53" s="21">
        <f>EXP(-LN(2)/35)*CK52+(1-EXP(-LN(2)/35))/(LN(2)/35)*CG53*CH53*VLOOKUP('Données projet'!$B$12,Paramètres!$A$1:$I$89,3,0)*0.475*44/12</f>
        <v>76.504446170316314</v>
      </c>
      <c r="CL53" s="21">
        <f>EXP(-LN(2)/25)*CL52+(1-EXP(-LN(2)/25))/(LN(2)/25)*Calculateur!CG53*Calculateur!CI53*VLOOKUP('Données projet'!$B$12,Paramètres!$A$1:$I$89,3,0)*0.475*44/12</f>
        <v>29.948032822025155</v>
      </c>
      <c r="CM53" s="21">
        <f>EXP(-LN(2)/2)*CM52+(1-EXP(-LN(2)/2))/(LN(2)/2)*CG53*CJ53*VLOOKUP('Données projet'!$B$12,Paramètres!$A$1:$I$89,3,0)*0.475*44/12</f>
        <v>7.921393795877286</v>
      </c>
      <c r="CN53" s="22">
        <f t="shared" si="12"/>
        <v>114.37387278821876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390</v>
      </c>
      <c r="CR53" s="12">
        <f>VLOOKUP(A53,'Données projet'!$A$139:$I$159,9,0)</f>
        <v>14</v>
      </c>
      <c r="CS53" s="12">
        <f t="array" ref="CS53">INDEX(CR:CR,MIN(IF(ISNUMBER(CR53:CR249),ROW(CR53:CR249),"")))</f>
        <v>14</v>
      </c>
      <c r="CT53" s="12">
        <f>IF('Données projet'!$A$140&gt;35,CT52+CS53-DB52,IF(A53&lt;'Données projet'!$A$140,$CQ$205^A53,IF(A53='Données projet'!$A$140,'Données projet'!$B$140,CT52+CS53-DB52)))</f>
        <v>390</v>
      </c>
      <c r="CU53" s="17">
        <f>CT53*VLOOKUP('Données projet'!$B$13,Paramètres!$A$1:$I$89,3,0)*VLOOKUP('Données projet'!$B$13,Paramètres!$A$1:$I$89,5,0)</f>
        <v>182.52</v>
      </c>
      <c r="CV53" s="13">
        <f t="shared" si="41"/>
        <v>45.882385280285632</v>
      </c>
      <c r="CW53" s="20">
        <f t="shared" si="13"/>
        <v>397.80082102983079</v>
      </c>
      <c r="CX53" s="59">
        <f t="shared" si="14"/>
        <v>682.72743696631414</v>
      </c>
      <c r="CY53" s="59">
        <f ca="1">AVERAGE(OFFSET($CX$3,0,0,'Données projet'!$E$13+1,1))-AVERAGE(OFFSET($H$3,0,0,'Données projet'!$E$13+1,1))</f>
        <v>319.88925869887464</v>
      </c>
      <c r="CZ53" s="59">
        <f t="shared" si="42"/>
        <v>258.2857172412098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50</v>
      </c>
      <c r="DC53" s="16">
        <f>IF(ISNA(VLOOKUP(A53,'Données projet'!$A$139:$I$159,5,0)),0%,VLOOKUP(A53,'Données projet'!$A$139:$I$159,5,0)*VLOOKUP('Données projet'!$B$13,Paramètres!$A$1:$I$89,7,0))</f>
        <v>0.22000000000000003</v>
      </c>
      <c r="DD53" s="16">
        <f>IF(ISNA(VLOOKUP(A53,'Données projet'!$A$139:$I$159,6,0)),0%,VLOOKUP(A53,'Données projet'!$A$139:$I$159,6,0)*VLOOKUP('Données projet'!$B$13,Paramètres!$A$1:$I$89,7,0))</f>
        <v>0.18700000000000003</v>
      </c>
      <c r="DE53" s="16">
        <f>IF(ISNA(VLOOKUP(A53,'Données projet'!$A$139:$I$159,7,0)),0%,VLOOKUP(A53,'Données projet'!$A$139:$I$159,7,0))</f>
        <v>0.26</v>
      </c>
      <c r="DF53" s="21">
        <f>EXP(-LN(2)/35)*DF52+(1-EXP(-LN(2)/35))/(LN(2)/35)*DB53*DC53*VLOOKUP('Données projet'!$B$13,Paramètres!$A$1:$I$89,3,0)*0.475*44/12</f>
        <v>13.328640921453463</v>
      </c>
      <c r="DG53" s="21">
        <f>EXP(-LN(2)/25)*DG52+(1-EXP(-LN(2)/25))/(LN(2)/25)*Calculateur!DB53*Calculateur!DD53*VLOOKUP('Données projet'!$B$13,Paramètres!$A$1:$I$89,3,0)*0.475*44/12</f>
        <v>18.519594329264706</v>
      </c>
      <c r="DH53" s="21">
        <f>EXP(-LN(2)/2)*DH52+(1-EXP(-LN(2)/2))/(LN(2)/2)*DB53*DE53*VLOOKUP('Données projet'!$B$13,Paramètres!$A$1:$I$89,3,0)*0.475*44/12</f>
        <v>7.1545044601337793</v>
      </c>
      <c r="DI53" s="22">
        <f t="shared" si="15"/>
        <v>39.002739710851948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443.73</v>
      </c>
      <c r="DM53" s="12">
        <f>VLOOKUP(A53,'Données projet'!$A$165:$I$185,9,0)</f>
        <v>17.617500000000007</v>
      </c>
      <c r="DN53" s="12">
        <f t="array" ref="DN53">INDEX(DM:DM,MIN(IF(ISNUMBER(DM53:DM249),ROW(DM53:DM249),"")))</f>
        <v>17.617500000000007</v>
      </c>
      <c r="DO53" s="12">
        <f>IF('Données projet'!$A$166&gt;35,DO52+DN53-DW52,IF(A53&lt;'Données projet'!$A$166,$DL$205^A53,IF(A53='Données projet'!$A$166,'Données projet'!$B$166,DO52+DN53-DW52)))</f>
        <v>443.73000000000013</v>
      </c>
      <c r="DP53" s="17">
        <f>DO53*VLOOKUP('Données projet'!$B$14,Paramètres!$A$1:$I$89,3,0)*VLOOKUP('Données projet'!$B$14,Paramètres!$A$1:$I$89,5,0)</f>
        <v>265.35054000000008</v>
      </c>
      <c r="DQ53" s="13">
        <f t="shared" si="43"/>
        <v>63.861541215481004</v>
      </c>
      <c r="DR53" s="20">
        <f t="shared" si="16"/>
        <v>573.37770811696282</v>
      </c>
      <c r="DS53" s="59">
        <f t="shared" si="17"/>
        <v>858.30432405344618</v>
      </c>
      <c r="DT53" s="59">
        <f ca="1">AVERAGE(OFFSET($DS$3,0,0,'Données projet'!$E$14+1,1))-AVERAGE(OFFSET($H$3,0,0,'Données projet'!$E$14+1,1))</f>
        <v>443.64905827069435</v>
      </c>
      <c r="DU53" s="59">
        <f t="shared" si="44"/>
        <v>381.14782516862385</v>
      </c>
      <c r="DV53" s="15">
        <f>IF(ISNA(VLOOKUP(A53,'Données projet'!$A$165:$I$185,3,0)),0,VLOOKUP(A53,'Données projet'!$A$165:$I$185,3,0))</f>
        <v>10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23.346778241427831</v>
      </c>
      <c r="EB53" s="21">
        <f>EXP(-LN(2)/25)*EB52+(1-EXP(-LN(2)/25))/(LN(2)/25)*Calculateur!DW53*Calculateur!DY53*VLOOKUP('Données projet'!$B$14,Paramètres!$A$1:$I$89,3,0)*0.475*44/12</f>
        <v>23.992837903288905</v>
      </c>
      <c r="EC53" s="21">
        <f>EXP(-LN(2)/2)*EC52+(1-EXP(-LN(2)/2))/(LN(2)/2)*DW53*DZ53*VLOOKUP('Données projet'!$B$14,Paramètres!$A$1:$I$89,3,0)*0.475*44/12</f>
        <v>4.2156314772683761</v>
      </c>
      <c r="ED53" s="22">
        <f t="shared" si="18"/>
        <v>51.55524762198511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384</v>
      </c>
      <c r="EH53" s="12">
        <f>VLOOKUP(A53,'Données projet'!$A$191:$I$211,9,0)</f>
        <v>7.4</v>
      </c>
      <c r="EI53" s="12">
        <f t="array" ref="EI53">INDEX(EH:EH,MIN(IF(ISNUMBER(EH53:EH249),ROW(EH53:EH249),"")))</f>
        <v>7.4</v>
      </c>
      <c r="EJ53" s="12">
        <f>IF('Données projet'!$A$192&gt;35,EJ52+EI53-ER52,IF(A53&lt;'Données projet'!$A$192,$EG$205^A53,IF(A53='Données projet'!$A$192,'Données projet'!$B$192,EJ52+EI53-ER52)))</f>
        <v>383.9999999999996</v>
      </c>
      <c r="EK53" s="17">
        <f>EJ53*VLOOKUP('Données projet'!$B$15,Paramètres!$A$1:$I$89,3,0)*VLOOKUP('Données projet'!$B$15,Paramètres!$A$1:$I$89,5,0)</f>
        <v>347.44319999999959</v>
      </c>
      <c r="EL53" s="13">
        <f t="shared" si="45"/>
        <v>81.035815119183155</v>
      </c>
      <c r="EM53" s="20">
        <f t="shared" si="19"/>
        <v>746.26761799924327</v>
      </c>
      <c r="EN53" s="59">
        <f t="shared" si="20"/>
        <v>1031.1942339357267</v>
      </c>
      <c r="EO53" s="59">
        <f ca="1">AVERAGE(OFFSET($EN$3,0,0,'Données projet'!$E$15+1,1))-AVERAGE(OFFSET($H$3,0,0,'Données projet'!$E$15+1,1))</f>
        <v>504.37890861635196</v>
      </c>
      <c r="EP53" s="59">
        <f t="shared" si="46"/>
        <v>611.82129317522913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16</v>
      </c>
      <c r="ES53" s="16">
        <f>IF(ISNA(VLOOKUP(A53,'Données projet'!$A$191:$I$211,5,0)),0%,VLOOKUP(A53,'Données projet'!$A$191:$I$211,5,0)*VLOOKUP('Données projet'!$B$15,Paramètres!$A$1:$I$89,7,0))</f>
        <v>0.12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6.9406073801826667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6.9406073801826667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121</v>
      </c>
      <c r="FC53" s="12">
        <f>VLOOKUP(A53,'Données projet'!$A$217:$I$237,9,0)</f>
        <v>5.6</v>
      </c>
      <c r="FD53" s="12">
        <f t="array" ref="FD53">INDEX(FC:FC,MIN(IF(ISNUMBER(FC53:FC249),ROW(FC53:FC249),"")))</f>
        <v>5.6</v>
      </c>
      <c r="FE53" s="12">
        <f>IF('Données projet'!$A$218&gt;35,FE52+FD53-FM52,IF(A53&lt;'Données projet'!$A$218,$FB$205^A53,IF(A53='Données projet'!$A$218,'Données projet'!$B$218,FE52+FD53-FM52)))</f>
        <v>120.99999999999996</v>
      </c>
      <c r="FF53" s="17">
        <f>FE53*VLOOKUP('Données projet'!$B$16,Paramètres!$A$1:$I$89,3,0)*VLOOKUP('Données projet'!$B$16,Paramètres!$A$1:$I$89,5,0)</f>
        <v>130.24439999999996</v>
      </c>
      <c r="FG53" s="13">
        <f t="shared" si="47"/>
        <v>34.052826821785409</v>
      </c>
      <c r="FH53" s="20">
        <f t="shared" si="22"/>
        <v>286.1510033812761</v>
      </c>
      <c r="FI53" s="59">
        <f t="shared" si="23"/>
        <v>571.07761931775951</v>
      </c>
      <c r="FJ53" s="59">
        <f ca="1">AVERAGE(OFFSET($FI$3,0,0,'Données projet'!$E$16+1,1))-AVERAGE(OFFSET($H$3,0,0,'Données projet'!$E$16+1,1))</f>
        <v>334.01098870576732</v>
      </c>
      <c r="FK53" s="59">
        <f t="shared" si="48"/>
        <v>171.1802153303471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14</v>
      </c>
      <c r="FN53" s="16">
        <f>IF(ISNA(VLOOKUP(A53,'Données projet'!$A$217:$I$237,5,0)),0%,VLOOKUP(A53,'Données projet'!$A$217:$I$237,5,0)*VLOOKUP('Données projet'!$B$16,Paramètres!$A$1:$I$89,7,0))</f>
        <v>8.6000000000000007E-2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3.9055530441843764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3.9055530441843764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219</v>
      </c>
      <c r="FX53" s="12">
        <f>VLOOKUP(A53,'Données projet'!$A$243:$I$263,9,0)</f>
        <v>7.2</v>
      </c>
      <c r="FY53" s="12">
        <f t="array" ref="FY53">INDEX(FX:FX,MIN(IF(ISNUMBER(FX53:FX249),ROW(FX53:FX249),"")))</f>
        <v>7.2</v>
      </c>
      <c r="FZ53" s="12">
        <f>IF('Données projet'!$A$244&gt;35,FZ52+FY53-GH52,IF(A53&lt;'Données projet'!$A$244,$FW$205^A53,IF(A53='Données projet'!$A$244,'Données projet'!$B$244,FZ52+FY53-GH52)))</f>
        <v>218.99999999999989</v>
      </c>
      <c r="GA53" s="17">
        <f>FZ53*VLOOKUP('Données projet'!$B$17,Paramètres!$A$1:$I$89,3,0)*VLOOKUP('Données projet'!$B$17,Paramètres!$A$1:$I$89,5,0)</f>
        <v>191.31839999999991</v>
      </c>
      <c r="GB53" s="13">
        <f t="shared" si="49"/>
        <v>47.831314962098354</v>
      </c>
      <c r="GC53" s="20">
        <f t="shared" si="25"/>
        <v>416.51908689232118</v>
      </c>
      <c r="GD53" s="59">
        <f t="shared" si="26"/>
        <v>701.44570282880454</v>
      </c>
      <c r="GE53" s="59">
        <f ca="1">AVERAGE(OFFSET($GD$3,0,0,'Données projet'!$E$17+1,1))-AVERAGE(OFFSET($H$3,0,0,'Données projet'!$E$17+1,1))</f>
        <v>330.12856974146598</v>
      </c>
      <c r="GF53" s="59">
        <f t="shared" si="50"/>
        <v>321.23368446552286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17</v>
      </c>
      <c r="GI53" s="16">
        <f>IF(ISNA(VLOOKUP(A53,'Données projet'!$A$243:$I$263,5,0)),0%,VLOOKUP(A53,'Données projet'!$A$243:$I$263,5,0)*VLOOKUP('Données projet'!$B$17,Paramètres!$A$1:$I$89,7,0))</f>
        <v>0.21200000000000002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14.125752941236781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14.125752941236781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67.707258891768205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178</v>
      </c>
      <c r="GS53" s="12">
        <f>VLOOKUP(A53,'Données projet'!$A$269:$I$289,9,0)</f>
        <v>8.1999999999999993</v>
      </c>
      <c r="GT53" s="12">
        <f t="array" ref="GT53">INDEX(GS:GS,MIN(IF(ISNUMBER(GS53:GS249),ROW(GS53:GS249),"")))</f>
        <v>8.1999999999999993</v>
      </c>
      <c r="GU53" s="12">
        <f>IF('Données projet'!$A$270&gt;35,GU52+GT53-HC52,IF(A53&lt;'Données projet'!$A$270,$GR$205^A53,IF(A53='Données projet'!$A$270,'Données projet'!$B$270,GU52+GT53-HC52)))</f>
        <v>178</v>
      </c>
      <c r="GV53" s="17">
        <f>GU53*VLOOKUP('Données projet'!$B$18,Paramètres!$A$1:$I$89,3,0)*VLOOKUP('Données projet'!$B$18,Paramètres!$A$1:$I$89,5,0)</f>
        <v>119.40239999999999</v>
      </c>
      <c r="GW53" s="13">
        <f t="shared" si="51"/>
        <v>31.535578435312072</v>
      </c>
      <c r="GX53" s="20">
        <f t="shared" si="28"/>
        <v>262.8836457748352</v>
      </c>
      <c r="GY53" s="59">
        <f t="shared" si="29"/>
        <v>547.81026171131862</v>
      </c>
      <c r="GZ53" s="59">
        <f ca="1">AVERAGE(OFFSET($GY$3,0,0,'Données projet'!$E$18+1,1))-AVERAGE(OFFSET($H$3,0,0,'Données projet'!$E$18+1,1))</f>
        <v>296.67751292332753</v>
      </c>
      <c r="HA53" s="59">
        <f t="shared" si="52"/>
        <v>197.99510031603018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21</v>
      </c>
      <c r="HD53" s="16">
        <f>IF(ISNA(VLOOKUP(A53,'Données projet'!$A$269:$I$289,5,0)),0%,VLOOKUP(A53,'Données projet'!$A$269:$I$289,5,0)*VLOOKUP('Données projet'!$B$18,Paramètres!$A$1:$I$89,7,0))</f>
        <v>0.159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5.3252209610642343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5.3252209610642343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1.1000000000000001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4.0333333333333341</v>
      </c>
      <c r="H54" s="67">
        <f t="shared" si="1"/>
        <v>240.5333333333333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</v>
      </c>
      <c r="O54" s="13">
        <f>N54*VLOOKUP('Données projet'!$B$9,Paramètres!$A$1:$I$89,3,0)*VLOOKUP('Données projet'!$B$9,Paramètres!$A$1:$I$89,5,0)</f>
        <v>192.90335999999999</v>
      </c>
      <c r="P54" s="13">
        <f t="shared" si="33"/>
        <v>48.181276881765257</v>
      </c>
      <c r="Q54" s="20">
        <f t="shared" si="53"/>
        <v>419.8890759024078</v>
      </c>
      <c r="R54" s="59">
        <f t="shared" si="0"/>
        <v>704.96152959112214</v>
      </c>
      <c r="S54" s="59">
        <f ca="1">AVERAGE(OFFSET($R$3,0,0,'Données projet'!$E$9+1,1))-AVERAGE(OFFSET($H$3,0,0,'Données projet'!$E$9+1,1))</f>
        <v>461.20962581398715</v>
      </c>
      <c r="T54" s="59">
        <f t="shared" si="34"/>
        <v>348.44322874953923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</v>
      </c>
      <c r="AJ54" s="13">
        <f>AI54*VLOOKUP('Données projet'!$B$10,Paramètres!$A$1:$I$89,3,0)*VLOOKUP('Données projet'!$B$10,Paramètres!$A$1:$I$89,5,0)</f>
        <v>216.1848</v>
      </c>
      <c r="AK54" s="13">
        <f t="shared" si="35"/>
        <v>53.284828478170375</v>
      </c>
      <c r="AL54" s="20">
        <f t="shared" si="4"/>
        <v>469.32626959947999</v>
      </c>
      <c r="AM54" s="59">
        <f t="shared" si="5"/>
        <v>754.39872328819433</v>
      </c>
      <c r="AN54" s="59">
        <f ca="1">AVERAGE(OFFSET($AM$3,0,0,'Données projet'!$E$10+1,1))-AVERAGE(OFFSET($H$3,0,0,'Données projet'!$E$10+1,1))</f>
        <v>510.86584023875525</v>
      </c>
      <c r="AO54" s="59">
        <f t="shared" si="36"/>
        <v>384.62921487244125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8.5371517156055106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8.5371517156055106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</v>
      </c>
      <c r="BD54" s="12">
        <f>IF('Données projet'!$A$88&gt;35,BD53+BC54-BL53,IF(A54&lt;'Données projet'!$A$88,$BA$205^A54,IF(A54='Données projet'!$A$88,'Données projet'!$B$88,BD53+BC54-BL53)))</f>
        <v>200.00000000000003</v>
      </c>
      <c r="BE54" s="13">
        <f>BD54*VLOOKUP('Données projet'!$B$11,Paramètres!$A$1:$I$89,3,0)*VLOOKUP('Données projet'!$B$11,Paramètres!$A$1:$I$89,5,0)</f>
        <v>146.64000000000001</v>
      </c>
      <c r="BF54" s="13">
        <f t="shared" si="37"/>
        <v>37.814009712703054</v>
      </c>
      <c r="BG54" s="20">
        <f t="shared" si="7"/>
        <v>321.25740024962448</v>
      </c>
      <c r="BH54" s="59">
        <f t="shared" si="8"/>
        <v>606.32985393833883</v>
      </c>
      <c r="BI54" s="59">
        <f ca="1">AVERAGE(OFFSET($BH$3,0,0,'Données projet'!$E$11+1,1))-AVERAGE(OFFSET($H$3,0,0,'Données projet'!$E$11+1,1))</f>
        <v>201.7253431547006</v>
      </c>
      <c r="BJ54" s="59">
        <f t="shared" si="38"/>
        <v>229.70004720044096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8.4612762941478703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8.4612762941478703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18.8</v>
      </c>
      <c r="BY54" s="12">
        <f>IF('Données projet'!$A$114&gt;35,BY53+BX54-CG53,IF(A54&lt;'Données projet'!$A$114,$BV$205^A54,IF(A54='Données projet'!$A$114,'Données projet'!$B$114,BY53+BX54-CG53)))</f>
        <v>460.79999999999973</v>
      </c>
      <c r="BZ54" s="13">
        <f>BY54*VLOOKUP('Données projet'!$B$12,Paramètres!$A$1:$I$89,3,0)*VLOOKUP('Données projet'!$B$12,Paramètres!$A$1:$I$89,5,0)</f>
        <v>257.58719999999988</v>
      </c>
      <c r="CA54" s="13">
        <f t="shared" si="39"/>
        <v>62.207787758044454</v>
      </c>
      <c r="CB54" s="20">
        <f t="shared" si="10"/>
        <v>556.97627034526056</v>
      </c>
      <c r="CC54" s="59">
        <f t="shared" si="11"/>
        <v>842.04872403397485</v>
      </c>
      <c r="CD54" s="59">
        <f ca="1">AVERAGE(OFFSET($CC$3,0,0,'Données projet'!$E$12+1,1))-AVERAGE(OFFSET($H$3,0,0,'Données projet'!$E$12+1,1))</f>
        <v>462.09240749760784</v>
      </c>
      <c r="CE54" s="59">
        <f t="shared" si="40"/>
        <v>403.52202223463337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75.004240644020982</v>
      </c>
      <c r="CL54" s="21">
        <f>EXP(-LN(2)/25)*CL53+(1-EXP(-LN(2)/25))/(LN(2)/25)*Calculateur!CG54*Calculateur!CI54*VLOOKUP('Données projet'!$B$12,Paramètres!$A$1:$I$89,3,0)*0.475*44/12</f>
        <v>29.129102289608277</v>
      </c>
      <c r="CM54" s="21">
        <f>EXP(-LN(2)/2)*CM53+(1-EXP(-LN(2)/2))/(LN(2)/2)*CG54*CJ54*VLOOKUP('Données projet'!$B$12,Paramètres!$A$1:$I$89,3,0)*0.475*44/12</f>
        <v>5.6012712695138758</v>
      </c>
      <c r="CN54" s="22">
        <f t="shared" si="12"/>
        <v>109.73461420314312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</v>
      </c>
      <c r="CT54" s="12">
        <f>IF('Données projet'!$A$140&gt;35,CT53+CS54-DB53,IF(A54&lt;'Données projet'!$A$140,$CQ$205^A54,IF(A54='Données projet'!$A$140,'Données projet'!$B$140,CT53+CS54-DB53)))</f>
        <v>353</v>
      </c>
      <c r="CU54" s="17">
        <f>CT54*VLOOKUP('Données projet'!$B$13,Paramètres!$A$1:$I$89,3,0)*VLOOKUP('Données projet'!$B$13,Paramètres!$A$1:$I$89,5,0)</f>
        <v>165.20400000000001</v>
      </c>
      <c r="CV54" s="13">
        <f t="shared" si="41"/>
        <v>42.01409666579589</v>
      </c>
      <c r="CW54" s="20">
        <f t="shared" si="13"/>
        <v>360.90485169292782</v>
      </c>
      <c r="CX54" s="59">
        <f t="shared" si="14"/>
        <v>645.97730538164205</v>
      </c>
      <c r="CY54" s="59">
        <f ca="1">AVERAGE(OFFSET($CX$3,0,0,'Données projet'!$E$13+1,1))-AVERAGE(OFFSET($H$3,0,0,'Données projet'!$E$13+1,1))</f>
        <v>319.88925869887464</v>
      </c>
      <c r="CZ54" s="59">
        <f t="shared" si="42"/>
        <v>258.2857172412098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13.067274402651984</v>
      </c>
      <c r="DG54" s="21">
        <f>EXP(-LN(2)/25)*DG53+(1-EXP(-LN(2)/25))/(LN(2)/25)*Calculateur!DB54*Calculateur!DD54*VLOOKUP('Données projet'!$B$13,Paramètres!$A$1:$I$89,3,0)*0.475*44/12</f>
        <v>18.013175048427822</v>
      </c>
      <c r="DH54" s="21">
        <f>EXP(-LN(2)/2)*DH53+(1-EXP(-LN(2)/2))/(LN(2)/2)*DB54*DE54*VLOOKUP('Données projet'!$B$13,Paramètres!$A$1:$I$89,3,0)*0.475*44/12</f>
        <v>5.0589986197899952</v>
      </c>
      <c r="DI54" s="22">
        <f t="shared" si="15"/>
        <v>36.139448070869804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17.995000000000005</v>
      </c>
      <c r="DO54" s="12">
        <f>IF('Données projet'!$A$166&gt;35,DO53+DN54-DW53,IF(A54&lt;'Données projet'!$A$166,$DL$205^A54,IF(A54='Données projet'!$A$166,'Données projet'!$B$166,DO53+DN54-DW53)))</f>
        <v>461.72500000000014</v>
      </c>
      <c r="DP54" s="17">
        <f>DO54*VLOOKUP('Données projet'!$B$14,Paramètres!$A$1:$I$89,3,0)*VLOOKUP('Données projet'!$B$14,Paramètres!$A$1:$I$89,5,0)</f>
        <v>276.11155000000008</v>
      </c>
      <c r="DQ54" s="13">
        <f t="shared" si="43"/>
        <v>66.144599992702055</v>
      </c>
      <c r="DR54" s="20">
        <f t="shared" si="16"/>
        <v>596.09612790395624</v>
      </c>
      <c r="DS54" s="59">
        <f t="shared" si="17"/>
        <v>881.16858159267053</v>
      </c>
      <c r="DT54" s="59">
        <f ca="1">AVERAGE(OFFSET($DS$3,0,0,'Données projet'!$E$14+1,1))-AVERAGE(OFFSET($H$3,0,0,'Données projet'!$E$14+1,1))</f>
        <v>443.64905827069435</v>
      </c>
      <c r="DU54" s="59">
        <f t="shared" si="44"/>
        <v>381.14782516862385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22.888962160242063</v>
      </c>
      <c r="EB54" s="21">
        <f>EXP(-LN(2)/25)*EB53+(1-EXP(-LN(2)/25))/(LN(2)/25)*Calculateur!DW54*Calculateur!DY54*VLOOKUP('Données projet'!$B$14,Paramètres!$A$1:$I$89,3,0)*0.475*44/12</f>
        <v>23.336752489094962</v>
      </c>
      <c r="EC54" s="21">
        <f>EXP(-LN(2)/2)*EC53+(1-EXP(-LN(2)/2))/(LN(2)/2)*DW54*DZ54*VLOOKUP('Données projet'!$B$14,Paramètres!$A$1:$I$89,3,0)*0.475*44/12</f>
        <v>2.9809016045599317</v>
      </c>
      <c r="ED54" s="22">
        <f t="shared" si="18"/>
        <v>49.206616253896954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6.8</v>
      </c>
      <c r="EJ54" s="12">
        <f>IF('Données projet'!$A$192&gt;35,EJ53+EI54-ER53,IF(A54&lt;'Données projet'!$A$192,$EG$205^A54,IF(A54='Données projet'!$A$192,'Données projet'!$B$192,EJ53+EI54-ER53)))</f>
        <v>374.79999999999961</v>
      </c>
      <c r="EK54" s="17">
        <f>EJ54*VLOOKUP('Données projet'!$B$15,Paramètres!$A$1:$I$89,3,0)*VLOOKUP('Données projet'!$B$15,Paramètres!$A$1:$I$89,5,0)</f>
        <v>339.11903999999964</v>
      </c>
      <c r="EL54" s="13">
        <f t="shared" si="45"/>
        <v>79.317907034301399</v>
      </c>
      <c r="EM54" s="20">
        <f t="shared" si="19"/>
        <v>728.77768275140761</v>
      </c>
      <c r="EN54" s="59">
        <f t="shared" si="20"/>
        <v>1013.8501364401219</v>
      </c>
      <c r="EO54" s="59">
        <f ca="1">AVERAGE(OFFSET($EN$3,0,0,'Données projet'!$E$15+1,1))-AVERAGE(OFFSET($H$3,0,0,'Données projet'!$E$15+1,1))</f>
        <v>504.37890861635196</v>
      </c>
      <c r="EP54" s="59">
        <f t="shared" si="46"/>
        <v>611.82129317522913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6.8045063028097772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6.8045063028097772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112.59999999999995</v>
      </c>
      <c r="FF54" s="17">
        <f>FE54*VLOOKUP('Données projet'!$B$16,Paramètres!$A$1:$I$89,3,0)*VLOOKUP('Données projet'!$B$16,Paramètres!$A$1:$I$89,5,0)</f>
        <v>121.20263999999995</v>
      </c>
      <c r="FG54" s="13">
        <f t="shared" si="47"/>
        <v>31.955332323658638</v>
      </c>
      <c r="FH54" s="20">
        <f t="shared" si="22"/>
        <v>266.75013513037203</v>
      </c>
      <c r="FI54" s="59">
        <f t="shared" si="23"/>
        <v>551.82258881908638</v>
      </c>
      <c r="FJ54" s="59">
        <f ca="1">AVERAGE(OFFSET($FI$3,0,0,'Données projet'!$E$16+1,1))-AVERAGE(OFFSET($H$3,0,0,'Données projet'!$E$16+1,1))</f>
        <v>334.01098870576732</v>
      </c>
      <c r="FK54" s="59">
        <f t="shared" si="48"/>
        <v>171.1802153303471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3.8289675311400599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3.8289675311400599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</v>
      </c>
      <c r="FZ54" s="12">
        <f>IF('Données projet'!$A$244&gt;35,FZ53+FY54-GH53,IF(A54&lt;'Données projet'!$A$244,$FW$205^A54,IF(A54='Données projet'!$A$244,'Données projet'!$B$244,FZ53+FY54-GH53)))</f>
        <v>207.99999999999989</v>
      </c>
      <c r="GA54" s="17">
        <f>FZ54*VLOOKUP('Données projet'!$B$17,Paramètres!$A$1:$I$89,3,0)*VLOOKUP('Données projet'!$B$17,Paramètres!$A$1:$I$89,5,0)</f>
        <v>181.70879999999991</v>
      </c>
      <c r="GB54" s="13">
        <f t="shared" si="49"/>
        <v>45.702153370067769</v>
      </c>
      <c r="GC54" s="20">
        <f t="shared" si="25"/>
        <v>396.07407711953448</v>
      </c>
      <c r="GD54" s="59">
        <f t="shared" si="26"/>
        <v>681.14653080824883</v>
      </c>
      <c r="GE54" s="59">
        <f ca="1">AVERAGE(OFFSET($GD$3,0,0,'Données projet'!$E$17+1,1))-AVERAGE(OFFSET($H$3,0,0,'Données projet'!$E$17+1,1))</f>
        <v>330.12856974146598</v>
      </c>
      <c r="GF54" s="59">
        <f t="shared" si="50"/>
        <v>321.23368446552286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13.848755541917678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13.848755541917678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67.747032824194804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</v>
      </c>
      <c r="GU54" s="12">
        <f>IF('Données projet'!$A$270&gt;35,GU53+GT54-HC53,IF(A54&lt;'Données projet'!$A$270,$GR$205^A54,IF(A54='Données projet'!$A$270,'Données projet'!$B$270,GU53+GT54-HC53)))</f>
        <v>165</v>
      </c>
      <c r="GV54" s="17">
        <f>GU54*VLOOKUP('Données projet'!$B$18,Paramètres!$A$1:$I$89,3,0)*VLOOKUP('Données projet'!$B$18,Paramètres!$A$1:$I$89,5,0)</f>
        <v>110.682</v>
      </c>
      <c r="GW54" s="13">
        <f t="shared" si="51"/>
        <v>29.49161124389969</v>
      </c>
      <c r="GX54" s="20">
        <f t="shared" si="28"/>
        <v>244.13570624979195</v>
      </c>
      <c r="GY54" s="59">
        <f t="shared" si="29"/>
        <v>529.20815993850624</v>
      </c>
      <c r="GZ54" s="59">
        <f ca="1">AVERAGE(OFFSET($GY$3,0,0,'Données projet'!$E$18+1,1))-AVERAGE(OFFSET($H$3,0,0,'Données projet'!$E$18+1,1))</f>
        <v>296.67751292332753</v>
      </c>
      <c r="HA54" s="59">
        <f t="shared" si="52"/>
        <v>197.99510031603018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5.2207966260818308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5.2207966260818308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1.1000000000000001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4.0333333333333341</v>
      </c>
      <c r="H55" s="67">
        <f t="shared" si="1"/>
        <v>240.5333333333333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223.39999999999998</v>
      </c>
      <c r="O55" s="13">
        <f>N55*VLOOKUP('Données projet'!$B$9,Paramètres!$A$1:$I$89,3,0)*VLOOKUP('Données projet'!$B$9,Paramètres!$A$1:$I$89,5,0)</f>
        <v>202.13231999999996</v>
      </c>
      <c r="P55" s="13">
        <f t="shared" si="33"/>
        <v>50.212497488959627</v>
      </c>
      <c r="Q55" s="20">
        <f t="shared" si="53"/>
        <v>439.50055712660463</v>
      </c>
      <c r="R55" s="59">
        <f t="shared" si="0"/>
        <v>724.71631860859293</v>
      </c>
      <c r="S55" s="59">
        <f ca="1">AVERAGE(OFFSET($R$3,0,0,'Données projet'!$E$9+1,1))-AVERAGE(OFFSET($H$3,0,0,'Données projet'!$E$9+1,1))</f>
        <v>461.20962581398715</v>
      </c>
      <c r="T55" s="59">
        <f t="shared" si="34"/>
        <v>348.44322874953923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223.39999999999998</v>
      </c>
      <c r="AJ55" s="13">
        <f>AI55*VLOOKUP('Données projet'!$B$10,Paramètres!$A$1:$I$89,3,0)*VLOOKUP('Données projet'!$B$10,Paramètres!$A$1:$I$89,5,0)</f>
        <v>226.52759999999998</v>
      </c>
      <c r="AK55" s="13">
        <f t="shared" si="35"/>
        <v>55.531204013656371</v>
      </c>
      <c r="AL55" s="20">
        <f t="shared" si="4"/>
        <v>491.25241699045142</v>
      </c>
      <c r="AM55" s="59">
        <f t="shared" si="5"/>
        <v>776.46817847243983</v>
      </c>
      <c r="AN55" s="59">
        <f ca="1">AVERAGE(OFFSET($AM$3,0,0,'Données projet'!$E$10+1,1))-AVERAGE(OFFSET($H$3,0,0,'Données projet'!$E$10+1,1))</f>
        <v>510.86584023875525</v>
      </c>
      <c r="AO55" s="59">
        <f t="shared" si="36"/>
        <v>384.62921487244125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8.3697433776108703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8.3697433776108703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</v>
      </c>
      <c r="BD55" s="12">
        <f>IF('Données projet'!$A$88&gt;35,BD54+BC55-BL54,IF(A55&lt;'Données projet'!$A$88,$BA$205^A55,IF(A55='Données projet'!$A$88,'Données projet'!$B$88,BD54+BC55-BL54)))</f>
        <v>211.00000000000003</v>
      </c>
      <c r="BE55" s="13">
        <f>BD55*VLOOKUP('Données projet'!$B$11,Paramètres!$A$1:$I$89,3,0)*VLOOKUP('Données projet'!$B$11,Paramètres!$A$1:$I$89,5,0)</f>
        <v>154.70520000000002</v>
      </c>
      <c r="BF55" s="13">
        <f t="shared" si="37"/>
        <v>39.645929536036533</v>
      </c>
      <c r="BG55" s="20">
        <f t="shared" si="7"/>
        <v>338.49488394193031</v>
      </c>
      <c r="BH55" s="59">
        <f t="shared" si="8"/>
        <v>623.71064542391866</v>
      </c>
      <c r="BI55" s="59">
        <f ca="1">AVERAGE(OFFSET($BH$3,0,0,'Données projet'!$E$11+1,1))-AVERAGE(OFFSET($H$3,0,0,'Données projet'!$E$11+1,1))</f>
        <v>201.7253431547006</v>
      </c>
      <c r="BJ55" s="59">
        <f t="shared" si="38"/>
        <v>229.70004720044096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8.2953558268885761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8.2953558268885761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18.8</v>
      </c>
      <c r="BY55" s="12">
        <f>IF('Données projet'!$A$114&gt;35,BY54+BX55-CG54,IF(A55&lt;'Données projet'!$A$114,$BV$205^A55,IF(A55='Données projet'!$A$114,'Données projet'!$B$114,BY54+BX55-CG54)))</f>
        <v>479.59999999999974</v>
      </c>
      <c r="BZ55" s="13">
        <f>BY55*VLOOKUP('Données projet'!$B$12,Paramètres!$A$1:$I$89,3,0)*VLOOKUP('Données projet'!$B$12,Paramètres!$A$1:$I$89,5,0)</f>
        <v>268.09639999999985</v>
      </c>
      <c r="CA55" s="13">
        <f t="shared" si="39"/>
        <v>64.445111116989281</v>
      </c>
      <c r="CB55" s="20">
        <f t="shared" si="10"/>
        <v>579.17646519542279</v>
      </c>
      <c r="CC55" s="59">
        <f t="shared" si="11"/>
        <v>864.39222667741114</v>
      </c>
      <c r="CD55" s="59">
        <f ca="1">AVERAGE(OFFSET($CC$3,0,0,'Données projet'!$E$12+1,1))-AVERAGE(OFFSET($H$3,0,0,'Données projet'!$E$12+1,1))</f>
        <v>462.09240749760784</v>
      </c>
      <c r="CE55" s="59">
        <f t="shared" si="40"/>
        <v>403.52202223463337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73.53345323306128</v>
      </c>
      <c r="CL55" s="21">
        <f>EXP(-LN(2)/25)*CL54+(1-EXP(-LN(2)/25))/(LN(2)/25)*Calculateur!CG55*Calculateur!CI55*VLOOKUP('Données projet'!$B$12,Paramètres!$A$1:$I$89,3,0)*0.475*44/12</f>
        <v>28.332565455666025</v>
      </c>
      <c r="CM55" s="21">
        <f>EXP(-LN(2)/2)*CM54+(1-EXP(-LN(2)/2))/(LN(2)/2)*CG55*CJ55*VLOOKUP('Données projet'!$B$12,Paramètres!$A$1:$I$89,3,0)*0.475*44/12</f>
        <v>3.9606968979386439</v>
      </c>
      <c r="CN55" s="22">
        <f t="shared" si="12"/>
        <v>105.82671558666596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</v>
      </c>
      <c r="CT55" s="12">
        <f>IF('Données projet'!$A$140&gt;35,CT54+CS55-DB54,IF(A55&lt;'Données projet'!$A$140,$CQ$205^A55,IF(A55='Données projet'!$A$140,'Données projet'!$B$140,CT54+CS55-DB54)))</f>
        <v>366</v>
      </c>
      <c r="CU55" s="17">
        <f>CT55*VLOOKUP('Données projet'!$B$13,Paramètres!$A$1:$I$89,3,0)*VLOOKUP('Données projet'!$B$13,Paramètres!$A$1:$I$89,5,0)</f>
        <v>171.28799999999998</v>
      </c>
      <c r="CV55" s="13">
        <f t="shared" si="41"/>
        <v>43.37836589572138</v>
      </c>
      <c r="CW55" s="20">
        <f t="shared" si="13"/>
        <v>373.87725393504803</v>
      </c>
      <c r="CX55" s="59">
        <f t="shared" si="14"/>
        <v>659.09301541703644</v>
      </c>
      <c r="CY55" s="59">
        <f ca="1">AVERAGE(OFFSET($CX$3,0,0,'Données projet'!$E$13+1,1))-AVERAGE(OFFSET($H$3,0,0,'Données projet'!$E$13+1,1))</f>
        <v>319.88925869887464</v>
      </c>
      <c r="CZ55" s="59">
        <f t="shared" si="42"/>
        <v>258.2857172412098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12.811033121866368</v>
      </c>
      <c r="DG55" s="21">
        <f>EXP(-LN(2)/25)*DG54+(1-EXP(-LN(2)/25))/(LN(2)/25)*Calculateur!DB55*Calculateur!DD55*VLOOKUP('Données projet'!$B$13,Paramètres!$A$1:$I$89,3,0)*0.475*44/12</f>
        <v>17.520603829456856</v>
      </c>
      <c r="DH55" s="21">
        <f>EXP(-LN(2)/2)*DH54+(1-EXP(-LN(2)/2))/(LN(2)/2)*DB55*DE55*VLOOKUP('Données projet'!$B$13,Paramètres!$A$1:$I$89,3,0)*0.475*44/12</f>
        <v>3.5772522300668905</v>
      </c>
      <c r="DI55" s="22">
        <f t="shared" si="15"/>
        <v>33.908889181390116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17.995000000000005</v>
      </c>
      <c r="DO55" s="12">
        <f>IF('Données projet'!$A$166&gt;35,DO54+DN55-DW54,IF(A55&lt;'Données projet'!$A$166,$DL$205^A55,IF(A55='Données projet'!$A$166,'Données projet'!$B$166,DO54+DN55-DW54)))</f>
        <v>479.72000000000014</v>
      </c>
      <c r="DP55" s="17">
        <f>DO55*VLOOKUP('Données projet'!$B$14,Paramètres!$A$1:$I$89,3,0)*VLOOKUP('Données projet'!$B$14,Paramètres!$A$1:$I$89,5,0)</f>
        <v>286.87256000000014</v>
      </c>
      <c r="DQ55" s="13">
        <f t="shared" si="43"/>
        <v>68.41732235454451</v>
      </c>
      <c r="DR55" s="20">
        <f t="shared" si="16"/>
        <v>618.79654510083196</v>
      </c>
      <c r="DS55" s="59">
        <f t="shared" si="17"/>
        <v>904.01230658282032</v>
      </c>
      <c r="DT55" s="59">
        <f ca="1">AVERAGE(OFFSET($DS$3,0,0,'Données projet'!$E$14+1,1))-AVERAGE(OFFSET($H$3,0,0,'Données projet'!$E$14+1,1))</f>
        <v>443.64905827069435</v>
      </c>
      <c r="DU55" s="59">
        <f t="shared" si="44"/>
        <v>381.14782516862385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22.440123573168112</v>
      </c>
      <c r="EB55" s="21">
        <f>EXP(-LN(2)/25)*EB54+(1-EXP(-LN(2)/25))/(LN(2)/25)*Calculateur!DW55*Calculateur!DY55*VLOOKUP('Données projet'!$B$14,Paramètres!$A$1:$I$89,3,0)*0.475*44/12</f>
        <v>22.698607765054184</v>
      </c>
      <c r="EC55" s="21">
        <f>EXP(-LN(2)/2)*EC54+(1-EXP(-LN(2)/2))/(LN(2)/2)*DW55*DZ55*VLOOKUP('Données projet'!$B$14,Paramètres!$A$1:$I$89,3,0)*0.475*44/12</f>
        <v>2.107815738634188</v>
      </c>
      <c r="ED55" s="22">
        <f t="shared" si="18"/>
        <v>47.246547076856487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6.8</v>
      </c>
      <c r="EJ55" s="12">
        <f>IF('Données projet'!$A$192&gt;35,EJ54+EI55-ER54,IF(A55&lt;'Données projet'!$A$192,$EG$205^A55,IF(A55='Données projet'!$A$192,'Données projet'!$B$192,EJ54+EI55-ER54)))</f>
        <v>381.59999999999962</v>
      </c>
      <c r="EK55" s="17">
        <f>EJ55*VLOOKUP('Données projet'!$B$15,Paramètres!$A$1:$I$89,3,0)*VLOOKUP('Données projet'!$B$15,Paramètres!$A$1:$I$89,5,0)</f>
        <v>345.27167999999966</v>
      </c>
      <c r="EL55" s="13">
        <f t="shared" si="45"/>
        <v>80.588131664813488</v>
      </c>
      <c r="EM55" s="20">
        <f t="shared" si="19"/>
        <v>741.70583864954949</v>
      </c>
      <c r="EN55" s="59">
        <f t="shared" si="20"/>
        <v>1026.9216001315378</v>
      </c>
      <c r="EO55" s="59">
        <f ca="1">AVERAGE(OFFSET($EN$3,0,0,'Données projet'!$E$15+1,1))-AVERAGE(OFFSET($H$3,0,0,'Données projet'!$E$15+1,1))</f>
        <v>504.37890861635196</v>
      </c>
      <c r="EP55" s="59">
        <f t="shared" si="46"/>
        <v>611.82129317522913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6.6710740845507104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6.6710740845507104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118.19999999999995</v>
      </c>
      <c r="FF55" s="17">
        <f>FE55*VLOOKUP('Données projet'!$B$16,Paramètres!$A$1:$I$89,3,0)*VLOOKUP('Données projet'!$B$16,Paramètres!$A$1:$I$89,5,0)</f>
        <v>127.23047999999993</v>
      </c>
      <c r="FG55" s="13">
        <f t="shared" si="47"/>
        <v>33.355604737684331</v>
      </c>
      <c r="FH55" s="20">
        <f t="shared" si="22"/>
        <v>279.68743091813337</v>
      </c>
      <c r="FI55" s="59">
        <f t="shared" si="23"/>
        <v>564.90319240012172</v>
      </c>
      <c r="FJ55" s="59">
        <f ca="1">AVERAGE(OFFSET($FI$3,0,0,'Données projet'!$E$16+1,1))-AVERAGE(OFFSET($H$3,0,0,'Données projet'!$E$16+1,1))</f>
        <v>334.01098870576732</v>
      </c>
      <c r="FK55" s="59">
        <f t="shared" si="48"/>
        <v>171.1802153303471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3.7538838132939918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3.7538838132939918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</v>
      </c>
      <c r="FZ55" s="12">
        <f>IF('Données projet'!$A$244&gt;35,FZ54+FY55-GH54,IF(A55&lt;'Données projet'!$A$244,$FW$205^A55,IF(A55='Données projet'!$A$244,'Données projet'!$B$244,FZ54+FY55-GH54)))</f>
        <v>213.99999999999989</v>
      </c>
      <c r="GA55" s="17">
        <f>FZ55*VLOOKUP('Données projet'!$B$17,Paramètres!$A$1:$I$89,3,0)*VLOOKUP('Données projet'!$B$17,Paramètres!$A$1:$I$89,5,0)</f>
        <v>186.95039999999992</v>
      </c>
      <c r="GB55" s="13">
        <f t="shared" si="49"/>
        <v>46.86509597661761</v>
      </c>
      <c r="GC55" s="20">
        <f t="shared" si="25"/>
        <v>407.22865549260882</v>
      </c>
      <c r="GD55" s="59">
        <f t="shared" si="26"/>
        <v>692.44441697459717</v>
      </c>
      <c r="GE55" s="59">
        <f ca="1">AVERAGE(OFFSET($GD$3,0,0,'Données projet'!$E$17+1,1))-AVERAGE(OFFSET($H$3,0,0,'Données projet'!$E$17+1,1))</f>
        <v>330.12856974146598</v>
      </c>
      <c r="GF55" s="59">
        <f t="shared" si="50"/>
        <v>321.23368446552286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13.577189892647489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13.577189892647489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67.786116767815003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</v>
      </c>
      <c r="GU55" s="12">
        <f>IF('Données projet'!$A$270&gt;35,GU54+GT55-HC54,IF(A55&lt;'Données projet'!$A$270,$GR$205^A55,IF(A55='Données projet'!$A$270,'Données projet'!$B$270,GU54+GT55-HC54)))</f>
        <v>173</v>
      </c>
      <c r="GV55" s="17">
        <f>GU55*VLOOKUP('Données projet'!$B$18,Paramètres!$A$1:$I$89,3,0)*VLOOKUP('Données projet'!$B$18,Paramètres!$A$1:$I$89,5,0)</f>
        <v>116.0484</v>
      </c>
      <c r="GW55" s="13">
        <f t="shared" si="51"/>
        <v>30.751565097980826</v>
      </c>
      <c r="GX55" s="20">
        <f t="shared" si="28"/>
        <v>255.67660587898322</v>
      </c>
      <c r="GY55" s="59">
        <f t="shared" si="29"/>
        <v>540.89236736097155</v>
      </c>
      <c r="GZ55" s="59">
        <f ca="1">AVERAGE(OFFSET($GY$3,0,0,'Données projet'!$E$18+1,1))-AVERAGE(OFFSET($H$3,0,0,'Données projet'!$E$18+1,1))</f>
        <v>296.67751292332753</v>
      </c>
      <c r="HA55" s="59">
        <f t="shared" si="52"/>
        <v>197.99510031603018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5.1184199886158774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5.1184199886158774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1.1000000000000001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4.0333333333333341</v>
      </c>
      <c r="H56" s="67">
        <f t="shared" si="1"/>
        <v>240.5333333333333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233.59999999999997</v>
      </c>
      <c r="O56" s="13">
        <f>N56*VLOOKUP('Données projet'!$B$9,Paramètres!$A$1:$I$89,3,0)*VLOOKUP('Données projet'!$B$9,Paramètres!$A$1:$I$89,5,0)</f>
        <v>211.36127999999997</v>
      </c>
      <c r="P56" s="13">
        <f t="shared" si="33"/>
        <v>52.232947669705631</v>
      </c>
      <c r="Q56" s="20">
        <f t="shared" si="53"/>
        <v>459.09327985807062</v>
      </c>
      <c r="R56" s="59">
        <f t="shared" si="0"/>
        <v>744.44986306350791</v>
      </c>
      <c r="S56" s="59">
        <f ca="1">AVERAGE(OFFSET($R$3,0,0,'Données projet'!$E$9+1,1))-AVERAGE(OFFSET($H$3,0,0,'Données projet'!$E$9+1,1))</f>
        <v>461.20962581398715</v>
      </c>
      <c r="T56" s="59">
        <f t="shared" si="34"/>
        <v>348.44322874953923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233.59999999999997</v>
      </c>
      <c r="AJ56" s="13">
        <f>AI56*VLOOKUP('Données projet'!$B$10,Paramètres!$A$1:$I$89,3,0)*VLOOKUP('Données projet'!$B$10,Paramètres!$A$1:$I$89,5,0)</f>
        <v>236.87039999999996</v>
      </c>
      <c r="AK56" s="13">
        <f t="shared" si="35"/>
        <v>57.765668276484661</v>
      </c>
      <c r="AL56" s="20">
        <f t="shared" si="4"/>
        <v>513.15781891487734</v>
      </c>
      <c r="AM56" s="59">
        <f t="shared" si="5"/>
        <v>798.51440212031457</v>
      </c>
      <c r="AN56" s="59">
        <f ca="1">AVERAGE(OFFSET($AM$3,0,0,'Données projet'!$E$10+1,1))-AVERAGE(OFFSET($H$3,0,0,'Données projet'!$E$10+1,1))</f>
        <v>510.86584023875525</v>
      </c>
      <c r="AO56" s="59">
        <f t="shared" si="36"/>
        <v>384.62921487244125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8.2056178150152999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8.2056178150152999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</v>
      </c>
      <c r="BD56" s="12">
        <f>IF('Données projet'!$A$88&gt;35,BD55+BC56-BL55,IF(A56&lt;'Données projet'!$A$88,$BA$205^A56,IF(A56='Données projet'!$A$88,'Données projet'!$B$88,BD55+BC56-BL55)))</f>
        <v>222.00000000000003</v>
      </c>
      <c r="BE56" s="13">
        <f>BD56*VLOOKUP('Données projet'!$B$11,Paramètres!$A$1:$I$89,3,0)*VLOOKUP('Données projet'!$B$11,Paramètres!$A$1:$I$89,5,0)</f>
        <v>162.77040000000002</v>
      </c>
      <c r="BF56" s="13">
        <f t="shared" si="37"/>
        <v>41.466761176934256</v>
      </c>
      <c r="BG56" s="20">
        <f t="shared" si="7"/>
        <v>355.7130557164939</v>
      </c>
      <c r="BH56" s="59">
        <f t="shared" si="8"/>
        <v>641.06963892193119</v>
      </c>
      <c r="BI56" s="59">
        <f ca="1">AVERAGE(OFFSET($BH$3,0,0,'Données projet'!$E$11+1,1))-AVERAGE(OFFSET($H$3,0,0,'Données projet'!$E$11+1,1))</f>
        <v>201.7253431547006</v>
      </c>
      <c r="BJ56" s="59">
        <f t="shared" si="38"/>
        <v>229.70004720044096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8.1326889587907445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8.1326889587907445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18.8</v>
      </c>
      <c r="BY56" s="12">
        <f>IF('Données projet'!$A$114&gt;35,BY55+BX56-CG55,IF(A56&lt;'Données projet'!$A$114,$BV$205^A56,IF(A56='Données projet'!$A$114,'Données projet'!$B$114,BY55+BX56-CG55)))</f>
        <v>498.39999999999975</v>
      </c>
      <c r="BZ56" s="13">
        <f>BY56*VLOOKUP('Données projet'!$B$12,Paramètres!$A$1:$I$89,3,0)*VLOOKUP('Données projet'!$B$12,Paramètres!$A$1:$I$89,5,0)</f>
        <v>278.60559999999987</v>
      </c>
      <c r="CA56" s="13">
        <f t="shared" si="39"/>
        <v>66.672246510207529</v>
      </c>
      <c r="CB56" s="20">
        <f t="shared" si="10"/>
        <v>601.35891600527782</v>
      </c>
      <c r="CC56" s="59">
        <f t="shared" si="11"/>
        <v>886.71549921071505</v>
      </c>
      <c r="CD56" s="59">
        <f ca="1">AVERAGE(OFFSET($CC$3,0,0,'Données projet'!$E$12+1,1))-AVERAGE(OFFSET($H$3,0,0,'Données projet'!$E$12+1,1))</f>
        <v>462.09240749760784</v>
      </c>
      <c r="CE56" s="59">
        <f t="shared" si="40"/>
        <v>403.52202223463337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72.09150706613876</v>
      </c>
      <c r="CL56" s="21">
        <f>EXP(-LN(2)/25)*CL55+(1-EXP(-LN(2)/25))/(LN(2)/25)*Calculateur!CG56*Calculateur!CI56*VLOOKUP('Données projet'!$B$12,Paramètres!$A$1:$I$89,3,0)*0.475*44/12</f>
        <v>27.557809963335973</v>
      </c>
      <c r="CM56" s="21">
        <f>EXP(-LN(2)/2)*CM55+(1-EXP(-LN(2)/2))/(LN(2)/2)*CG56*CJ56*VLOOKUP('Données projet'!$B$12,Paramètres!$A$1:$I$89,3,0)*0.475*44/12</f>
        <v>2.8006356347569383</v>
      </c>
      <c r="CN56" s="22">
        <f t="shared" si="12"/>
        <v>102.44995266423167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</v>
      </c>
      <c r="CT56" s="12">
        <f>IF('Données projet'!$A$140&gt;35,CT55+CS56-DB55,IF(A56&lt;'Données projet'!$A$140,$CQ$205^A56,IF(A56='Données projet'!$A$140,'Données projet'!$B$140,CT55+CS56-DB55)))</f>
        <v>379</v>
      </c>
      <c r="CU56" s="17">
        <f>CT56*VLOOKUP('Données projet'!$B$13,Paramètres!$A$1:$I$89,3,0)*VLOOKUP('Données projet'!$B$13,Paramètres!$A$1:$I$89,5,0)</f>
        <v>177.37200000000001</v>
      </c>
      <c r="CV56" s="13">
        <f t="shared" si="41"/>
        <v>44.737005048641883</v>
      </c>
      <c r="CW56" s="20">
        <f t="shared" si="13"/>
        <v>386.83985045971798</v>
      </c>
      <c r="CX56" s="59">
        <f t="shared" si="14"/>
        <v>672.19643366515527</v>
      </c>
      <c r="CY56" s="59">
        <f ca="1">AVERAGE(OFFSET($CX$3,0,0,'Données projet'!$E$13+1,1))-AVERAGE(OFFSET($H$3,0,0,'Données projet'!$E$13+1,1))</f>
        <v>319.88925869887464</v>
      </c>
      <c r="CZ56" s="59">
        <f t="shared" si="42"/>
        <v>258.2857172412098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12.559816576305208</v>
      </c>
      <c r="DG56" s="21">
        <f>EXP(-LN(2)/25)*DG55+(1-EXP(-LN(2)/25))/(LN(2)/25)*Calculateur!DB56*Calculateur!DD56*VLOOKUP('Données projet'!$B$13,Paramètres!$A$1:$I$89,3,0)*0.475*44/12</f>
        <v>17.041501996371846</v>
      </c>
      <c r="DH56" s="21">
        <f>EXP(-LN(2)/2)*DH55+(1-EXP(-LN(2)/2))/(LN(2)/2)*DB56*DE56*VLOOKUP('Données projet'!$B$13,Paramètres!$A$1:$I$89,3,0)*0.475*44/12</f>
        <v>2.529499309894998</v>
      </c>
      <c r="DI56" s="22">
        <f t="shared" si="15"/>
        <v>32.130817882572046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17.995000000000005</v>
      </c>
      <c r="DO56" s="12">
        <f>IF('Données projet'!$A$166&gt;35,DO55+DN56-DW55,IF(A56&lt;'Données projet'!$A$166,$DL$205^A56,IF(A56='Données projet'!$A$166,'Données projet'!$B$166,DO55+DN56-DW55)))</f>
        <v>497.71500000000015</v>
      </c>
      <c r="DP56" s="17">
        <f>DO56*VLOOKUP('Données projet'!$B$14,Paramètres!$A$1:$I$89,3,0)*VLOOKUP('Données projet'!$B$14,Paramètres!$A$1:$I$89,5,0)</f>
        <v>297.63357000000008</v>
      </c>
      <c r="DQ56" s="13">
        <f t="shared" si="43"/>
        <v>70.680140429959067</v>
      </c>
      <c r="DR56" s="20">
        <f t="shared" si="16"/>
        <v>641.47971233217879</v>
      </c>
      <c r="DS56" s="59">
        <f t="shared" si="17"/>
        <v>926.83629553761602</v>
      </c>
      <c r="DT56" s="59">
        <f ca="1">AVERAGE(OFFSET($DS$3,0,0,'Données projet'!$E$14+1,1))-AVERAGE(OFFSET($H$3,0,0,'Données projet'!$E$14+1,1))</f>
        <v>443.64905827069435</v>
      </c>
      <c r="DU56" s="59">
        <f t="shared" si="44"/>
        <v>381.14782516862385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22.000086437022173</v>
      </c>
      <c r="EB56" s="21">
        <f>EXP(-LN(2)/25)*EB55+(1-EXP(-LN(2)/25))/(LN(2)/25)*Calculateur!DW56*Calculateur!DY56*VLOOKUP('Données projet'!$B$14,Paramètres!$A$1:$I$89,3,0)*0.475*44/12</f>
        <v>22.077913142050875</v>
      </c>
      <c r="EC56" s="21">
        <f>EXP(-LN(2)/2)*EC55+(1-EXP(-LN(2)/2))/(LN(2)/2)*DW56*DZ56*VLOOKUP('Données projet'!$B$14,Paramètres!$A$1:$I$89,3,0)*0.475*44/12</f>
        <v>1.4904508022799658</v>
      </c>
      <c r="ED56" s="22">
        <f t="shared" si="18"/>
        <v>45.568450381353017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6.8</v>
      </c>
      <c r="EJ56" s="12">
        <f>IF('Données projet'!$A$192&gt;35,EJ55+EI56-ER55,IF(A56&lt;'Données projet'!$A$192,$EG$205^A56,IF(A56='Données projet'!$A$192,'Données projet'!$B$192,EJ55+EI56-ER55)))</f>
        <v>388.39999999999964</v>
      </c>
      <c r="EK56" s="17">
        <f>EJ56*VLOOKUP('Données projet'!$B$15,Paramètres!$A$1:$I$89,3,0)*VLOOKUP('Données projet'!$B$15,Paramètres!$A$1:$I$89,5,0)</f>
        <v>351.42431999999962</v>
      </c>
      <c r="EL56" s="13">
        <f t="shared" si="45"/>
        <v>81.855724161148814</v>
      </c>
      <c r="EM56" s="20">
        <f t="shared" si="19"/>
        <v>754.62941024733345</v>
      </c>
      <c r="EN56" s="59">
        <f t="shared" si="20"/>
        <v>1039.9859934527708</v>
      </c>
      <c r="EO56" s="59">
        <f ca="1">AVERAGE(OFFSET($EN$3,0,0,'Données projet'!$E$15+1,1))-AVERAGE(OFFSET($H$3,0,0,'Données projet'!$E$15+1,1))</f>
        <v>504.37890861635196</v>
      </c>
      <c r="EP56" s="59">
        <f t="shared" si="46"/>
        <v>611.82129317522913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6.5402583907060867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6.5402583907060867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123.79999999999994</v>
      </c>
      <c r="FF56" s="17">
        <f>FE56*VLOOKUP('Données projet'!$B$16,Paramètres!$A$1:$I$89,3,0)*VLOOKUP('Données projet'!$B$16,Paramètres!$A$1:$I$89,5,0)</f>
        <v>133.25831999999994</v>
      </c>
      <c r="FG56" s="13">
        <f t="shared" si="47"/>
        <v>34.748173250809565</v>
      </c>
      <c r="FH56" s="20">
        <f t="shared" si="22"/>
        <v>292.61130907849321</v>
      </c>
      <c r="FI56" s="59">
        <f t="shared" si="23"/>
        <v>577.9678922839305</v>
      </c>
      <c r="FJ56" s="59">
        <f ca="1">AVERAGE(OFFSET($FI$3,0,0,'Données projet'!$E$16+1,1))-AVERAGE(OFFSET($H$3,0,0,'Données projet'!$E$16+1,1))</f>
        <v>334.01098870576732</v>
      </c>
      <c r="FK56" s="59">
        <f t="shared" si="48"/>
        <v>171.1802153303471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3.6802724413583392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3.6802724413583392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</v>
      </c>
      <c r="FZ56" s="12">
        <f>IF('Données projet'!$A$244&gt;35,FZ55+FY56-GH55,IF(A56&lt;'Données projet'!$A$244,$FW$205^A56,IF(A56='Données projet'!$A$244,'Données projet'!$B$244,FZ55+FY56-GH55)))</f>
        <v>219.99999999999989</v>
      </c>
      <c r="GA56" s="17">
        <f>FZ56*VLOOKUP('Données projet'!$B$17,Paramètres!$A$1:$I$89,3,0)*VLOOKUP('Données projet'!$B$17,Paramètres!$A$1:$I$89,5,0)</f>
        <v>192.19199999999992</v>
      </c>
      <c r="GB56" s="13">
        <f t="shared" si="49"/>
        <v>48.02424892193244</v>
      </c>
      <c r="GC56" s="20">
        <f t="shared" si="25"/>
        <v>418.37663353903218</v>
      </c>
      <c r="GD56" s="59">
        <f t="shared" si="26"/>
        <v>703.73321674446947</v>
      </c>
      <c r="GE56" s="59">
        <f ca="1">AVERAGE(OFFSET($GD$3,0,0,'Données projet'!$E$17+1,1))-AVERAGE(OFFSET($H$3,0,0,'Données projet'!$E$17+1,1))</f>
        <v>330.12856974146598</v>
      </c>
      <c r="GF56" s="59">
        <f t="shared" si="50"/>
        <v>321.23368446552286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13.310949480120799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13.310949480120799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67.824522692391994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</v>
      </c>
      <c r="GU56" s="12">
        <f>IF('Données projet'!$A$270&gt;35,GU55+GT56-HC55,IF(A56&lt;'Données projet'!$A$270,$GR$205^A56,IF(A56='Données projet'!$A$270,'Données projet'!$B$270,GU55+GT56-HC55)))</f>
        <v>181</v>
      </c>
      <c r="GV56" s="17">
        <f>GU56*VLOOKUP('Données projet'!$B$18,Paramètres!$A$1:$I$89,3,0)*VLOOKUP('Données projet'!$B$18,Paramètres!$A$1:$I$89,5,0)</f>
        <v>121.4148</v>
      </c>
      <c r="GW56" s="13">
        <f t="shared" si="51"/>
        <v>32.004752723504502</v>
      </c>
      <c r="GX56" s="20">
        <f t="shared" si="28"/>
        <v>267.20572099343701</v>
      </c>
      <c r="GY56" s="59">
        <f t="shared" si="29"/>
        <v>552.56230419887424</v>
      </c>
      <c r="GZ56" s="59">
        <f ca="1">AVERAGE(OFFSET($GY$3,0,0,'Données projet'!$E$18+1,1))-AVERAGE(OFFSET($H$3,0,0,'Données projet'!$E$18+1,1))</f>
        <v>296.67751292332753</v>
      </c>
      <c r="HA56" s="59">
        <f t="shared" si="52"/>
        <v>197.99510031603018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5.0180508945670486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5.0180508945670486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1.1000000000000001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4.0333333333333341</v>
      </c>
      <c r="H57" s="67">
        <f t="shared" si="1"/>
        <v>240.5333333333333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243.79999999999995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9">
        <f t="shared" si="0"/>
        <v>764.16311877457588</v>
      </c>
      <c r="S57" s="59">
        <f ca="1">AVERAGE(OFFSET($R$3,0,0,'Données projet'!$E$9+1,1))-AVERAGE(OFFSET($H$3,0,0,'Données projet'!$E$9+1,1))</f>
        <v>461.20962581398715</v>
      </c>
      <c r="T57" s="59">
        <f t="shared" si="34"/>
        <v>348.44322874953923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243.79999999999995</v>
      </c>
      <c r="AJ57" s="13">
        <f>AI57*VLOOKUP('Données projet'!$B$10,Paramètres!$A$1:$I$89,3,0)*VLOOKUP('Données projet'!$B$10,Paramètres!$A$1:$I$89,5,0)</f>
        <v>247.21319999999997</v>
      </c>
      <c r="AK57" s="13">
        <f t="shared" si="35"/>
        <v>59.988800807398761</v>
      </c>
      <c r="AL57" s="20">
        <f t="shared" si="4"/>
        <v>535.04348473955281</v>
      </c>
      <c r="AM57" s="59">
        <f t="shared" si="5"/>
        <v>820.53844672636751</v>
      </c>
      <c r="AN57" s="59">
        <f ca="1">AVERAGE(OFFSET($AM$3,0,0,'Données projet'!$E$10+1,1))-AVERAGE(OFFSET($H$3,0,0,'Données projet'!$E$10+1,1))</f>
        <v>510.86584023875525</v>
      </c>
      <c r="AO57" s="59">
        <f t="shared" si="36"/>
        <v>384.62921487244125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8.0447106545955211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8.0447106545955211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</v>
      </c>
      <c r="BD57" s="12">
        <f>IF('Données projet'!$A$88&gt;35,BD56+BC57-BL56,IF(A57&lt;'Données projet'!$A$88,$BA$205^A57,IF(A57='Données projet'!$A$88,'Données projet'!$B$88,BD56+BC57-BL56)))</f>
        <v>233.00000000000003</v>
      </c>
      <c r="BE57" s="13">
        <f>BD57*VLOOKUP('Données projet'!$B$11,Paramètres!$A$1:$I$89,3,0)*VLOOKUP('Données projet'!$B$11,Paramètres!$A$1:$I$89,5,0)</f>
        <v>170.83560000000003</v>
      </c>
      <c r="BF57" s="13">
        <f t="shared" si="37"/>
        <v>43.277116749159681</v>
      </c>
      <c r="BG57" s="20">
        <f t="shared" si="7"/>
        <v>372.91298167145311</v>
      </c>
      <c r="BH57" s="59">
        <f t="shared" si="8"/>
        <v>658.40794365826775</v>
      </c>
      <c r="BI57" s="59">
        <f ca="1">AVERAGE(OFFSET($BH$3,0,0,'Données projet'!$E$11+1,1))-AVERAGE(OFFSET($H$3,0,0,'Données projet'!$E$11+1,1))</f>
        <v>201.7253431547006</v>
      </c>
      <c r="BJ57" s="59">
        <f t="shared" si="38"/>
        <v>229.70004720044096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7.9732118887593186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7.9732118887593186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18.8</v>
      </c>
      <c r="BY57" s="12">
        <f>IF('Données projet'!$A$114&gt;35,BY56+BX57-CG56,IF(A57&lt;'Données projet'!$A$114,$BV$205^A57,IF(A57='Données projet'!$A$114,'Données projet'!$B$114,BY56+BX57-CG56)))</f>
        <v>517.1999999999997</v>
      </c>
      <c r="BZ57" s="13">
        <f>BY57*VLOOKUP('Données projet'!$B$12,Paramètres!$A$1:$I$89,3,0)*VLOOKUP('Données projet'!$B$12,Paramètres!$A$1:$I$89,5,0)</f>
        <v>289.11479999999983</v>
      </c>
      <c r="CA57" s="13">
        <f t="shared" si="39"/>
        <v>68.889622233416091</v>
      </c>
      <c r="CB57" s="20">
        <f t="shared" si="10"/>
        <v>623.52436872319936</v>
      </c>
      <c r="CC57" s="59">
        <f t="shared" si="11"/>
        <v>909.01933071001395</v>
      </c>
      <c r="CD57" s="59">
        <f ca="1">AVERAGE(OFFSET($CC$3,0,0,'Données projet'!$E$12+1,1))-AVERAGE(OFFSET($H$3,0,0,'Données projet'!$E$12+1,1))</f>
        <v>462.09240749760784</v>
      </c>
      <c r="CE57" s="59">
        <f t="shared" si="40"/>
        <v>403.52202223463337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70.67783658404926</v>
      </c>
      <c r="CL57" s="21">
        <f>EXP(-LN(2)/25)*CL56+(1-EXP(-LN(2)/25))/(LN(2)/25)*Calculateur!CG57*Calculateur!CI57*VLOOKUP('Données projet'!$B$12,Paramètres!$A$1:$I$89,3,0)*0.475*44/12</f>
        <v>26.804240200686309</v>
      </c>
      <c r="CM57" s="21">
        <f>EXP(-LN(2)/2)*CM56+(1-EXP(-LN(2)/2))/(LN(2)/2)*CG57*CJ57*VLOOKUP('Données projet'!$B$12,Paramètres!$A$1:$I$89,3,0)*0.475*44/12</f>
        <v>1.9803484489693222</v>
      </c>
      <c r="CN57" s="22">
        <f t="shared" si="12"/>
        <v>99.462425233704892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</v>
      </c>
      <c r="CT57" s="12">
        <f>IF('Données projet'!$A$140&gt;35,CT56+CS57-DB56,IF(A57&lt;'Données projet'!$A$140,$CQ$205^A57,IF(A57='Données projet'!$A$140,'Données projet'!$B$140,CT56+CS57-DB56)))</f>
        <v>392</v>
      </c>
      <c r="CU57" s="17">
        <f>CT57*VLOOKUP('Données projet'!$B$13,Paramètres!$A$1:$I$89,3,0)*VLOOKUP('Données projet'!$B$13,Paramètres!$A$1:$I$89,5,0)</f>
        <v>183.45600000000002</v>
      </c>
      <c r="CV57" s="13">
        <f t="shared" si="41"/>
        <v>46.090229375321144</v>
      </c>
      <c r="CW57" s="20">
        <f t="shared" si="13"/>
        <v>399.79301616201769</v>
      </c>
      <c r="CX57" s="59">
        <f t="shared" si="14"/>
        <v>685.28797814883228</v>
      </c>
      <c r="CY57" s="59">
        <f ca="1">AVERAGE(OFFSET($CX$3,0,0,'Données projet'!$E$13+1,1))-AVERAGE(OFFSET($H$3,0,0,'Données projet'!$E$13+1,1))</f>
        <v>319.88925869887464</v>
      </c>
      <c r="CZ57" s="59">
        <f t="shared" si="42"/>
        <v>258.2857172412098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12.313526233975539</v>
      </c>
      <c r="DG57" s="21">
        <f>EXP(-LN(2)/25)*DG56+(1-EXP(-LN(2)/25))/(LN(2)/25)*Calculateur!DB57*Calculateur!DD57*VLOOKUP('Données projet'!$B$13,Paramètres!$A$1:$I$89,3,0)*0.475*44/12</f>
        <v>16.575501228107417</v>
      </c>
      <c r="DH57" s="21">
        <f>EXP(-LN(2)/2)*DH56+(1-EXP(-LN(2)/2))/(LN(2)/2)*DB57*DE57*VLOOKUP('Données projet'!$B$13,Paramètres!$A$1:$I$89,3,0)*0.475*44/12</f>
        <v>1.7886261150334455</v>
      </c>
      <c r="DI57" s="22">
        <f t="shared" si="15"/>
        <v>30.677653577116402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17.995000000000005</v>
      </c>
      <c r="DO57" s="12">
        <f>IF('Données projet'!$A$166&gt;35,DO56+DN57-DW56,IF(A57&lt;'Données projet'!$A$166,$DL$205^A57,IF(A57='Données projet'!$A$166,'Données projet'!$B$166,DO56+DN57-DW56)))</f>
        <v>515.71000000000015</v>
      </c>
      <c r="DP57" s="17">
        <f>DO57*VLOOKUP('Données projet'!$B$14,Paramètres!$A$1:$I$89,3,0)*VLOOKUP('Données projet'!$B$14,Paramètres!$A$1:$I$89,5,0)</f>
        <v>308.39458000000013</v>
      </c>
      <c r="DQ57" s="13">
        <f t="shared" si="43"/>
        <v>72.933453329394183</v>
      </c>
      <c r="DR57" s="20">
        <f t="shared" si="16"/>
        <v>664.14632471536174</v>
      </c>
      <c r="DS57" s="59">
        <f t="shared" si="17"/>
        <v>949.64128670217633</v>
      </c>
      <c r="DT57" s="59">
        <f ca="1">AVERAGE(OFFSET($DS$3,0,0,'Données projet'!$E$14+1,1))-AVERAGE(OFFSET($H$3,0,0,'Données projet'!$E$14+1,1))</f>
        <v>443.64905827069435</v>
      </c>
      <c r="DU57" s="59">
        <f t="shared" si="44"/>
        <v>381.14782516862385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21.568678160719905</v>
      </c>
      <c r="EB57" s="21">
        <f>EXP(-LN(2)/25)*EB56+(1-EXP(-LN(2)/25))/(LN(2)/25)*Calculateur!DW57*Calculateur!DY57*VLOOKUP('Données projet'!$B$14,Paramètres!$A$1:$I$89,3,0)*0.475*44/12</f>
        <v>21.474191446154503</v>
      </c>
      <c r="EC57" s="21">
        <f>EXP(-LN(2)/2)*EC56+(1-EXP(-LN(2)/2))/(LN(2)/2)*DW57*DZ57*VLOOKUP('Données projet'!$B$14,Paramètres!$A$1:$I$89,3,0)*0.475*44/12</f>
        <v>1.053907869317094</v>
      </c>
      <c r="ED57" s="22">
        <f t="shared" si="18"/>
        <v>44.096777476191498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6.8</v>
      </c>
      <c r="EJ57" s="12">
        <f>IF('Données projet'!$A$192&gt;35,EJ56+EI57-ER56,IF(A57&lt;'Données projet'!$A$192,$EG$205^A57,IF(A57='Données projet'!$A$192,'Données projet'!$B$192,EJ56+EI57-ER56)))</f>
        <v>395.19999999999965</v>
      </c>
      <c r="EK57" s="17">
        <f>EJ57*VLOOKUP('Données projet'!$B$15,Paramètres!$A$1:$I$89,3,0)*VLOOKUP('Données projet'!$B$15,Paramètres!$A$1:$I$89,5,0)</f>
        <v>357.57695999999964</v>
      </c>
      <c r="EL57" s="13">
        <f t="shared" si="45"/>
        <v>83.120735922917547</v>
      </c>
      <c r="EM57" s="20">
        <f t="shared" si="19"/>
        <v>767.54848706574739</v>
      </c>
      <c r="EN57" s="59">
        <f t="shared" si="20"/>
        <v>1053.043449052562</v>
      </c>
      <c r="EO57" s="59">
        <f ca="1">AVERAGE(OFFSET($EN$3,0,0,'Données projet'!$E$15+1,1))-AVERAGE(OFFSET($H$3,0,0,'Données projet'!$E$15+1,1))</f>
        <v>504.37890861635196</v>
      </c>
      <c r="EP57" s="59">
        <f t="shared" si="46"/>
        <v>611.82129317522913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6.4120079128280612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6.4120079128280612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129.39999999999995</v>
      </c>
      <c r="FF57" s="17">
        <f>FE57*VLOOKUP('Données projet'!$B$16,Paramètres!$A$1:$I$89,3,0)*VLOOKUP('Données projet'!$B$16,Paramètres!$A$1:$I$89,5,0)</f>
        <v>139.28615999999994</v>
      </c>
      <c r="FG57" s="13">
        <f t="shared" si="47"/>
        <v>36.133426154438062</v>
      </c>
      <c r="FH57" s="20">
        <f t="shared" si="22"/>
        <v>305.52244588564616</v>
      </c>
      <c r="FI57" s="59">
        <f t="shared" si="23"/>
        <v>591.01740787246081</v>
      </c>
      <c r="FJ57" s="59">
        <f ca="1">AVERAGE(OFFSET($FI$3,0,0,'Données projet'!$E$16+1,1))-AVERAGE(OFFSET($H$3,0,0,'Données projet'!$E$16+1,1))</f>
        <v>334.01098870576732</v>
      </c>
      <c r="FK57" s="59">
        <f t="shared" si="48"/>
        <v>171.1802153303471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3.6081045435278414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3.6081045435278414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</v>
      </c>
      <c r="FZ57" s="12">
        <f>IF('Données projet'!$A$244&gt;35,FZ56+FY57-GH56,IF(A57&lt;'Données projet'!$A$244,$FW$205^A57,IF(A57='Données projet'!$A$244,'Données projet'!$B$244,FZ56+FY57-GH56)))</f>
        <v>225.99999999999989</v>
      </c>
      <c r="GA57" s="17">
        <f>FZ57*VLOOKUP('Données projet'!$B$17,Paramètres!$A$1:$I$89,3,0)*VLOOKUP('Données projet'!$B$17,Paramètres!$A$1:$I$89,5,0)</f>
        <v>197.43359999999993</v>
      </c>
      <c r="GB57" s="13">
        <f t="shared" si="49"/>
        <v>49.179727436837609</v>
      </c>
      <c r="GC57" s="20">
        <f t="shared" si="25"/>
        <v>429.51821195249204</v>
      </c>
      <c r="GD57" s="59">
        <f t="shared" si="26"/>
        <v>715.01317393930663</v>
      </c>
      <c r="GE57" s="59">
        <f ca="1">AVERAGE(OFFSET($GD$3,0,0,'Données projet'!$E$17+1,1))-AVERAGE(OFFSET($H$3,0,0,'Données projet'!$E$17+1,1))</f>
        <v>330.12856974146598</v>
      </c>
      <c r="GF57" s="59">
        <f t="shared" si="50"/>
        <v>321.23368446552286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13.04992987969314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13.04992987969314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67.862262360040361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</v>
      </c>
      <c r="GU57" s="12">
        <f>IF('Données projet'!$A$270&gt;35,GU56+GT57-HC56,IF(A57&lt;'Données projet'!$A$270,$GR$205^A57,IF(A57='Données projet'!$A$270,'Données projet'!$B$270,GU56+GT57-HC56)))</f>
        <v>189</v>
      </c>
      <c r="GV57" s="17">
        <f>GU57*VLOOKUP('Données projet'!$B$18,Paramètres!$A$1:$I$89,3,0)*VLOOKUP('Données projet'!$B$18,Paramètres!$A$1:$I$89,5,0)</f>
        <v>126.7812</v>
      </c>
      <c r="GW57" s="13">
        <f t="shared" si="51"/>
        <v>33.251507355059708</v>
      </c>
      <c r="GX57" s="20">
        <f t="shared" si="28"/>
        <v>278.723631976729</v>
      </c>
      <c r="GY57" s="59">
        <f t="shared" si="29"/>
        <v>564.21859396354364</v>
      </c>
      <c r="GZ57" s="59">
        <f ca="1">AVERAGE(OFFSET($GY$3,0,0,'Données projet'!$E$18+1,1))-AVERAGE(OFFSET($H$3,0,0,'Données projet'!$E$18+1,1))</f>
        <v>296.67751292332753</v>
      </c>
      <c r="HA57" s="59">
        <f t="shared" si="52"/>
        <v>197.99510031603018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4.9196499772334148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4.9196499772334148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1.1000000000000001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4.0333333333333341</v>
      </c>
      <c r="H58" s="67">
        <f t="shared" si="1"/>
        <v>240.5333333333333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253.99999999999994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9">
        <f t="shared" si="0"/>
        <v>783.85696012231006</v>
      </c>
      <c r="S58" s="59">
        <f ca="1">AVERAGE(OFFSET($R$3,0,0,'Données projet'!$E$9+1,1))-AVERAGE(OFFSET($H$3,0,0,'Données projet'!$E$9+1,1))</f>
        <v>461.20962581398715</v>
      </c>
      <c r="T58" s="59">
        <f t="shared" si="34"/>
        <v>348.44322874953923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253.99999999999994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9">
        <f t="shared" si="5"/>
        <v>842.54127479994327</v>
      </c>
      <c r="AN58" s="59">
        <f ca="1">AVERAGE(OFFSET($AM$3,0,0,'Données projet'!$E$10+1,1))-AVERAGE(OFFSET($H$3,0,0,'Données projet'!$E$10+1,1))</f>
        <v>510.86584023875525</v>
      </c>
      <c r="AO58" s="59">
        <f t="shared" si="36"/>
        <v>384.62921487244125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11.935819222473135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11.935819222473135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244</v>
      </c>
      <c r="BB58" s="12">
        <f>VLOOKUP(A58,'Données projet'!$A$87:$I$107,9,0)</f>
        <v>11</v>
      </c>
      <c r="BC58" s="12">
        <f t="array" ref="BC58">INDEX(BB:BB,MIN(IF(ISNUMBER(BB58:BB254),ROW(BB58:BB254),"")))</f>
        <v>11</v>
      </c>
      <c r="BD58" s="12">
        <f>IF('Données projet'!$A$88&gt;35,BD57+BC58-BL57,IF(A58&lt;'Données projet'!$A$88,$BA$205^A58,IF(A58='Données projet'!$A$88,'Données projet'!$B$88,BD57+BC58-BL57)))</f>
        <v>244.00000000000003</v>
      </c>
      <c r="BE58" s="13">
        <f>BD58*VLOOKUP('Données projet'!$B$11,Paramètres!$A$1:$I$89,3,0)*VLOOKUP('Données projet'!$B$11,Paramètres!$A$1:$I$89,5,0)</f>
        <v>178.9008</v>
      </c>
      <c r="BF58" s="13">
        <f t="shared" si="37"/>
        <v>45.077547304318657</v>
      </c>
      <c r="BG58" s="20">
        <f t="shared" si="7"/>
        <v>390.09562155502164</v>
      </c>
      <c r="BH58" s="59">
        <f t="shared" si="8"/>
        <v>675.72656176072542</v>
      </c>
      <c r="BI58" s="59">
        <f ca="1">AVERAGE(OFFSET($BH$3,0,0,'Données projet'!$E$11+1,1))-AVERAGE(OFFSET($H$3,0,0,'Données projet'!$E$11+1,1))</f>
        <v>201.7253431547006</v>
      </c>
      <c r="BJ58" s="59">
        <f t="shared" si="38"/>
        <v>229.70004720044096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0.17200000000000001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11.720378795829262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11.720378795829262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536</v>
      </c>
      <c r="BW58" s="12">
        <f>VLOOKUP(A58,'Données projet'!$A$113:$I$133,9,0)</f>
        <v>18.8</v>
      </c>
      <c r="BX58" s="12">
        <f t="array" ref="BX58">INDEX(BW:BW,MIN(IF(ISNUMBER(BW58:BW254),ROW(BW58:BW254),"")))</f>
        <v>18.8</v>
      </c>
      <c r="BY58" s="12">
        <f>IF('Données projet'!$A$114&gt;35,BY57+BX58-CG57,IF(A58&lt;'Données projet'!$A$114,$BV$205^A58,IF(A58='Données projet'!$A$114,'Données projet'!$B$114,BY57+BX58-CG57)))</f>
        <v>535.99999999999966</v>
      </c>
      <c r="BZ58" s="13">
        <f>BY58*VLOOKUP('Données projet'!$B$12,Paramètres!$A$1:$I$89,3,0)*VLOOKUP('Données projet'!$B$12,Paramètres!$A$1:$I$89,5,0)</f>
        <v>299.6239999999998</v>
      </c>
      <c r="CA58" s="13">
        <f t="shared" si="39"/>
        <v>71.097633680944469</v>
      </c>
      <c r="CB58" s="20">
        <f t="shared" si="10"/>
        <v>645.67351199431118</v>
      </c>
      <c r="CC58" s="59">
        <f t="shared" si="11"/>
        <v>931.30445220001491</v>
      </c>
      <c r="CD58" s="59">
        <f ca="1">AVERAGE(OFFSET($CC$3,0,0,'Données projet'!$E$12+1,1))-AVERAGE(OFFSET($H$3,0,0,'Données projet'!$E$12+1,1))</f>
        <v>462.09240749760784</v>
      </c>
      <c r="CE58" s="59">
        <f t="shared" si="40"/>
        <v>403.52202223463337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48</v>
      </c>
      <c r="CH58" s="16">
        <f>IF(ISNA(VLOOKUP(A58,'Données projet'!$A$113:$I$133,5,0)),0%,VLOOKUP(A58,'Données projet'!$A$113:$I$133,5,0)*VLOOKUP('Données projet'!$B$12,Paramètres!$A$1:$I$89,7,0))</f>
        <v>0.33</v>
      </c>
      <c r="CI58" s="16">
        <f>IF(ISNA(VLOOKUP(A58,'Données projet'!$A$113:$I$133,6,0)),0%,VLOOKUP(A58,'Données projet'!$A$113:$I$133,6,0)*VLOOKUP('Données projet'!$B$12,Paramètres!$A$1:$I$89,7,0))</f>
        <v>0.12100000000000001</v>
      </c>
      <c r="CJ58" s="16">
        <f>IF(ISNA(VLOOKUP(A58,'Données projet'!$A$113:$I$133,7,0)),0%,VLOOKUP(A58,'Données projet'!$A$113:$I$133,7,0))</f>
        <v>0.18</v>
      </c>
      <c r="CK58" s="21">
        <f>EXP(-LN(2)/35)*CK57+(1-EXP(-LN(2)/35))/(LN(2)/35)*CG58*CH58*VLOOKUP('Données projet'!$B$12,Paramètres!$A$1:$I$89,3,0)*0.475*44/12</f>
        <v>81.038031882416419</v>
      </c>
      <c r="CL58" s="21">
        <f>EXP(-LN(2)/25)*CL57+(1-EXP(-LN(2)/25))/(LN(2)/25)*Calculateur!CG58*Calculateur!CI58*VLOOKUP('Données projet'!$B$12,Paramètres!$A$1:$I$89,3,0)*0.475*44/12</f>
        <v>30.361238532675319</v>
      </c>
      <c r="CM58" s="21">
        <f>EXP(-LN(2)/2)*CM57+(1-EXP(-LN(2)/2))/(LN(2)/2)*CG58*CJ58*VLOOKUP('Données projet'!$B$12,Paramètres!$A$1:$I$89,3,0)*0.475*44/12</f>
        <v>6.8687280786798919</v>
      </c>
      <c r="CN58" s="22">
        <f t="shared" si="12"/>
        <v>118.26799849377163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</v>
      </c>
      <c r="CT58" s="12">
        <f>IF('Données projet'!$A$140&gt;35,CT57+CS58-DB57,IF(A58&lt;'Données projet'!$A$140,$CQ$205^A58,IF(A58='Données projet'!$A$140,'Données projet'!$B$140,CT57+CS58-DB57)))</f>
        <v>405</v>
      </c>
      <c r="CU58" s="17">
        <f>CT58*VLOOKUP('Données projet'!$B$13,Paramètres!$A$1:$I$89,3,0)*VLOOKUP('Données projet'!$B$13,Paramètres!$A$1:$I$89,5,0)</f>
        <v>189.54</v>
      </c>
      <c r="CV58" s="13">
        <f t="shared" si="41"/>
        <v>47.438239039488813</v>
      </c>
      <c r="CW58" s="20">
        <f t="shared" si="13"/>
        <v>412.73709966044299</v>
      </c>
      <c r="CX58" s="59">
        <f t="shared" si="14"/>
        <v>698.36803986614677</v>
      </c>
      <c r="CY58" s="59">
        <f ca="1">AVERAGE(OFFSET($CX$3,0,0,'Données projet'!$E$13+1,1))-AVERAGE(OFFSET($H$3,0,0,'Données projet'!$E$13+1,1))</f>
        <v>319.88925869887464</v>
      </c>
      <c r="CZ58" s="59">
        <f t="shared" si="42"/>
        <v>258.2857172412098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12.07206549503668</v>
      </c>
      <c r="DG58" s="21">
        <f>EXP(-LN(2)/25)*DG57+(1-EXP(-LN(2)/25))/(LN(2)/25)*Calculateur!DB58*Calculateur!DD58*VLOOKUP('Données projet'!$B$13,Paramètres!$A$1:$I$89,3,0)*0.475*44/12</f>
        <v>16.122243275357093</v>
      </c>
      <c r="DH58" s="21">
        <f>EXP(-LN(2)/2)*DH57+(1-EXP(-LN(2)/2))/(LN(2)/2)*DB58*DE58*VLOOKUP('Données projet'!$B$13,Paramètres!$A$1:$I$89,3,0)*0.475*44/12</f>
        <v>1.2647496549474992</v>
      </c>
      <c r="DI58" s="22">
        <f t="shared" si="15"/>
        <v>29.459058425341276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17.995000000000005</v>
      </c>
      <c r="DO58" s="12">
        <f>IF('Données projet'!$A$166&gt;35,DO57+DN58-DW57,IF(A58&lt;'Données projet'!$A$166,$DL$205^A58,IF(A58='Données projet'!$A$166,'Données projet'!$B$166,DO57+DN58-DW57)))</f>
        <v>533.70500000000015</v>
      </c>
      <c r="DP58" s="17">
        <f>DO58*VLOOKUP('Données projet'!$B$14,Paramètres!$A$1:$I$89,3,0)*VLOOKUP('Données projet'!$B$14,Paramètres!$A$1:$I$89,5,0)</f>
        <v>319.15559000000013</v>
      </c>
      <c r="DQ58" s="13">
        <f t="shared" si="43"/>
        <v>75.177630731012741</v>
      </c>
      <c r="DR58" s="20">
        <f t="shared" si="16"/>
        <v>686.79702610651418</v>
      </c>
      <c r="DS58" s="59">
        <f t="shared" si="17"/>
        <v>972.4279663122179</v>
      </c>
      <c r="DT58" s="59">
        <f ca="1">AVERAGE(OFFSET($DS$3,0,0,'Données projet'!$E$14+1,1))-AVERAGE(OFFSET($H$3,0,0,'Données projet'!$E$14+1,1))</f>
        <v>443.64905827069435</v>
      </c>
      <c r="DU58" s="59">
        <f t="shared" si="44"/>
        <v>381.14782516862385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21.145729537582859</v>
      </c>
      <c r="EB58" s="21">
        <f>EXP(-LN(2)/25)*EB57+(1-EXP(-LN(2)/25))/(LN(2)/25)*Calculateur!DW58*Calculateur!DY58*VLOOKUP('Données projet'!$B$14,Paramètres!$A$1:$I$89,3,0)*0.475*44/12</f>
        <v>20.886978551780761</v>
      </c>
      <c r="EC58" s="21">
        <f>EXP(-LN(2)/2)*EC57+(1-EXP(-LN(2)/2))/(LN(2)/2)*DW58*DZ58*VLOOKUP('Données projet'!$B$14,Paramètres!$A$1:$I$89,3,0)*0.475*44/12</f>
        <v>0.74522540113998292</v>
      </c>
      <c r="ED58" s="22">
        <f t="shared" si="18"/>
        <v>42.777933490503607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402</v>
      </c>
      <c r="EH58" s="12">
        <f>VLOOKUP(A58,'Données projet'!$A$191:$I$211,9,0)</f>
        <v>6.8</v>
      </c>
      <c r="EI58" s="12">
        <f t="array" ref="EI58">INDEX(EH:EH,MIN(IF(ISNUMBER(EH58:EH254),ROW(EH58:EH254),"")))</f>
        <v>6.8</v>
      </c>
      <c r="EJ58" s="12">
        <f>IF('Données projet'!$A$192&gt;35,EJ57+EI58-ER57,IF(A58&lt;'Données projet'!$A$192,$EG$205^A58,IF(A58='Données projet'!$A$192,'Données projet'!$B$192,EJ57+EI58-ER57)))</f>
        <v>401.99999999999966</v>
      </c>
      <c r="EK58" s="17">
        <f>EJ58*VLOOKUP('Données projet'!$B$15,Paramètres!$A$1:$I$89,3,0)*VLOOKUP('Données projet'!$B$15,Paramètres!$A$1:$I$89,5,0)</f>
        <v>363.72959999999972</v>
      </c>
      <c r="EL58" s="13">
        <f t="shared" si="45"/>
        <v>84.383216479569171</v>
      </c>
      <c r="EM58" s="20">
        <f t="shared" si="19"/>
        <v>780.46315536858253</v>
      </c>
      <c r="EN58" s="59">
        <f t="shared" si="20"/>
        <v>1066.0940955742863</v>
      </c>
      <c r="EO58" s="59">
        <f ca="1">AVERAGE(OFFSET($EN$3,0,0,'Données projet'!$E$15+1,1))-AVERAGE(OFFSET($H$3,0,0,'Données projet'!$E$15+1,1))</f>
        <v>504.37890861635196</v>
      </c>
      <c r="EP58" s="59">
        <f t="shared" si="46"/>
        <v>611.82129317522913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14</v>
      </c>
      <c r="ES58" s="16">
        <f>IF(ISNA(VLOOKUP(A58,'Données projet'!$A$191:$I$211,5,0)),0%,VLOOKUP(A58,'Données projet'!$A$191:$I$211,5,0)*VLOOKUP('Données projet'!$B$15,Paramètres!$A$1:$I$89,7,0))</f>
        <v>0.12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7.966658075590531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7.966658075590531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135</v>
      </c>
      <c r="FC58" s="12">
        <f>VLOOKUP(A58,'Données projet'!$A$217:$I$237,9,0)</f>
        <v>5.6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134.99999999999994</v>
      </c>
      <c r="FF58" s="17">
        <f>FE58*VLOOKUP('Données projet'!$B$16,Paramètres!$A$1:$I$89,3,0)*VLOOKUP('Données projet'!$B$16,Paramètres!$A$1:$I$89,5,0)</f>
        <v>145.31399999999994</v>
      </c>
      <c r="FG58" s="13">
        <f t="shared" si="47"/>
        <v>37.511716231443025</v>
      </c>
      <c r="FH58" s="20">
        <f t="shared" si="22"/>
        <v>318.42145576976316</v>
      </c>
      <c r="FI58" s="59">
        <f t="shared" si="23"/>
        <v>604.05239597546688</v>
      </c>
      <c r="FJ58" s="59">
        <f ca="1">AVERAGE(OFFSET($FI$3,0,0,'Données projet'!$E$16+1,1))-AVERAGE(OFFSET($H$3,0,0,'Données projet'!$E$16+1,1))</f>
        <v>334.01098870576732</v>
      </c>
      <c r="FK58" s="59">
        <f t="shared" si="48"/>
        <v>171.1802153303471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14</v>
      </c>
      <c r="FN58" s="16">
        <f>IF(ISNA(VLOOKUP(A58,'Données projet'!$A$217:$I$237,5,0)),0%,VLOOKUP(A58,'Données projet'!$A$217:$I$237,5,0)*VLOOKUP('Données projet'!$B$16,Paramètres!$A$1:$I$89,7,0))</f>
        <v>0.129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5.6863623538075849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5.6863623538075849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232</v>
      </c>
      <c r="FX58" s="12">
        <f>VLOOKUP(A58,'Données projet'!$A$243:$I$263,9,0)</f>
        <v>6</v>
      </c>
      <c r="FY58" s="12">
        <f t="array" ref="FY58">INDEX(FX:FX,MIN(IF(ISNUMBER(FX58:FX254),ROW(FX58:FX254),"")))</f>
        <v>6</v>
      </c>
      <c r="FZ58" s="12">
        <f>IF('Données projet'!$A$244&gt;35,FZ57+FY58-GH57,IF(A58&lt;'Données projet'!$A$244,$FW$205^A58,IF(A58='Données projet'!$A$244,'Données projet'!$B$244,FZ57+FY58-GH57)))</f>
        <v>231.99999999999989</v>
      </c>
      <c r="GA58" s="17">
        <f>FZ58*VLOOKUP('Données projet'!$B$17,Paramètres!$A$1:$I$89,3,0)*VLOOKUP('Données projet'!$B$17,Paramètres!$A$1:$I$89,5,0)</f>
        <v>202.67519999999993</v>
      </c>
      <c r="GB58" s="13">
        <f t="shared" si="49"/>
        <v>50.33164028531364</v>
      </c>
      <c r="GC58" s="20">
        <f t="shared" si="25"/>
        <v>440.65358016358778</v>
      </c>
      <c r="GD58" s="59">
        <f t="shared" si="26"/>
        <v>726.2845203692915</v>
      </c>
      <c r="GE58" s="59">
        <f ca="1">AVERAGE(OFFSET($GD$3,0,0,'Données projet'!$E$17+1,1))-AVERAGE(OFFSET($H$3,0,0,'Données projet'!$E$17+1,1))</f>
        <v>330.12856974146598</v>
      </c>
      <c r="GF58" s="59">
        <f t="shared" si="50"/>
        <v>321.23368446552286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13</v>
      </c>
      <c r="GI58" s="16">
        <f>IF(ISNA(VLOOKUP(A58,'Données projet'!$A$243:$I$263,5,0)),0%,VLOOKUP(A58,'Données projet'!$A$243:$I$263,5,0)*VLOOKUP('Données projet'!$B$17,Paramètres!$A$1:$I$89,7,0))</f>
        <v>0.21200000000000002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15.455605187754951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15.455605187754951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67.899347328828284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197</v>
      </c>
      <c r="GS58" s="12">
        <f>VLOOKUP(A58,'Données projet'!$A$269:$I$289,9,0)</f>
        <v>8</v>
      </c>
      <c r="GT58" s="12">
        <f t="array" ref="GT58">INDEX(GS:GS,MIN(IF(ISNUMBER(GS58:GS254),ROW(GS58:GS254),"")))</f>
        <v>8</v>
      </c>
      <c r="GU58" s="12">
        <f>IF('Données projet'!$A$270&gt;35,GU57+GT58-HC57,IF(A58&lt;'Données projet'!$A$270,$GR$205^A58,IF(A58='Données projet'!$A$270,'Données projet'!$B$270,GU57+GT58-HC57)))</f>
        <v>197</v>
      </c>
      <c r="GV58" s="17">
        <f>GU58*VLOOKUP('Données projet'!$B$18,Paramètres!$A$1:$I$89,3,0)*VLOOKUP('Données projet'!$B$18,Paramètres!$A$1:$I$89,5,0)</f>
        <v>132.14759999999998</v>
      </c>
      <c r="GW58" s="13">
        <f t="shared" si="51"/>
        <v>34.492132421153357</v>
      </c>
      <c r="GX58" s="20">
        <f t="shared" si="28"/>
        <v>290.23086730017536</v>
      </c>
      <c r="GY58" s="59">
        <f t="shared" si="29"/>
        <v>575.86180750587914</v>
      </c>
      <c r="GZ58" s="59">
        <f ca="1">AVERAGE(OFFSET($GY$3,0,0,'Données projet'!$E$18+1,1))-AVERAGE(OFFSET($H$3,0,0,'Données projet'!$E$18+1,1))</f>
        <v>296.67751292332753</v>
      </c>
      <c r="HA58" s="59">
        <f t="shared" si="52"/>
        <v>197.99510031603018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21</v>
      </c>
      <c r="HD58" s="16">
        <f>IF(ISNA(VLOOKUP(A58,'Données projet'!$A$269:$I$289,5,0)),0%,VLOOKUP(A58,'Données projet'!$A$269:$I$289,5,0)*VLOOKUP('Données projet'!$B$18,Paramètres!$A$1:$I$89,7,0))</f>
        <v>0.159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7.2992125245124164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7.2992125245124164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1.1000000000000001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4.0333333333333341</v>
      </c>
      <c r="H59" s="67">
        <f t="shared" si="1"/>
        <v>240.5333333333333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212.98991999999993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748.31350146977343</v>
      </c>
      <c r="S59" s="59">
        <f ca="1">AVERAGE(OFFSET($R$3,0,0,'Données projet'!$E$9+1,1))-AVERAGE(OFFSET($H$3,0,0,'Données projet'!$E$9+1,1))</f>
        <v>461.20962581398715</v>
      </c>
      <c r="T59" s="59">
        <f t="shared" si="34"/>
        <v>348.44322874953923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235.39999999999992</v>
      </c>
      <c r="AJ59" s="13">
        <f>AI59*VLOOKUP('Données projet'!$B$10,Paramètres!$A$1:$I$89,3,0)*VLOOKUP('Données projet'!$B$10,Paramètres!$A$1:$I$89,5,0)</f>
        <v>238.69559999999996</v>
      </c>
      <c r="AK59" s="13">
        <f t="shared" si="35"/>
        <v>58.158793514165929</v>
      </c>
      <c r="AL59" s="20">
        <f t="shared" si="4"/>
        <v>517.02140203717238</v>
      </c>
      <c r="AM59" s="59">
        <f t="shared" si="5"/>
        <v>802.78596154366915</v>
      </c>
      <c r="AN59" s="59">
        <f ca="1">AVERAGE(OFFSET($AM$3,0,0,'Données projet'!$E$10+1,1))-AVERAGE(OFFSET($H$3,0,0,'Données projet'!$E$10+1,1))</f>
        <v>510.86584023875525</v>
      </c>
      <c r="AO59" s="59">
        <f t="shared" si="36"/>
        <v>384.62921487244125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11.70176508765131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11.70176508765131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226.80000000000004</v>
      </c>
      <c r="BE59" s="13">
        <f>BD59*VLOOKUP('Données projet'!$B$11,Paramètres!$A$1:$I$89,3,0)*VLOOKUP('Données projet'!$B$11,Paramètres!$A$1:$I$89,5,0)</f>
        <v>166.28976000000003</v>
      </c>
      <c r="BF59" s="13">
        <f t="shared" si="37"/>
        <v>42.257989067732332</v>
      </c>
      <c r="BG59" s="20">
        <f t="shared" si="7"/>
        <v>363.2206629596339</v>
      </c>
      <c r="BH59" s="59">
        <f t="shared" si="8"/>
        <v>648.98522246613072</v>
      </c>
      <c r="BI59" s="59">
        <f ca="1">AVERAGE(OFFSET($BH$3,0,0,'Données projet'!$E$11+1,1))-AVERAGE(OFFSET($H$3,0,0,'Données projet'!$E$11+1,1))</f>
        <v>201.7253431547006</v>
      </c>
      <c r="BJ59" s="59">
        <f t="shared" si="38"/>
        <v>229.70004720044096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11.490549316368238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11.490549316368238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17.2</v>
      </c>
      <c r="BY59" s="12">
        <f>IF('Données projet'!$A$114&gt;35,BY58+BX59-CG58,IF(A59&lt;'Données projet'!$A$114,$BV$205^A59,IF(A59='Données projet'!$A$114,'Données projet'!$B$114,BY58+BX59-CG58)))</f>
        <v>505.1999999999997</v>
      </c>
      <c r="BZ59" s="13">
        <f>BY59*VLOOKUP('Données projet'!$B$12,Paramètres!$A$1:$I$89,3,0)*VLOOKUP('Données projet'!$B$12,Paramètres!$A$1:$I$89,5,0)</f>
        <v>282.40679999999986</v>
      </c>
      <c r="CA59" s="13">
        <f t="shared" si="39"/>
        <v>67.475381268028315</v>
      </c>
      <c r="CB59" s="20">
        <f t="shared" si="10"/>
        <v>609.37813237514899</v>
      </c>
      <c r="CC59" s="59">
        <f t="shared" si="11"/>
        <v>895.14269188164576</v>
      </c>
      <c r="CD59" s="59">
        <f ca="1">AVERAGE(OFFSET($CC$3,0,0,'Données projet'!$E$12+1,1))-AVERAGE(OFFSET($H$3,0,0,'Données projet'!$E$12+1,1))</f>
        <v>462.09240749760784</v>
      </c>
      <c r="CE59" s="59">
        <f t="shared" si="40"/>
        <v>403.52202223463337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79.448925505521046</v>
      </c>
      <c r="CL59" s="21">
        <f>EXP(-LN(2)/25)*CL58+(1-EXP(-LN(2)/25))/(LN(2)/25)*Calculateur!CG59*Calculateur!CI59*VLOOKUP('Données projet'!$B$12,Paramètres!$A$1:$I$89,3,0)*0.475*44/12</f>
        <v>29.53100886837117</v>
      </c>
      <c r="CM59" s="21">
        <f>EXP(-LN(2)/2)*CM58+(1-EXP(-LN(2)/2))/(LN(2)/2)*CG59*CJ59*VLOOKUP('Données projet'!$B$12,Paramètres!$A$1:$I$89,3,0)*0.475*44/12</f>
        <v>4.8569242025609975</v>
      </c>
      <c r="CN59" s="22">
        <f t="shared" si="12"/>
        <v>113.83685857645322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</v>
      </c>
      <c r="CT59" s="12">
        <f>IF('Données projet'!$A$140&gt;35,CT58+CS59-DB58,IF(A59&lt;'Données projet'!$A$140,$CQ$205^A59,IF(A59='Données projet'!$A$140,'Données projet'!$B$140,CT58+CS59-DB58)))</f>
        <v>418</v>
      </c>
      <c r="CU59" s="17">
        <f>CT59*VLOOKUP('Données projet'!$B$13,Paramètres!$A$1:$I$89,3,0)*VLOOKUP('Données projet'!$B$13,Paramètres!$A$1:$I$89,5,0)</f>
        <v>195.624</v>
      </c>
      <c r="CV59" s="13">
        <f t="shared" si="41"/>
        <v>48.781220625276006</v>
      </c>
      <c r="CW59" s="20">
        <f t="shared" si="13"/>
        <v>425.67242592235567</v>
      </c>
      <c r="CX59" s="59">
        <f t="shared" si="14"/>
        <v>711.43698542885249</v>
      </c>
      <c r="CY59" s="59">
        <f ca="1">AVERAGE(OFFSET($CX$3,0,0,'Données projet'!$E$13+1,1))-AVERAGE(OFFSET($H$3,0,0,'Données projet'!$E$13+1,1))</f>
        <v>319.88925869887464</v>
      </c>
      <c r="CZ59" s="59">
        <f t="shared" si="42"/>
        <v>258.2857172412098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11.835339653911904</v>
      </c>
      <c r="DG59" s="21">
        <f>EXP(-LN(2)/25)*DG58+(1-EXP(-LN(2)/25))/(LN(2)/25)*Calculateur!DB59*Calculateur!DD59*VLOOKUP('Données projet'!$B$13,Paramètres!$A$1:$I$89,3,0)*0.475*44/12</f>
        <v>15.681379685160527</v>
      </c>
      <c r="DH59" s="21">
        <f>EXP(-LN(2)/2)*DH58+(1-EXP(-LN(2)/2))/(LN(2)/2)*DB59*DE59*VLOOKUP('Données projet'!$B$13,Paramètres!$A$1:$I$89,3,0)*0.475*44/12</f>
        <v>0.89431305751672285</v>
      </c>
      <c r="DI59" s="22">
        <f t="shared" si="15"/>
        <v>28.411032396589153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551.70000000000005</v>
      </c>
      <c r="DM59" s="12">
        <f>VLOOKUP(A59,'Données projet'!$A$165:$I$185,9,0)</f>
        <v>17.995000000000005</v>
      </c>
      <c r="DN59" s="12">
        <f t="array" ref="DN59">INDEX(DM:DM,MIN(IF(ISNUMBER(DM59:DM255),ROW(DM59:DM255),"")))</f>
        <v>17.995000000000005</v>
      </c>
      <c r="DO59" s="12">
        <f>IF('Données projet'!$A$166&gt;35,DO58+DN59-DW58,IF(A59&lt;'Données projet'!$A$166,$DL$205^A59,IF(A59='Données projet'!$A$166,'Données projet'!$B$166,DO58+DN59-DW58)))</f>
        <v>551.70000000000016</v>
      </c>
      <c r="DP59" s="17">
        <f>DO59*VLOOKUP('Données projet'!$B$14,Paramètres!$A$1:$I$89,3,0)*VLOOKUP('Données projet'!$B$14,Paramètres!$A$1:$I$89,5,0)</f>
        <v>329.91660000000013</v>
      </c>
      <c r="DQ59" s="13">
        <f t="shared" si="43"/>
        <v>77.413015969653813</v>
      </c>
      <c r="DR59" s="20">
        <f t="shared" si="16"/>
        <v>709.43241448048059</v>
      </c>
      <c r="DS59" s="59">
        <f t="shared" si="17"/>
        <v>995.19697398697735</v>
      </c>
      <c r="DT59" s="59">
        <f ca="1">AVERAGE(OFFSET($DS$3,0,0,'Données projet'!$E$14+1,1))-AVERAGE(OFFSET($H$3,0,0,'Données projet'!$E$14+1,1))</f>
        <v>443.64905827069435</v>
      </c>
      <c r="DU59" s="59">
        <f t="shared" si="44"/>
        <v>381.14782516862385</v>
      </c>
      <c r="DV59" s="15">
        <f>IF(ISNA(VLOOKUP(A59,'Données projet'!$A$165:$I$185,3,0)),0,VLOOKUP(A59,'Données projet'!$A$165:$I$185,3,0))</f>
        <v>11</v>
      </c>
      <c r="DW59" s="15">
        <f>IF(ISNA(VLOOKUP(A59,'Données projet'!$A$165:$I$185,4,0)),0,VLOOKUP(A59,'Données projet'!$A$165:$I$185,4,0))</f>
        <v>77</v>
      </c>
      <c r="DX59" s="16">
        <f>IF(ISNA(VLOOKUP(A59,'Données projet'!$A$165:$I$185,5,0)),0%,VLOOKUP(A59,'Données projet'!$A$165:$I$185,5,0)*VLOOKUP('Données projet'!$B$14,Paramètres!$A$1:$I$89,7,0))</f>
        <v>0.27</v>
      </c>
      <c r="DY59" s="16">
        <f>IF(ISNA(VLOOKUP(A59,'Données projet'!$A$165:$I$185,6,0)),0%,VLOOKUP(A59,'Données projet'!$A$165:$I$185,6,0)*VLOOKUP('Données projet'!$B$14,Paramètres!$A$1:$I$89,7,0))</f>
        <v>9.9000000000000005E-2</v>
      </c>
      <c r="DZ59" s="16">
        <f>IF(ISNA(VLOOKUP(A59,'Données projet'!$A$165:$I$185,7,0)),0%,VLOOKUP(A59,'Données projet'!$A$165:$I$185,7,0))</f>
        <v>0.18</v>
      </c>
      <c r="EA59" s="21">
        <f>EXP(-LN(2)/35)*EA58+(1-EXP(-LN(2)/35))/(LN(2)/35)*DW59*DX59*VLOOKUP('Données projet'!$B$14,Paramètres!$A$1:$I$89,3,0)*0.475*44/12</f>
        <v>37.223481146067996</v>
      </c>
      <c r="EB59" s="21">
        <f>EXP(-LN(2)/25)*EB58+(1-EXP(-LN(2)/25))/(LN(2)/25)*Calculateur!DW59*Calculateur!DY59*VLOOKUP('Données projet'!$B$14,Paramètres!$A$1:$I$89,3,0)*0.475*44/12</f>
        <v>26.339228537086747</v>
      </c>
      <c r="EC59" s="21">
        <f>EXP(-LN(2)/2)*EC58+(1-EXP(-LN(2)/2))/(LN(2)/2)*DW59*DZ59*VLOOKUP('Données projet'!$B$14,Paramètres!$A$1:$I$89,3,0)*0.475*44/12</f>
        <v>9.9112122416012038</v>
      </c>
      <c r="ED59" s="22">
        <f t="shared" si="18"/>
        <v>73.473921924755942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</v>
      </c>
      <c r="EJ59" s="12">
        <f>IF('Données projet'!$A$192&gt;35,EJ58+EI59-ER58,IF(A59&lt;'Données projet'!$A$192,$EG$205^A59,IF(A59='Données projet'!$A$192,'Données projet'!$B$192,EJ58+EI59-ER58)))</f>
        <v>393.99999999999966</v>
      </c>
      <c r="EK59" s="17">
        <f>EJ59*VLOOKUP('Données projet'!$B$15,Paramètres!$A$1:$I$89,3,0)*VLOOKUP('Données projet'!$B$15,Paramètres!$A$1:$I$89,5,0)</f>
        <v>356.49119999999965</v>
      </c>
      <c r="EL59" s="13">
        <f t="shared" si="45"/>
        <v>82.897683869422281</v>
      </c>
      <c r="EM59" s="20">
        <f t="shared" si="19"/>
        <v>765.26897273924317</v>
      </c>
      <c r="EN59" s="59">
        <f t="shared" si="20"/>
        <v>1051.0335322457399</v>
      </c>
      <c r="EO59" s="59">
        <f ca="1">AVERAGE(OFFSET($EN$3,0,0,'Données projet'!$E$15+1,1))-AVERAGE(OFFSET($H$3,0,0,'Données projet'!$E$15+1,1))</f>
        <v>504.37890861635196</v>
      </c>
      <c r="EP59" s="59">
        <f t="shared" si="46"/>
        <v>611.82129317522913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7.8104367699098223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7.8104367699098223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5.4</v>
      </c>
      <c r="FE59" s="12">
        <f>IF('Données projet'!$A$218&gt;35,FE58+FD59-FM58,IF(A59&lt;'Données projet'!$A$218,$FB$205^A59,IF(A59='Données projet'!$A$218,'Données projet'!$B$218,FE58+FD59-FM58)))</f>
        <v>126.39999999999995</v>
      </c>
      <c r="FF59" s="17">
        <f>FE59*VLOOKUP('Données projet'!$B$16,Paramètres!$A$1:$I$89,3,0)*VLOOKUP('Données projet'!$B$16,Paramètres!$A$1:$I$89,5,0)</f>
        <v>136.05695999999992</v>
      </c>
      <c r="FG59" s="13">
        <f t="shared" si="47"/>
        <v>35.392213985322201</v>
      </c>
      <c r="FH59" s="20">
        <f t="shared" si="22"/>
        <v>298.60731135776933</v>
      </c>
      <c r="FI59" s="59">
        <f t="shared" si="23"/>
        <v>584.37187086426616</v>
      </c>
      <c r="FJ59" s="59">
        <f ca="1">AVERAGE(OFFSET($FI$3,0,0,'Données projet'!$E$16+1,1))-AVERAGE(OFFSET($H$3,0,0,'Données projet'!$E$16+1,1))</f>
        <v>334.01098870576732</v>
      </c>
      <c r="FK59" s="59">
        <f t="shared" si="48"/>
        <v>171.1802153303471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5.5748562563879842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5.5748562563879842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5.2</v>
      </c>
      <c r="FZ59" s="12">
        <f>IF('Données projet'!$A$244&gt;35,FZ58+FY59-GH58,IF(A59&lt;'Données projet'!$A$244,$FW$205^A59,IF(A59='Données projet'!$A$244,'Données projet'!$B$244,FZ58+FY59-GH58)))</f>
        <v>224.19999999999987</v>
      </c>
      <c r="GA59" s="17">
        <f>FZ59*VLOOKUP('Données projet'!$B$17,Paramètres!$A$1:$I$89,3,0)*VLOOKUP('Données projet'!$B$17,Paramètres!$A$1:$I$89,5,0)</f>
        <v>195.86111999999991</v>
      </c>
      <c r="GB59" s="13">
        <f t="shared" si="49"/>
        <v>48.833463106716422</v>
      </c>
      <c r="GC59" s="20">
        <f t="shared" si="25"/>
        <v>426.17639891086424</v>
      </c>
      <c r="GD59" s="59">
        <f t="shared" si="26"/>
        <v>711.94095841736112</v>
      </c>
      <c r="GE59" s="59">
        <f ca="1">AVERAGE(OFFSET($GD$3,0,0,'Données projet'!$E$17+1,1))-AVERAGE(OFFSET($H$3,0,0,'Données projet'!$E$17+1,1))</f>
        <v>330.12856974146598</v>
      </c>
      <c r="GF59" s="59">
        <f t="shared" si="50"/>
        <v>321.23368446552286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15.152530197011403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15.152530197011403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67.93578895631731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7.6</v>
      </c>
      <c r="GU59" s="12">
        <f>IF('Données projet'!$A$270&gt;35,GU58+GT59-HC58,IF(A59&lt;'Données projet'!$A$270,$GR$205^A59,IF(A59='Données projet'!$A$270,'Données projet'!$B$270,GU58+GT59-HC58)))</f>
        <v>183.6</v>
      </c>
      <c r="GV59" s="17">
        <f>GU59*VLOOKUP('Données projet'!$B$18,Paramètres!$A$1:$I$89,3,0)*VLOOKUP('Données projet'!$B$18,Paramètres!$A$1:$I$89,5,0)</f>
        <v>123.15888</v>
      </c>
      <c r="GW59" s="13">
        <f t="shared" si="51"/>
        <v>32.410638331814873</v>
      </c>
      <c r="GX59" s="20">
        <f t="shared" si="28"/>
        <v>270.95024442791089</v>
      </c>
      <c r="GY59" s="59">
        <f t="shared" si="29"/>
        <v>556.71480393440766</v>
      </c>
      <c r="GZ59" s="59">
        <f ca="1">AVERAGE(OFFSET($GY$3,0,0,'Données projet'!$E$18+1,1))-AVERAGE(OFFSET($H$3,0,0,'Données projet'!$E$18+1,1))</f>
        <v>296.67751292332753</v>
      </c>
      <c r="HA59" s="59">
        <f t="shared" si="52"/>
        <v>197.99510031603018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7.1560794189867618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7.1560794189867618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1.1000000000000001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4.0333333333333341</v>
      </c>
      <c r="H60" s="67">
        <f t="shared" si="1"/>
        <v>240.5333333333333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221.49503999999993</v>
      </c>
      <c r="P60" s="13">
        <f t="shared" si="33"/>
        <v>54.439697086174412</v>
      </c>
      <c r="Q60" s="20">
        <f t="shared" si="53"/>
        <v>480.58633375842027</v>
      </c>
      <c r="R60" s="59">
        <f t="shared" si="0"/>
        <v>766.4821945695694</v>
      </c>
      <c r="S60" s="59">
        <f ca="1">AVERAGE(OFFSET($R$3,0,0,'Données projet'!$E$9+1,1))-AVERAGE(OFFSET($H$3,0,0,'Données projet'!$E$9+1,1))</f>
        <v>461.20962581398715</v>
      </c>
      <c r="T60" s="59">
        <f t="shared" si="34"/>
        <v>348.44322874953923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244.79999999999993</v>
      </c>
      <c r="AJ60" s="13">
        <f>AI60*VLOOKUP('Données projet'!$B$10,Paramètres!$A$1:$I$89,3,0)*VLOOKUP('Données projet'!$B$10,Paramètres!$A$1:$I$89,5,0)</f>
        <v>248.22719999999993</v>
      </c>
      <c r="AK60" s="13">
        <f t="shared" si="35"/>
        <v>60.20616532763993</v>
      </c>
      <c r="AL60" s="20">
        <f t="shared" si="4"/>
        <v>537.18811127897277</v>
      </c>
      <c r="AM60" s="59">
        <f t="shared" si="5"/>
        <v>823.08397209012185</v>
      </c>
      <c r="AN60" s="59">
        <f ca="1">AVERAGE(OFFSET($AM$3,0,0,'Données projet'!$E$10+1,1))-AVERAGE(OFFSET($H$3,0,0,'Données projet'!$E$10+1,1))</f>
        <v>510.86584023875525</v>
      </c>
      <c r="AO60" s="59">
        <f t="shared" si="36"/>
        <v>384.62921487244125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11.472300611654415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11.472300611654415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237.60000000000005</v>
      </c>
      <c r="BE60" s="13">
        <f>BD60*VLOOKUP('Données projet'!$B$11,Paramètres!$A$1:$I$89,3,0)*VLOOKUP('Données projet'!$B$11,Paramètres!$A$1:$I$89,5,0)</f>
        <v>174.20832000000001</v>
      </c>
      <c r="BF60" s="13">
        <f t="shared" si="37"/>
        <v>44.031201697939835</v>
      </c>
      <c r="BG60" s="20">
        <f t="shared" si="7"/>
        <v>380.10050029057857</v>
      </c>
      <c r="BH60" s="59">
        <f t="shared" si="8"/>
        <v>665.99636110172764</v>
      </c>
      <c r="BI60" s="59">
        <f ca="1">AVERAGE(OFFSET($BH$3,0,0,'Données projet'!$E$11+1,1))-AVERAGE(OFFSET($H$3,0,0,'Données projet'!$E$11+1,1))</f>
        <v>201.7253431547006</v>
      </c>
      <c r="BJ60" s="59">
        <f t="shared" si="38"/>
        <v>229.70004720044096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11.265226652817304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11.265226652817304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17.2</v>
      </c>
      <c r="BY60" s="12">
        <f>IF('Données projet'!$A$114&gt;35,BY59+BX60-CG59,IF(A60&lt;'Données projet'!$A$114,$BV$205^A60,IF(A60='Données projet'!$A$114,'Données projet'!$B$114,BY59+BX60-CG59)))</f>
        <v>522.39999999999975</v>
      </c>
      <c r="BZ60" s="13">
        <f>BY60*VLOOKUP('Données projet'!$B$12,Paramètres!$A$1:$I$89,3,0)*VLOOKUP('Données projet'!$B$12,Paramètres!$A$1:$I$89,5,0)</f>
        <v>292.02159999999986</v>
      </c>
      <c r="CA60" s="13">
        <f t="shared" si="39"/>
        <v>69.501269560304578</v>
      </c>
      <c r="CB60" s="20">
        <f t="shared" si="10"/>
        <v>629.65233115086357</v>
      </c>
      <c r="CC60" s="59">
        <f t="shared" si="11"/>
        <v>915.54819196201265</v>
      </c>
      <c r="CD60" s="59">
        <f ca="1">AVERAGE(OFFSET($CC$3,0,0,'Données projet'!$E$12+1,1))-AVERAGE(OFFSET($H$3,0,0,'Données projet'!$E$12+1,1))</f>
        <v>462.09240749760784</v>
      </c>
      <c r="CE60" s="59">
        <f t="shared" si="40"/>
        <v>403.52202223463337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77.890980535417398</v>
      </c>
      <c r="CL60" s="21">
        <f>EXP(-LN(2)/25)*CL59+(1-EXP(-LN(2)/25))/(LN(2)/25)*Calculateur!CG60*Calculateur!CI60*VLOOKUP('Données projet'!$B$12,Paramètres!$A$1:$I$89,3,0)*0.475*44/12</f>
        <v>28.723481877897299</v>
      </c>
      <c r="CM60" s="21">
        <f>EXP(-LN(2)/2)*CM59+(1-EXP(-LN(2)/2))/(LN(2)/2)*CG60*CJ60*VLOOKUP('Données projet'!$B$12,Paramètres!$A$1:$I$89,3,0)*0.475*44/12</f>
        <v>3.4343640393399464</v>
      </c>
      <c r="CN60" s="22">
        <f t="shared" si="12"/>
        <v>110.04882645265464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</v>
      </c>
      <c r="CT60" s="12">
        <f>IF('Données projet'!$A$140&gt;35,CT59+CS60-DB59,IF(A60&lt;'Données projet'!$A$140,$CQ$205^A60,IF(A60='Données projet'!$A$140,'Données projet'!$B$140,CT59+CS60-DB59)))</f>
        <v>431</v>
      </c>
      <c r="CU60" s="17">
        <f>CT60*VLOOKUP('Données projet'!$B$13,Paramètres!$A$1:$I$89,3,0)*VLOOKUP('Données projet'!$B$13,Paramètres!$A$1:$I$89,5,0)</f>
        <v>201.708</v>
      </c>
      <c r="CV60" s="13">
        <f t="shared" si="41"/>
        <v>50.119348451854286</v>
      </c>
      <c r="CW60" s="20">
        <f t="shared" si="13"/>
        <v>438.59929855364618</v>
      </c>
      <c r="CX60" s="59">
        <f t="shared" si="14"/>
        <v>724.4951593647952</v>
      </c>
      <c r="CY60" s="59">
        <f ca="1">AVERAGE(OFFSET($CX$3,0,0,'Données projet'!$E$13+1,1))-AVERAGE(OFFSET($H$3,0,0,'Données projet'!$E$13+1,1))</f>
        <v>319.88925869887464</v>
      </c>
      <c r="CZ60" s="59">
        <f t="shared" si="42"/>
        <v>258.2857172412098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11.603255862143078</v>
      </c>
      <c r="DG60" s="21">
        <f>EXP(-LN(2)/25)*DG59+(1-EXP(-LN(2)/25))/(LN(2)/25)*Calculateur!DB60*Calculateur!DD60*VLOOKUP('Données projet'!$B$13,Paramètres!$A$1:$I$89,3,0)*0.475*44/12</f>
        <v>15.252571533021895</v>
      </c>
      <c r="DH60" s="21">
        <f>EXP(-LN(2)/2)*DH59+(1-EXP(-LN(2)/2))/(LN(2)/2)*DB60*DE60*VLOOKUP('Données projet'!$B$13,Paramètres!$A$1:$I$89,3,0)*0.475*44/12</f>
        <v>0.63237482747374973</v>
      </c>
      <c r="DI60" s="22">
        <f t="shared" si="15"/>
        <v>27.488202222638723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15.683333333333318</v>
      </c>
      <c r="DO60" s="12">
        <f>IF('Données projet'!$A$166&gt;35,DO59+DN60-DW59,IF(A60&lt;'Données projet'!$A$166,$DL$205^A60,IF(A60='Données projet'!$A$166,'Données projet'!$B$166,DO59+DN60-DW59)))</f>
        <v>490.38333333333344</v>
      </c>
      <c r="DP60" s="17">
        <f>DO60*VLOOKUP('Données projet'!$B$14,Paramètres!$A$1:$I$89,3,0)*VLOOKUP('Données projet'!$B$14,Paramètres!$A$1:$I$89,5,0)</f>
        <v>293.24923333333345</v>
      </c>
      <c r="DQ60" s="13">
        <f t="shared" si="43"/>
        <v>69.759374333428127</v>
      </c>
      <c r="DR60" s="20">
        <f t="shared" si="16"/>
        <v>632.23999168627631</v>
      </c>
      <c r="DS60" s="59">
        <f t="shared" si="17"/>
        <v>918.13585249742539</v>
      </c>
      <c r="DT60" s="59">
        <f ca="1">AVERAGE(OFFSET($DS$3,0,0,'Données projet'!$E$14+1,1))-AVERAGE(OFFSET($H$3,0,0,'Données projet'!$E$14+1,1))</f>
        <v>443.64905827069435</v>
      </c>
      <c r="DU60" s="59">
        <f t="shared" si="44"/>
        <v>381.14782516862385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36.493551384875261</v>
      </c>
      <c r="EB60" s="21">
        <f>EXP(-LN(2)/25)*EB59+(1-EXP(-LN(2)/25))/(LN(2)/25)*Calculateur!DW60*Calculateur!DY60*VLOOKUP('Données projet'!$B$14,Paramètres!$A$1:$I$89,3,0)*0.475*44/12</f>
        <v>25.61898094762028</v>
      </c>
      <c r="EC60" s="21">
        <f>EXP(-LN(2)/2)*EC59+(1-EXP(-LN(2)/2))/(LN(2)/2)*DW60*DZ60*VLOOKUP('Données projet'!$B$14,Paramètres!$A$1:$I$89,3,0)*0.475*44/12</f>
        <v>7.0082853858153342</v>
      </c>
      <c r="ED60" s="22">
        <f t="shared" si="18"/>
        <v>69.120817718310875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</v>
      </c>
      <c r="EJ60" s="12">
        <f>IF('Données projet'!$A$192&gt;35,EJ59+EI60-ER59,IF(A60&lt;'Données projet'!$A$192,$EG$205^A60,IF(A60='Données projet'!$A$192,'Données projet'!$B$192,EJ59+EI60-ER59)))</f>
        <v>399.99999999999966</v>
      </c>
      <c r="EK60" s="17">
        <f>EJ60*VLOOKUP('Données projet'!$B$15,Paramètres!$A$1:$I$89,3,0)*VLOOKUP('Données projet'!$B$15,Paramètres!$A$1:$I$89,5,0)</f>
        <v>361.91999999999967</v>
      </c>
      <c r="EL60" s="13">
        <f t="shared" si="45"/>
        <v>84.012158571783388</v>
      </c>
      <c r="EM60" s="20">
        <f t="shared" si="19"/>
        <v>776.66517617918873</v>
      </c>
      <c r="EN60" s="59">
        <f t="shared" si="20"/>
        <v>1062.5610369903379</v>
      </c>
      <c r="EO60" s="59">
        <f ca="1">AVERAGE(OFFSET($EN$3,0,0,'Données projet'!$E$15+1,1))-AVERAGE(OFFSET($H$3,0,0,'Données projet'!$E$15+1,1))</f>
        <v>504.37890861635196</v>
      </c>
      <c r="EP60" s="59">
        <f t="shared" si="46"/>
        <v>611.82129317522913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7.657278868747925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7.657278868747925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5.4</v>
      </c>
      <c r="FE60" s="12">
        <f>IF('Données projet'!$A$218&gt;35,FE59+FD60-FM59,IF(A60&lt;'Données projet'!$A$218,$FB$205^A60,IF(A60='Données projet'!$A$218,'Données projet'!$B$218,FE59+FD60-FM59)))</f>
        <v>131.79999999999995</v>
      </c>
      <c r="FF60" s="17">
        <f>FE60*VLOOKUP('Données projet'!$B$16,Paramètres!$A$1:$I$89,3,0)*VLOOKUP('Données projet'!$B$16,Paramètres!$A$1:$I$89,5,0)</f>
        <v>141.86951999999994</v>
      </c>
      <c r="FG60" s="13">
        <f t="shared" si="47"/>
        <v>36.724955062927357</v>
      </c>
      <c r="FH60" s="20">
        <f t="shared" si="22"/>
        <v>311.05204406793172</v>
      </c>
      <c r="FI60" s="59">
        <f t="shared" si="23"/>
        <v>596.94790487908085</v>
      </c>
      <c r="FJ60" s="59">
        <f ca="1">AVERAGE(OFFSET($FI$3,0,0,'Données projet'!$E$16+1,1))-AVERAGE(OFFSET($H$3,0,0,'Données projet'!$E$16+1,1))</f>
        <v>334.01098870576732</v>
      </c>
      <c r="FK60" s="59">
        <f t="shared" si="48"/>
        <v>171.1802153303471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5.4655367255267775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5.4655367255267775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5.2</v>
      </c>
      <c r="FZ60" s="12">
        <f>IF('Données projet'!$A$244&gt;35,FZ59+FY60-GH59,IF(A60&lt;'Données projet'!$A$244,$FW$205^A60,IF(A60='Données projet'!$A$244,'Données projet'!$B$244,FZ59+FY60-GH59)))</f>
        <v>229.39999999999986</v>
      </c>
      <c r="GA60" s="17">
        <f>FZ60*VLOOKUP('Données projet'!$B$17,Paramètres!$A$1:$I$89,3,0)*VLOOKUP('Données projet'!$B$17,Paramètres!$A$1:$I$89,5,0)</f>
        <v>200.40383999999992</v>
      </c>
      <c r="GB60" s="13">
        <f t="shared" si="49"/>
        <v>49.832909112305636</v>
      </c>
      <c r="GC60" s="20">
        <f t="shared" si="25"/>
        <v>435.82900470393218</v>
      </c>
      <c r="GD60" s="59">
        <f t="shared" si="26"/>
        <v>721.72486551508132</v>
      </c>
      <c r="GE60" s="59">
        <f ca="1">AVERAGE(OFFSET($GD$3,0,0,'Données projet'!$E$17+1,1))-AVERAGE(OFFSET($H$3,0,0,'Données projet'!$E$17+1,1))</f>
        <v>330.12856974146598</v>
      </c>
      <c r="GF60" s="59">
        <f t="shared" si="50"/>
        <v>321.23368446552286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14.855398321978845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14.855398321978845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67.971598403040659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7.6</v>
      </c>
      <c r="GU60" s="12">
        <f>IF('Données projet'!$A$270&gt;35,GU59+GT60-HC59,IF(A60&lt;'Données projet'!$A$270,$GR$205^A60,IF(A60='Données projet'!$A$270,'Données projet'!$B$270,GU59+GT60-HC59)))</f>
        <v>191.2</v>
      </c>
      <c r="GV60" s="17">
        <f>GU60*VLOOKUP('Données projet'!$B$18,Paramètres!$A$1:$I$89,3,0)*VLOOKUP('Données projet'!$B$18,Paramètres!$A$1:$I$89,5,0)</f>
        <v>128.25695999999999</v>
      </c>
      <c r="GW60" s="13">
        <f t="shared" si="51"/>
        <v>33.593278089661865</v>
      </c>
      <c r="GX60" s="20">
        <f t="shared" si="28"/>
        <v>281.88916467282769</v>
      </c>
      <c r="GY60" s="59">
        <f t="shared" si="29"/>
        <v>567.78502548397682</v>
      </c>
      <c r="GZ60" s="59">
        <f ca="1">AVERAGE(OFFSET($GY$3,0,0,'Données projet'!$E$18+1,1))-AVERAGE(OFFSET($H$3,0,0,'Données projet'!$E$18+1,1))</f>
        <v>296.67751292332753</v>
      </c>
      <c r="HA60" s="59">
        <f t="shared" si="52"/>
        <v>197.99510031603018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7.0157530663578909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7.0157530663578909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1.1000000000000001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4.0333333333333341</v>
      </c>
      <c r="H61" s="67">
        <f t="shared" si="1"/>
        <v>240.5333333333333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230.00015999999994</v>
      </c>
      <c r="P61" s="13">
        <f t="shared" si="33"/>
        <v>56.282716126880423</v>
      </c>
      <c r="Q61" s="20">
        <f t="shared" si="53"/>
        <v>498.60934258764996</v>
      </c>
      <c r="R61" s="59">
        <f t="shared" si="0"/>
        <v>784.63422691936148</v>
      </c>
      <c r="S61" s="59">
        <f ca="1">AVERAGE(OFFSET($R$3,0,0,'Données projet'!$E$9+1,1))-AVERAGE(OFFSET($H$3,0,0,'Données projet'!$E$9+1,1))</f>
        <v>461.20962581398715</v>
      </c>
      <c r="T61" s="59">
        <f t="shared" si="34"/>
        <v>348.44322874953923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254.19999999999993</v>
      </c>
      <c r="AJ61" s="13">
        <f>AI61*VLOOKUP('Données projet'!$B$10,Paramètres!$A$1:$I$89,3,0)*VLOOKUP('Données projet'!$B$10,Paramètres!$A$1:$I$89,5,0)</f>
        <v>257.75879999999995</v>
      </c>
      <c r="AK61" s="13">
        <f t="shared" si="35"/>
        <v>62.244404241627407</v>
      </c>
      <c r="AL61" s="20">
        <f t="shared" si="4"/>
        <v>557.33891405416773</v>
      </c>
      <c r="AM61" s="59">
        <f t="shared" si="5"/>
        <v>843.36379838587914</v>
      </c>
      <c r="AN61" s="59">
        <f ca="1">AVERAGE(OFFSET($AM$3,0,0,'Données projet'!$E$10+1,1))-AVERAGE(OFFSET($H$3,0,0,'Données projet'!$E$10+1,1))</f>
        <v>510.86584023875525</v>
      </c>
      <c r="AO61" s="59">
        <f t="shared" si="36"/>
        <v>384.62921487244125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11.247335794072308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11.247335794072308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248.40000000000006</v>
      </c>
      <c r="BE61" s="13">
        <f>BD61*VLOOKUP('Données projet'!$B$11,Paramètres!$A$1:$I$89,3,0)*VLOOKUP('Données projet'!$B$11,Paramètres!$A$1:$I$89,5,0)</f>
        <v>182.12688000000003</v>
      </c>
      <c r="BF61" s="13">
        <f t="shared" si="37"/>
        <v>45.795053793403618</v>
      </c>
      <c r="BG61" s="20">
        <f t="shared" si="7"/>
        <v>396.96403469017793</v>
      </c>
      <c r="BH61" s="59">
        <f t="shared" si="8"/>
        <v>682.98891902188939</v>
      </c>
      <c r="BI61" s="59">
        <f ca="1">AVERAGE(OFFSET($BH$3,0,0,'Données projet'!$E$11+1,1))-AVERAGE(OFFSET($H$3,0,0,'Données projet'!$E$11+1,1))</f>
        <v>201.7253431547006</v>
      </c>
      <c r="BJ61" s="59">
        <f t="shared" si="38"/>
        <v>229.70004720044096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11.04432242926535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11.04432242926535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17.2</v>
      </c>
      <c r="BY61" s="12">
        <f>IF('Données projet'!$A$114&gt;35,BY60+BX61-CG60,IF(A61&lt;'Données projet'!$A$114,$BV$205^A61,IF(A61='Données projet'!$A$114,'Données projet'!$B$114,BY60+BX61-CG60)))</f>
        <v>539.5999999999998</v>
      </c>
      <c r="BZ61" s="13">
        <f>BY61*VLOOKUP('Données projet'!$B$12,Paramètres!$A$1:$I$89,3,0)*VLOOKUP('Données projet'!$B$12,Paramètres!$A$1:$I$89,5,0)</f>
        <v>301.63639999999987</v>
      </c>
      <c r="CA61" s="13">
        <f t="shared" si="39"/>
        <v>71.519407085003564</v>
      </c>
      <c r="CB61" s="20">
        <f t="shared" si="10"/>
        <v>649.9130306730475</v>
      </c>
      <c r="CC61" s="59">
        <f t="shared" si="11"/>
        <v>935.93791500475891</v>
      </c>
      <c r="CD61" s="59">
        <f ca="1">AVERAGE(OFFSET($CC$3,0,0,'Données projet'!$E$12+1,1))-AVERAGE(OFFSET($H$3,0,0,'Données projet'!$E$12+1,1))</f>
        <v>462.09240749760784</v>
      </c>
      <c r="CE61" s="59">
        <f t="shared" si="40"/>
        <v>403.52202223463337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76.363585915924887</v>
      </c>
      <c r="CL61" s="21">
        <f>EXP(-LN(2)/25)*CL60+(1-EXP(-LN(2)/25))/(LN(2)/25)*Calculateur!CG61*Calculateur!CI61*VLOOKUP('Données projet'!$B$12,Paramètres!$A$1:$I$89,3,0)*0.475*44/12</f>
        <v>27.938036755443935</v>
      </c>
      <c r="CM61" s="21">
        <f>EXP(-LN(2)/2)*CM60+(1-EXP(-LN(2)/2))/(LN(2)/2)*CG61*CJ61*VLOOKUP('Données projet'!$B$12,Paramètres!$A$1:$I$89,3,0)*0.475*44/12</f>
        <v>2.4284621012804992</v>
      </c>
      <c r="CN61" s="22">
        <f t="shared" si="12"/>
        <v>106.73008477264932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13</v>
      </c>
      <c r="CT61" s="12">
        <f>IF('Données projet'!$A$140&gt;35,CT60+CS61-DB60,IF(A61&lt;'Données projet'!$A$140,$CQ$205^A61,IF(A61='Données projet'!$A$140,'Données projet'!$B$140,CT60+CS61-DB60)))</f>
        <v>444</v>
      </c>
      <c r="CU61" s="17">
        <f>CT61*VLOOKUP('Données projet'!$B$13,Paramètres!$A$1:$I$89,3,0)*VLOOKUP('Données projet'!$B$13,Paramètres!$A$1:$I$89,5,0)</f>
        <v>207.792</v>
      </c>
      <c r="CV61" s="13">
        <f t="shared" si="41"/>
        <v>51.452785725007864</v>
      </c>
      <c r="CW61" s="20">
        <f t="shared" si="13"/>
        <v>451.51800180438869</v>
      </c>
      <c r="CX61" s="59">
        <f t="shared" si="14"/>
        <v>737.54288613610015</v>
      </c>
      <c r="CY61" s="59">
        <f ca="1">AVERAGE(OFFSET($CX$3,0,0,'Données projet'!$E$13+1,1))-AVERAGE(OFFSET($H$3,0,0,'Données projet'!$E$13+1,1))</f>
        <v>319.88925869887464</v>
      </c>
      <c r="CZ61" s="59">
        <f t="shared" si="42"/>
        <v>258.2857172412098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11.375723091973704</v>
      </c>
      <c r="DG61" s="21">
        <f>EXP(-LN(2)/25)*DG60+(1-EXP(-LN(2)/25))/(LN(2)/25)*Calculateur!DB61*Calculateur!DD61*VLOOKUP('Données projet'!$B$13,Paramètres!$A$1:$I$89,3,0)*0.475*44/12</f>
        <v>14.835489162353534</v>
      </c>
      <c r="DH61" s="21">
        <f>EXP(-LN(2)/2)*DH60+(1-EXP(-LN(2)/2))/(LN(2)/2)*DB61*DE61*VLOOKUP('Données projet'!$B$13,Paramètres!$A$1:$I$89,3,0)*0.475*44/12</f>
        <v>0.44715652875836154</v>
      </c>
      <c r="DI61" s="22">
        <f t="shared" si="15"/>
        <v>26.658368783085599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15.683333333333318</v>
      </c>
      <c r="DO61" s="12">
        <f>IF('Données projet'!$A$166&gt;35,DO60+DN61-DW60,IF(A61&lt;'Données projet'!$A$166,$DL$205^A61,IF(A61='Données projet'!$A$166,'Données projet'!$B$166,DO60+DN61-DW60)))</f>
        <v>506.06666666666678</v>
      </c>
      <c r="DP61" s="17">
        <f>DO61*VLOOKUP('Données projet'!$B$14,Paramètres!$A$1:$I$89,3,0)*VLOOKUP('Données projet'!$B$14,Paramètres!$A$1:$I$89,5,0)</f>
        <v>302.62786666666676</v>
      </c>
      <c r="DQ61" s="13">
        <f t="shared" si="43"/>
        <v>71.727085324665211</v>
      </c>
      <c r="DR61" s="20">
        <f t="shared" si="16"/>
        <v>652.00154138490313</v>
      </c>
      <c r="DS61" s="59">
        <f t="shared" si="17"/>
        <v>938.02642571661454</v>
      </c>
      <c r="DT61" s="59">
        <f ca="1">AVERAGE(OFFSET($DS$3,0,0,'Données projet'!$E$14+1,1))-AVERAGE(OFFSET($H$3,0,0,'Données projet'!$E$14+1,1))</f>
        <v>443.64905827069435</v>
      </c>
      <c r="DU61" s="59">
        <f t="shared" si="44"/>
        <v>381.14782516862385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35.777935101086321</v>
      </c>
      <c r="EB61" s="21">
        <f>EXP(-LN(2)/25)*EB60+(1-EXP(-LN(2)/25))/(LN(2)/25)*Calculateur!DW61*Calculateur!DY61*VLOOKUP('Données projet'!$B$14,Paramètres!$A$1:$I$89,3,0)*0.475*44/12</f>
        <v>24.918428566363946</v>
      </c>
      <c r="EC61" s="21">
        <f>EXP(-LN(2)/2)*EC60+(1-EXP(-LN(2)/2))/(LN(2)/2)*DW61*DZ61*VLOOKUP('Données projet'!$B$14,Paramètres!$A$1:$I$89,3,0)*0.475*44/12</f>
        <v>4.9556061208006028</v>
      </c>
      <c r="ED61" s="22">
        <f t="shared" si="18"/>
        <v>65.651969788250881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</v>
      </c>
      <c r="EJ61" s="12">
        <f>IF('Données projet'!$A$192&gt;35,EJ60+EI61-ER60,IF(A61&lt;'Données projet'!$A$192,$EG$205^A61,IF(A61='Données projet'!$A$192,'Données projet'!$B$192,EJ60+EI61-ER60)))</f>
        <v>405.99999999999966</v>
      </c>
      <c r="EK61" s="17">
        <f>EJ61*VLOOKUP('Données projet'!$B$15,Paramètres!$A$1:$I$89,3,0)*VLOOKUP('Données projet'!$B$15,Paramètres!$A$1:$I$89,5,0)</f>
        <v>367.3487999999997</v>
      </c>
      <c r="EL61" s="13">
        <f t="shared" si="45"/>
        <v>85.124689021983201</v>
      </c>
      <c r="EM61" s="20">
        <f t="shared" si="19"/>
        <v>788.05799337995347</v>
      </c>
      <c r="EN61" s="59">
        <f t="shared" si="20"/>
        <v>1074.0828777116649</v>
      </c>
      <c r="EO61" s="59">
        <f ca="1">AVERAGE(OFFSET($EN$3,0,0,'Données projet'!$E$15+1,1))-AVERAGE(OFFSET($H$3,0,0,'Données projet'!$E$15+1,1))</f>
        <v>504.37890861635196</v>
      </c>
      <c r="EP61" s="59">
        <f t="shared" si="46"/>
        <v>611.82129317522913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7.5071243006107169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7.5071243006107169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5.4</v>
      </c>
      <c r="FE61" s="12">
        <f>IF('Données projet'!$A$218&gt;35,FE60+FD61-FM60,IF(A61&lt;'Données projet'!$A$218,$FB$205^A61,IF(A61='Données projet'!$A$218,'Données projet'!$B$218,FE60+FD61-FM60)))</f>
        <v>137.19999999999996</v>
      </c>
      <c r="FF61" s="17">
        <f>FE61*VLOOKUP('Données projet'!$B$16,Paramètres!$A$1:$I$89,3,0)*VLOOKUP('Données projet'!$B$16,Paramètres!$A$1:$I$89,5,0)</f>
        <v>147.68207999999996</v>
      </c>
      <c r="FG61" s="13">
        <f t="shared" si="47"/>
        <v>38.051353497342525</v>
      </c>
      <c r="FH61" s="20">
        <f t="shared" si="22"/>
        <v>323.48573000787144</v>
      </c>
      <c r="FI61" s="59">
        <f t="shared" si="23"/>
        <v>609.51061433958284</v>
      </c>
      <c r="FJ61" s="59">
        <f ca="1">AVERAGE(OFFSET($FI$3,0,0,'Données projet'!$E$16+1,1))-AVERAGE(OFFSET($H$3,0,0,'Données projet'!$E$16+1,1))</f>
        <v>334.01098870576732</v>
      </c>
      <c r="FK61" s="59">
        <f t="shared" si="48"/>
        <v>171.1802153303471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5.3583608839874293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5.3583608839874293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5.2</v>
      </c>
      <c r="FZ61" s="12">
        <f>IF('Données projet'!$A$244&gt;35,FZ60+FY61-GH60,IF(A61&lt;'Données projet'!$A$244,$FW$205^A61,IF(A61='Données projet'!$A$244,'Données projet'!$B$244,FZ60+FY61-GH60)))</f>
        <v>234.59999999999985</v>
      </c>
      <c r="GA61" s="17">
        <f>FZ61*VLOOKUP('Données projet'!$B$17,Paramètres!$A$1:$I$89,3,0)*VLOOKUP('Données projet'!$B$17,Paramètres!$A$1:$I$89,5,0)</f>
        <v>204.94655999999989</v>
      </c>
      <c r="GB61" s="13">
        <f t="shared" si="49"/>
        <v>50.829721281867236</v>
      </c>
      <c r="GC61" s="20">
        <f t="shared" si="25"/>
        <v>445.47702323258522</v>
      </c>
      <c r="GD61" s="59">
        <f t="shared" si="26"/>
        <v>731.50190756429674</v>
      </c>
      <c r="GE61" s="59">
        <f ca="1">AVERAGE(OFFSET($GD$3,0,0,'Données projet'!$E$17+1,1))-AVERAGE(OFFSET($H$3,0,0,'Données projet'!$E$17+1,1))</f>
        <v>330.12856974146598</v>
      </c>
      <c r="GF61" s="59">
        <f t="shared" si="50"/>
        <v>321.23368446552286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14.564093021783126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14.564093021783126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68.006786635921301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7.6</v>
      </c>
      <c r="GU61" s="12">
        <f>IF('Données projet'!$A$270&gt;35,GU60+GT61-HC60,IF(A61&lt;'Données projet'!$A$270,$GR$205^A61,IF(A61='Données projet'!$A$270,'Données projet'!$B$270,GU60+GT61-HC60)))</f>
        <v>198.79999999999998</v>
      </c>
      <c r="GV61" s="17">
        <f>GU61*VLOOKUP('Données projet'!$B$18,Paramètres!$A$1:$I$89,3,0)*VLOOKUP('Données projet'!$B$18,Paramètres!$A$1:$I$89,5,0)</f>
        <v>133.35504</v>
      </c>
      <c r="GW61" s="13">
        <f t="shared" si="51"/>
        <v>34.770457155821241</v>
      </c>
      <c r="GX61" s="20">
        <f t="shared" si="28"/>
        <v>292.81857421305534</v>
      </c>
      <c r="GY61" s="59">
        <f t="shared" si="29"/>
        <v>578.8434585447668</v>
      </c>
      <c r="GZ61" s="59">
        <f ca="1">AVERAGE(OFFSET($GY$3,0,0,'Données projet'!$E$18+1,1))-AVERAGE(OFFSET($H$3,0,0,'Données projet'!$E$18+1,1))</f>
        <v>296.67751292332753</v>
      </c>
      <c r="HA61" s="59">
        <f t="shared" si="52"/>
        <v>197.99510031603018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6.8781784279134488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6.8781784279134488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1.1000000000000001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4.0333333333333341</v>
      </c>
      <c r="H62" s="67">
        <f t="shared" si="1"/>
        <v>240.5333333333333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238.50527999999991</v>
      </c>
      <c r="P62" s="13">
        <f t="shared" si="33"/>
        <v>58.117817352909881</v>
      </c>
      <c r="Q62" s="20">
        <f t="shared" si="53"/>
        <v>516.61856122298445</v>
      </c>
      <c r="R62" s="59">
        <f t="shared" si="0"/>
        <v>802.77023080562981</v>
      </c>
      <c r="S62" s="59">
        <f ca="1">AVERAGE(OFFSET($R$3,0,0,'Données projet'!$E$9+1,1))-AVERAGE(OFFSET($H$3,0,0,'Données projet'!$E$9+1,1))</f>
        <v>461.20962581398715</v>
      </c>
      <c r="T62" s="59">
        <f t="shared" si="34"/>
        <v>348.44322874953923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267.29039999999992</v>
      </c>
      <c r="AK62" s="13">
        <f t="shared" si="35"/>
        <v>64.273886654661325</v>
      </c>
      <c r="AL62" s="20">
        <f t="shared" si="4"/>
        <v>577.47446592353504</v>
      </c>
      <c r="AM62" s="59">
        <f t="shared" si="5"/>
        <v>863.62613550618039</v>
      </c>
      <c r="AN62" s="59">
        <f ca="1">AVERAGE(OFFSET($AM$3,0,0,'Données projet'!$E$10+1,1))-AVERAGE(OFFSET($H$3,0,0,'Données projet'!$E$10+1,1))</f>
        <v>510.86584023875525</v>
      </c>
      <c r="AO62" s="59">
        <f t="shared" si="36"/>
        <v>384.62921487244125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11.026782399347995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11.026782399347995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259.20000000000005</v>
      </c>
      <c r="BE62" s="13">
        <f>BD62*VLOOKUP('Données projet'!$B$11,Paramètres!$A$1:$I$89,3,0)*VLOOKUP('Données projet'!$B$11,Paramètres!$A$1:$I$89,5,0)</f>
        <v>190.04544000000001</v>
      </c>
      <c r="BF62" s="13">
        <f t="shared" si="37"/>
        <v>47.549998850241536</v>
      </c>
      <c r="BG62" s="20">
        <f t="shared" si="7"/>
        <v>413.81205599750405</v>
      </c>
      <c r="BH62" s="59">
        <f t="shared" si="8"/>
        <v>699.96372558014946</v>
      </c>
      <c r="BI62" s="59">
        <f ca="1">AVERAGE(OFFSET($BH$3,0,0,'Données projet'!$E$11+1,1))-AVERAGE(OFFSET($H$3,0,0,'Données projet'!$E$11+1,1))</f>
        <v>201.7253431547006</v>
      </c>
      <c r="BJ62" s="59">
        <f t="shared" si="38"/>
        <v>229.70004720044096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10.827750002798977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10.827750002798977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17.2</v>
      </c>
      <c r="BY62" s="12">
        <f>IF('Données projet'!$A$114&gt;35,BY61+BX62-CG61,IF(A62&lt;'Données projet'!$A$114,$BV$205^A62,IF(A62='Données projet'!$A$114,'Données projet'!$B$114,BY61+BX62-CG61)))</f>
        <v>556.79999999999984</v>
      </c>
      <c r="BZ62" s="13">
        <f>BY62*VLOOKUP('Données projet'!$B$12,Paramètres!$A$1:$I$89,3,0)*VLOOKUP('Données projet'!$B$12,Paramètres!$A$1:$I$89,5,0)</f>
        <v>311.25119999999993</v>
      </c>
      <c r="CA62" s="13">
        <f t="shared" si="39"/>
        <v>73.530069242745043</v>
      </c>
      <c r="CB62" s="20">
        <f t="shared" si="10"/>
        <v>670.16071059778085</v>
      </c>
      <c r="CC62" s="59">
        <f t="shared" si="11"/>
        <v>956.31238018042632</v>
      </c>
      <c r="CD62" s="59">
        <f ca="1">AVERAGE(OFFSET($CC$3,0,0,'Données projet'!$E$12+1,1))-AVERAGE(OFFSET($H$3,0,0,'Données projet'!$E$12+1,1))</f>
        <v>462.09240749760784</v>
      </c>
      <c r="CE62" s="59">
        <f t="shared" si="40"/>
        <v>403.52202223463337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74.866142573301886</v>
      </c>
      <c r="CL62" s="21">
        <f>EXP(-LN(2)/25)*CL61+(1-EXP(-LN(2)/25))/(LN(2)/25)*Calculateur!CG62*Calculateur!CI62*VLOOKUP('Données projet'!$B$12,Paramètres!$A$1:$I$89,3,0)*0.475*44/12</f>
        <v>27.174069671168819</v>
      </c>
      <c r="CM62" s="21">
        <f>EXP(-LN(2)/2)*CM61+(1-EXP(-LN(2)/2))/(LN(2)/2)*CG62*CJ62*VLOOKUP('Données projet'!$B$12,Paramètres!$A$1:$I$89,3,0)*0.475*44/12</f>
        <v>1.7171820196699734</v>
      </c>
      <c r="CN62" s="22">
        <f t="shared" si="12"/>
        <v>103.75739426414069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</v>
      </c>
      <c r="CT62" s="12">
        <f>IF('Données projet'!$A$140&gt;35,CT61+CS62-DB61,IF(A62&lt;'Données projet'!$A$140,$CQ$205^A62,IF(A62='Données projet'!$A$140,'Données projet'!$B$140,CT61+CS62-DB61)))</f>
        <v>457</v>
      </c>
      <c r="CU62" s="17">
        <f>CT62*VLOOKUP('Données projet'!$B$13,Paramètres!$A$1:$I$89,3,0)*VLOOKUP('Données projet'!$B$13,Paramètres!$A$1:$I$89,5,0)</f>
        <v>213.87599999999998</v>
      </c>
      <c r="CV62" s="13">
        <f t="shared" si="41"/>
        <v>52.781685550046873</v>
      </c>
      <c r="CW62" s="20">
        <f t="shared" si="13"/>
        <v>464.4288023329982</v>
      </c>
      <c r="CX62" s="59">
        <f t="shared" si="14"/>
        <v>750.58047191564356</v>
      </c>
      <c r="CY62" s="59">
        <f ca="1">AVERAGE(OFFSET($CX$3,0,0,'Données projet'!$E$13+1,1))-AVERAGE(OFFSET($H$3,0,0,'Données projet'!$E$13+1,1))</f>
        <v>319.88925869887464</v>
      </c>
      <c r="CZ62" s="59">
        <f t="shared" si="42"/>
        <v>258.2857172412098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11.152652100646065</v>
      </c>
      <c r="DG62" s="21">
        <f>EXP(-LN(2)/25)*DG61+(1-EXP(-LN(2)/25))/(LN(2)/25)*Calculateur!DB62*Calculateur!DD62*VLOOKUP('Données projet'!$B$13,Paramètres!$A$1:$I$89,3,0)*0.475*44/12</f>
        <v>14.429811931044508</v>
      </c>
      <c r="DH62" s="21">
        <f>EXP(-LN(2)/2)*DH61+(1-EXP(-LN(2)/2))/(LN(2)/2)*DB62*DE62*VLOOKUP('Données projet'!$B$13,Paramètres!$A$1:$I$89,3,0)*0.475*44/12</f>
        <v>0.31618741373687492</v>
      </c>
      <c r="DI62" s="22">
        <f t="shared" si="15"/>
        <v>25.898651445427447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521.75</v>
      </c>
      <c r="DM62" s="12">
        <f>VLOOKUP(A62,'Données projet'!$A$165:$I$185,9,0)</f>
        <v>15.683333333333318</v>
      </c>
      <c r="DN62" s="12">
        <f t="array" ref="DN62">INDEX(DM:DM,MIN(IF(ISNUMBER(DM62:DM258),ROW(DM62:DM258),"")))</f>
        <v>15.683333333333318</v>
      </c>
      <c r="DO62" s="12">
        <f>IF('Données projet'!$A$166&gt;35,DO61+DN62-DW61,IF(A62&lt;'Données projet'!$A$166,$DL$205^A62,IF(A62='Données projet'!$A$166,'Données projet'!$B$166,DO61+DN62-DW61)))</f>
        <v>521.75000000000011</v>
      </c>
      <c r="DP62" s="17">
        <f>DO62*VLOOKUP('Données projet'!$B$14,Paramètres!$A$1:$I$89,3,0)*VLOOKUP('Données projet'!$B$14,Paramètres!$A$1:$I$89,5,0)</f>
        <v>312.00650000000007</v>
      </c>
      <c r="DQ62" s="13">
        <f t="shared" si="43"/>
        <v>73.687709758579885</v>
      </c>
      <c r="DR62" s="20">
        <f t="shared" si="16"/>
        <v>671.75074866286002</v>
      </c>
      <c r="DS62" s="59">
        <f t="shared" si="17"/>
        <v>957.90241824550549</v>
      </c>
      <c r="DT62" s="59">
        <f ca="1">AVERAGE(OFFSET($DS$3,0,0,'Données projet'!$E$14+1,1))-AVERAGE(OFFSET($H$3,0,0,'Données projet'!$E$14+1,1))</f>
        <v>443.64905827069435</v>
      </c>
      <c r="DU62" s="59">
        <f t="shared" si="44"/>
        <v>381.14782516862385</v>
      </c>
      <c r="DV62" s="15">
        <f>IF(ISNA(VLOOKUP(A62,'Données projet'!$A$165:$I$185,3,0)),0,VLOOKUP(A62,'Données projet'!$A$165:$I$185,3,0))</f>
        <v>12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35.076351616139647</v>
      </c>
      <c r="EB62" s="21">
        <f>EXP(-LN(2)/25)*EB61+(1-EXP(-LN(2)/25))/(LN(2)/25)*Calculateur!DW62*Calculateur!DY62*VLOOKUP('Données projet'!$B$14,Paramètres!$A$1:$I$89,3,0)*0.475*44/12</f>
        <v>24.237032826813518</v>
      </c>
      <c r="EC62" s="21">
        <f>EXP(-LN(2)/2)*EC61+(1-EXP(-LN(2)/2))/(LN(2)/2)*DW62*DZ62*VLOOKUP('Données projet'!$B$14,Paramètres!$A$1:$I$89,3,0)*0.475*44/12</f>
        <v>3.5041426929076676</v>
      </c>
      <c r="ED62" s="22">
        <f t="shared" si="18"/>
        <v>62.817527135860836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</v>
      </c>
      <c r="EJ62" s="12">
        <f>IF('Données projet'!$A$192&gt;35,EJ61+EI62-ER61,IF(A62&lt;'Données projet'!$A$192,$EG$205^A62,IF(A62='Données projet'!$A$192,'Données projet'!$B$192,EJ61+EI62-ER61)))</f>
        <v>411.99999999999966</v>
      </c>
      <c r="EK62" s="17">
        <f>EJ62*VLOOKUP('Données projet'!$B$15,Paramètres!$A$1:$I$89,3,0)*VLOOKUP('Données projet'!$B$15,Paramètres!$A$1:$I$89,5,0)</f>
        <v>372.77759999999967</v>
      </c>
      <c r="EL62" s="13">
        <f t="shared" si="45"/>
        <v>86.23530727208437</v>
      </c>
      <c r="EM62" s="20">
        <f t="shared" si="19"/>
        <v>799.44748016554638</v>
      </c>
      <c r="EN62" s="59">
        <f t="shared" si="20"/>
        <v>1085.5991497481918</v>
      </c>
      <c r="EO62" s="59">
        <f ca="1">AVERAGE(OFFSET($EN$3,0,0,'Données projet'!$E$15+1,1))-AVERAGE(OFFSET($H$3,0,0,'Données projet'!$E$15+1,1))</f>
        <v>504.37890861635196</v>
      </c>
      <c r="EP62" s="59">
        <f t="shared" si="46"/>
        <v>611.82129317522913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7.3599141719694359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7.3599141719694359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5.4</v>
      </c>
      <c r="FE62" s="12">
        <f>IF('Données projet'!$A$218&gt;35,FE61+FD62-FM61,IF(A62&lt;'Données projet'!$A$218,$FB$205^A62,IF(A62='Données projet'!$A$218,'Données projet'!$B$218,FE61+FD62-FM61)))</f>
        <v>142.59999999999997</v>
      </c>
      <c r="FF62" s="17">
        <f>FE62*VLOOKUP('Données projet'!$B$16,Paramètres!$A$1:$I$89,3,0)*VLOOKUP('Données projet'!$B$16,Paramètres!$A$1:$I$89,5,0)</f>
        <v>153.49463999999995</v>
      </c>
      <c r="FG62" s="13">
        <f t="shared" si="47"/>
        <v>39.371687492841346</v>
      </c>
      <c r="FH62" s="20">
        <f t="shared" si="22"/>
        <v>335.90885371669856</v>
      </c>
      <c r="FI62" s="59">
        <f t="shared" si="23"/>
        <v>622.06052329934391</v>
      </c>
      <c r="FJ62" s="59">
        <f ca="1">AVERAGE(OFFSET($FI$3,0,0,'Données projet'!$E$16+1,1))-AVERAGE(OFFSET($H$3,0,0,'Données projet'!$E$16+1,1))</f>
        <v>334.01098870576732</v>
      </c>
      <c r="FK62" s="59">
        <f t="shared" si="48"/>
        <v>171.1802153303471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5.2532866953298596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5.2532866953298596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5.2</v>
      </c>
      <c r="FZ62" s="12">
        <f>IF('Données projet'!$A$244&gt;35,FZ61+FY62-GH61,IF(A62&lt;'Données projet'!$A$244,$FW$205^A62,IF(A62='Données projet'!$A$244,'Données projet'!$B$244,FZ61+FY62-GH61)))</f>
        <v>239.79999999999984</v>
      </c>
      <c r="GA62" s="17">
        <f>FZ62*VLOOKUP('Données projet'!$B$17,Paramètres!$A$1:$I$89,3,0)*VLOOKUP('Données projet'!$B$17,Paramètres!$A$1:$I$89,5,0)</f>
        <v>209.48927999999989</v>
      </c>
      <c r="GB62" s="13">
        <f t="shared" si="49"/>
        <v>51.823964717594365</v>
      </c>
      <c r="GC62" s="20">
        <f t="shared" si="25"/>
        <v>455.12056788314334</v>
      </c>
      <c r="GD62" s="59">
        <f t="shared" si="26"/>
        <v>741.27223746578875</v>
      </c>
      <c r="GE62" s="59">
        <f ca="1">AVERAGE(OFFSET($GD$3,0,0,'Données projet'!$E$17+1,1))-AVERAGE(OFFSET($H$3,0,0,'Données projet'!$E$17+1,1))</f>
        <v>330.12856974146598</v>
      </c>
      <c r="GF62" s="59">
        <f t="shared" si="50"/>
        <v>321.23368446552286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14.278500040845557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14.278500040845557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68.041364431630569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7.6</v>
      </c>
      <c r="GU62" s="12">
        <f>IF('Données projet'!$A$270&gt;35,GU61+GT62-HC61,IF(A62&lt;'Données projet'!$A$270,$GR$205^A62,IF(A62='Données projet'!$A$270,'Données projet'!$B$270,GU61+GT62-HC61)))</f>
        <v>206.39999999999998</v>
      </c>
      <c r="GV62" s="17">
        <f>GU62*VLOOKUP('Données projet'!$B$18,Paramètres!$A$1:$I$89,3,0)*VLOOKUP('Données projet'!$B$18,Paramètres!$A$1:$I$89,5,0)</f>
        <v>138.45311999999998</v>
      </c>
      <c r="GW62" s="13">
        <f t="shared" si="51"/>
        <v>35.942408186268445</v>
      </c>
      <c r="GX62" s="20">
        <f t="shared" si="28"/>
        <v>303.73887825775086</v>
      </c>
      <c r="GY62" s="59">
        <f t="shared" si="29"/>
        <v>589.89054784039627</v>
      </c>
      <c r="GZ62" s="59">
        <f ca="1">AVERAGE(OFFSET($GY$3,0,0,'Données projet'!$E$18+1,1))-AVERAGE(OFFSET($H$3,0,0,'Données projet'!$E$18+1,1))</f>
        <v>296.67751292332753</v>
      </c>
      <c r="HA62" s="59">
        <f t="shared" si="52"/>
        <v>197.99510031603018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6.7433015442166582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6.7433015442166582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1.1000000000000001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4.0333333333333341</v>
      </c>
      <c r="H63" s="67">
        <f t="shared" si="1"/>
        <v>240.5333333333333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247.01039999999989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820.89079315612025</v>
      </c>
      <c r="S63" s="59">
        <f ca="1">AVERAGE(OFFSET($R$3,0,0,'Données projet'!$E$9+1,1))-AVERAGE(OFFSET($H$3,0,0,'Données projet'!$E$9+1,1))</f>
        <v>461.20962581398715</v>
      </c>
      <c r="T63" s="59">
        <f t="shared" si="34"/>
        <v>348.44322874953923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272.99999999999989</v>
      </c>
      <c r="AJ63" s="13">
        <f>AI63*VLOOKUP('Données projet'!$B$10,Paramètres!$A$1:$I$89,3,0)*VLOOKUP('Données projet'!$B$10,Paramètres!$A$1:$I$89,5,0)</f>
        <v>276.82199999999989</v>
      </c>
      <c r="AK63" s="13">
        <f t="shared" si="35"/>
        <v>66.29496059864374</v>
      </c>
      <c r="AL63" s="20">
        <f t="shared" si="4"/>
        <v>597.59537304263756</v>
      </c>
      <c r="AM63" s="59">
        <f t="shared" si="5"/>
        <v>883.87162843556257</v>
      </c>
      <c r="AN63" s="59">
        <f ca="1">AVERAGE(OFFSET($AM$3,0,0,'Données projet'!$E$10+1,1))-AVERAGE(OFFSET($H$3,0,0,'Données projet'!$E$10+1,1))</f>
        <v>510.86584023875525</v>
      </c>
      <c r="AO63" s="59">
        <f t="shared" si="36"/>
        <v>384.62921487244125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16.209034504870257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16.209034504870257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270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270.00000000000006</v>
      </c>
      <c r="BE63" s="13">
        <f>BD63*VLOOKUP('Données projet'!$B$11,Paramètres!$A$1:$I$89,3,0)*VLOOKUP('Données projet'!$B$11,Paramètres!$A$1:$I$89,5,0)</f>
        <v>197.96400000000003</v>
      </c>
      <c r="BF63" s="13">
        <f t="shared" si="37"/>
        <v>49.296450435147761</v>
      </c>
      <c r="BG63" s="20">
        <f t="shared" si="7"/>
        <v>430.64528450788242</v>
      </c>
      <c r="BH63" s="59">
        <f t="shared" si="8"/>
        <v>716.92153990080749</v>
      </c>
      <c r="BI63" s="59">
        <f ca="1">AVERAGE(OFFSET($BH$3,0,0,'Données projet'!$E$11+1,1))-AVERAGE(OFFSET($H$3,0,0,'Données projet'!$E$11+1,1))</f>
        <v>201.7253431547006</v>
      </c>
      <c r="BJ63" s="59">
        <f t="shared" si="38"/>
        <v>229.70004720044096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270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48.256478602303559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48.256478602303559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574</v>
      </c>
      <c r="BW63" s="12">
        <f>VLOOKUP(A63,'Données projet'!$A$113:$I$133,9,0)</f>
        <v>17.2</v>
      </c>
      <c r="BX63" s="12">
        <f t="array" ref="BX63">INDEX(BW:BW,MIN(IF(ISNUMBER(BW63:BW259),ROW(BW63:BW259),"")))</f>
        <v>17.2</v>
      </c>
      <c r="BY63" s="12">
        <f>IF('Données projet'!$A$114&gt;35,BY62+BX63-CG62,IF(A63&lt;'Données projet'!$A$114,$BV$205^A63,IF(A63='Données projet'!$A$114,'Données projet'!$B$114,BY62+BX63-CG62)))</f>
        <v>573.99999999999989</v>
      </c>
      <c r="BZ63" s="13">
        <f>BY63*VLOOKUP('Données projet'!$B$12,Paramètres!$A$1:$I$89,3,0)*VLOOKUP('Données projet'!$B$12,Paramètres!$A$1:$I$89,5,0)</f>
        <v>320.86599999999993</v>
      </c>
      <c r="CA63" s="13">
        <f t="shared" si="39"/>
        <v>75.53351345285769</v>
      </c>
      <c r="CB63" s="20">
        <f t="shared" si="10"/>
        <v>690.39581926372693</v>
      </c>
      <c r="CC63" s="59">
        <f t="shared" si="11"/>
        <v>976.67207465665206</v>
      </c>
      <c r="CD63" s="59">
        <f ca="1">AVERAGE(OFFSET($CC$3,0,0,'Données projet'!$E$12+1,1))-AVERAGE(OFFSET($H$3,0,0,'Données projet'!$E$12+1,1))</f>
        <v>462.09240749760784</v>
      </c>
      <c r="CE63" s="59">
        <f t="shared" si="40"/>
        <v>403.52202223463337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0.49500000000000005</v>
      </c>
      <c r="CI63" s="16">
        <f>IF(ISNA(VLOOKUP(A63,'Données projet'!$A$113:$I$133,6,0)),0%,VLOOKUP(A63,'Données projet'!$A$113:$I$133,6,0)*VLOOKUP('Données projet'!$B$12,Paramètres!$A$1:$I$89,7,0))</f>
        <v>3.3000000000000002E-2</v>
      </c>
      <c r="CJ63" s="16">
        <f>IF(ISNA(VLOOKUP(A63,'Données projet'!$A$113:$I$133,7,0)),0%,VLOOKUP(A63,'Données projet'!$A$113:$I$133,7,0))</f>
        <v>0.04</v>
      </c>
      <c r="CK63" s="21">
        <f>EXP(-LN(2)/35)*CK62+(1-EXP(-LN(2)/35))/(LN(2)/35)*CG63*CH63*VLOOKUP('Données projet'!$B$12,Paramètres!$A$1:$I$89,3,0)*0.475*44/12</f>
        <v>88.814877922258191</v>
      </c>
      <c r="CL63" s="21">
        <f>EXP(-LN(2)/25)*CL62+(1-EXP(-LN(2)/25))/(LN(2)/25)*Calculateur!CG63*Calculateur!CI63*VLOOKUP('Données projet'!$B$12,Paramètres!$A$1:$I$89,3,0)*0.475*44/12</f>
        <v>27.454734164793727</v>
      </c>
      <c r="CM63" s="21">
        <f>EXP(-LN(2)/2)*CM62+(1-EXP(-LN(2)/2))/(LN(2)/2)*CG63*CJ63*VLOOKUP('Données projet'!$B$12,Paramètres!$A$1:$I$89,3,0)*0.475*44/12</f>
        <v>2.2775330458933043</v>
      </c>
      <c r="CN63" s="22">
        <f t="shared" si="12"/>
        <v>118.54714513294522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470</v>
      </c>
      <c r="CR63" s="12">
        <f>VLOOKUP(A63,'Données projet'!$A$139:$I$159,9,0)</f>
        <v>13</v>
      </c>
      <c r="CS63" s="12">
        <f t="array" ref="CS63">INDEX(CR:CR,MIN(IF(ISNUMBER(CR63:CR259),ROW(CR63:CR259),"")))</f>
        <v>13</v>
      </c>
      <c r="CT63" s="12">
        <f>IF('Données projet'!$A$140&gt;35,CT62+CS63-DB62,IF(A63&lt;'Données projet'!$A$140,$CQ$205^A63,IF(A63='Données projet'!$A$140,'Données projet'!$B$140,CT62+CS63-DB62)))</f>
        <v>470</v>
      </c>
      <c r="CU63" s="17">
        <f>CT63*VLOOKUP('Données projet'!$B$13,Paramètres!$A$1:$I$89,3,0)*VLOOKUP('Données projet'!$B$13,Paramètres!$A$1:$I$89,5,0)</f>
        <v>219.95999999999998</v>
      </c>
      <c r="CV63" s="13">
        <f t="shared" si="41"/>
        <v>54.106191826225746</v>
      </c>
      <c r="CW63" s="20">
        <f t="shared" si="13"/>
        <v>477.33195076400972</v>
      </c>
      <c r="CX63" s="59">
        <f t="shared" si="14"/>
        <v>763.60820615693478</v>
      </c>
      <c r="CY63" s="59">
        <f ca="1">AVERAGE(OFFSET($CX$3,0,0,'Données projet'!$E$13+1,1))-AVERAGE(OFFSET($H$3,0,0,'Données projet'!$E$13+1,1))</f>
        <v>319.88925869887464</v>
      </c>
      <c r="CZ63" s="59">
        <f t="shared" si="42"/>
        <v>258.2857172412098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40</v>
      </c>
      <c r="DC63" s="16">
        <f>IF(ISNA(VLOOKUP(A63,'Données projet'!$A$139:$I$159,5,0)),0%,VLOOKUP(A63,'Données projet'!$A$139:$I$159,5,0)*VLOOKUP('Données projet'!$B$13,Paramètres!$A$1:$I$89,7,0))</f>
        <v>0.27500000000000002</v>
      </c>
      <c r="DD63" s="16">
        <f>IF(ISNA(VLOOKUP(A63,'Données projet'!$A$139:$I$159,6,0)),0%,VLOOKUP(A63,'Données projet'!$A$139:$I$159,6,0)*VLOOKUP('Données projet'!$B$13,Paramètres!$A$1:$I$89,7,0))</f>
        <v>0.15400000000000003</v>
      </c>
      <c r="DE63" s="16">
        <f>IF(ISNA(VLOOKUP(A63,'Données projet'!$A$139:$I$159,7,0)),0%,VLOOKUP(A63,'Données projet'!$A$139:$I$159,7,0))</f>
        <v>0.22</v>
      </c>
      <c r="DF63" s="21">
        <f>EXP(-LN(2)/35)*DF62+(1-EXP(-LN(2)/35))/(LN(2)/35)*DB63*DC63*VLOOKUP('Données projet'!$B$13,Paramètres!$A$1:$I$89,3,0)*0.475*44/12</f>
        <v>17.763109212001243</v>
      </c>
      <c r="DG63" s="21">
        <f>EXP(-LN(2)/25)*DG62+(1-EXP(-LN(2)/25))/(LN(2)/25)*Calculateur!DB63*Calculateur!DD63*VLOOKUP('Données projet'!$B$13,Paramètres!$A$1:$I$89,3,0)*0.475*44/12</f>
        <v>17.844496273071769</v>
      </c>
      <c r="DH63" s="21">
        <f>EXP(-LN(2)/2)*DH62+(1-EXP(-LN(2)/2))/(LN(2)/2)*DB63*DE63*VLOOKUP('Données projet'!$B$13,Paramètres!$A$1:$I$89,3,0)*0.475*44/12</f>
        <v>4.8865637585121773</v>
      </c>
      <c r="DI63" s="22">
        <f t="shared" si="15"/>
        <v>40.494169243585183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15.515714285714287</v>
      </c>
      <c r="DO63" s="12">
        <f>IF('Données projet'!$A$166&gt;35,DO62+DN63-DW62,IF(A63&lt;'Données projet'!$A$166,$DL$205^A63,IF(A63='Données projet'!$A$166,'Données projet'!$B$166,DO62+DN63-DW62)))</f>
        <v>537.26571428571435</v>
      </c>
      <c r="DP63" s="17">
        <f>DO63*VLOOKUP('Données projet'!$B$14,Paramètres!$A$1:$I$89,3,0)*VLOOKUP('Données projet'!$B$14,Paramètres!$A$1:$I$89,5,0)</f>
        <v>321.28489714285718</v>
      </c>
      <c r="DQ63" s="13">
        <f t="shared" si="43"/>
        <v>75.620639118286675</v>
      </c>
      <c r="DR63" s="20">
        <f t="shared" si="16"/>
        <v>691.27714232149219</v>
      </c>
      <c r="DS63" s="59">
        <f t="shared" si="17"/>
        <v>977.55339771441732</v>
      </c>
      <c r="DT63" s="59">
        <f ca="1">AVERAGE(OFFSET($DS$3,0,0,'Données projet'!$E$14+1,1))-AVERAGE(OFFSET($H$3,0,0,'Données projet'!$E$14+1,1))</f>
        <v>443.64905827069435</v>
      </c>
      <c r="DU63" s="59">
        <f t="shared" si="44"/>
        <v>381.14782516862385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34.388525755409105</v>
      </c>
      <c r="EB63" s="21">
        <f>EXP(-LN(2)/25)*EB62+(1-EXP(-LN(2)/25))/(LN(2)/25)*Calculateur!DW63*Calculateur!DY63*VLOOKUP('Données projet'!$B$14,Paramètres!$A$1:$I$89,3,0)*0.475*44/12</f>
        <v>23.574269889594142</v>
      </c>
      <c r="EC63" s="21">
        <f>EXP(-LN(2)/2)*EC62+(1-EXP(-LN(2)/2))/(LN(2)/2)*DW63*DZ63*VLOOKUP('Données projet'!$B$14,Paramètres!$A$1:$I$89,3,0)*0.475*44/12</f>
        <v>2.4778030604003018</v>
      </c>
      <c r="ED63" s="22">
        <f t="shared" si="18"/>
        <v>60.440598705403552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418</v>
      </c>
      <c r="EH63" s="12">
        <f>VLOOKUP(A63,'Données projet'!$A$191:$I$211,9,0)</f>
        <v>6</v>
      </c>
      <c r="EI63" s="12">
        <f t="array" ref="EI63">INDEX(EH:EH,MIN(IF(ISNUMBER(EH63:EH259),ROW(EH63:EH259),"")))</f>
        <v>6</v>
      </c>
      <c r="EJ63" s="12">
        <f>IF('Données projet'!$A$192&gt;35,EJ62+EI63-ER62,IF(A63&lt;'Données projet'!$A$192,$EG$205^A63,IF(A63='Données projet'!$A$192,'Données projet'!$B$192,EJ62+EI63-ER62)))</f>
        <v>417.99999999999966</v>
      </c>
      <c r="EK63" s="17">
        <f>EJ63*VLOOKUP('Données projet'!$B$15,Paramètres!$A$1:$I$89,3,0)*VLOOKUP('Données projet'!$B$15,Paramètres!$A$1:$I$89,5,0)</f>
        <v>378.20639999999969</v>
      </c>
      <c r="EL63" s="13">
        <f t="shared" si="45"/>
        <v>87.344044386993929</v>
      </c>
      <c r="EM63" s="20">
        <f t="shared" si="19"/>
        <v>810.8336906406804</v>
      </c>
      <c r="EN63" s="59">
        <f t="shared" si="20"/>
        <v>1097.1099460336054</v>
      </c>
      <c r="EO63" s="59">
        <f ca="1">AVERAGE(OFFSET($EN$3,0,0,'Données projet'!$E$15+1,1))-AVERAGE(OFFSET($H$3,0,0,'Données projet'!$E$15+1,1))</f>
        <v>504.37890861635196</v>
      </c>
      <c r="EP63" s="59">
        <f t="shared" si="46"/>
        <v>611.82129317522913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418</v>
      </c>
      <c r="ES63" s="16">
        <f>IF(ISNA(VLOOKUP(A63,'Données projet'!$A$191:$I$211,5,0)),0%,VLOOKUP(A63,'Données projet'!$A$191:$I$211,5,0)*VLOOKUP('Données projet'!$B$15,Paramètres!$A$1:$I$89,7,0))</f>
        <v>0.15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69.929986626630097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69.929986626630097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148</v>
      </c>
      <c r="FC63" s="12">
        <f>VLOOKUP(A63,'Données projet'!$A$217:$I$237,9,0)</f>
        <v>5.4</v>
      </c>
      <c r="FD63" s="12">
        <f t="array" ref="FD63">INDEX(FC:FC,MIN(IF(ISNUMBER(FC63:FC259),ROW(FC63:FC259),"")))</f>
        <v>5.4</v>
      </c>
      <c r="FE63" s="12">
        <f>IF('Données projet'!$A$218&gt;35,FE62+FD63-FM62,IF(A63&lt;'Données projet'!$A$218,$FB$205^A63,IF(A63='Données projet'!$A$218,'Données projet'!$B$218,FE62+FD63-FM62)))</f>
        <v>147.99999999999997</v>
      </c>
      <c r="FF63" s="17">
        <f>FE63*VLOOKUP('Données projet'!$B$16,Paramètres!$A$1:$I$89,3,0)*VLOOKUP('Données projet'!$B$16,Paramètres!$A$1:$I$89,5,0)</f>
        <v>159.30719999999997</v>
      </c>
      <c r="FG63" s="13">
        <f t="shared" si="47"/>
        <v>40.686212990054052</v>
      </c>
      <c r="FH63" s="20">
        <f t="shared" si="22"/>
        <v>348.32186095767742</v>
      </c>
      <c r="FI63" s="59">
        <f t="shared" si="23"/>
        <v>634.59811635060248</v>
      </c>
      <c r="FJ63" s="59">
        <f ca="1">AVERAGE(OFFSET($FI$3,0,0,'Données projet'!$E$16+1,1))-AVERAGE(OFFSET($H$3,0,0,'Données projet'!$E$16+1,1))</f>
        <v>334.01098870576732</v>
      </c>
      <c r="FK63" s="59">
        <f t="shared" si="48"/>
        <v>171.1802153303471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0.129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7.2992834870747938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7.2992834870747938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245</v>
      </c>
      <c r="FX63" s="12">
        <f>VLOOKUP(A63,'Données projet'!$A$243:$I$263,9,0)</f>
        <v>5.2</v>
      </c>
      <c r="FY63" s="12">
        <f t="array" ref="FY63">INDEX(FX:FX,MIN(IF(ISNUMBER(FX63:FX259),ROW(FX63:FX259),"")))</f>
        <v>5.2</v>
      </c>
      <c r="FZ63" s="12">
        <f>IF('Données projet'!$A$244&gt;35,FZ62+FY63-GH62,IF(A63&lt;'Données projet'!$A$244,$FW$205^A63,IF(A63='Données projet'!$A$244,'Données projet'!$B$244,FZ62+FY63-GH62)))</f>
        <v>244.99999999999983</v>
      </c>
      <c r="GA63" s="17">
        <f>FZ63*VLOOKUP('Données projet'!$B$17,Paramètres!$A$1:$I$89,3,0)*VLOOKUP('Données projet'!$B$17,Paramètres!$A$1:$I$89,5,0)</f>
        <v>214.03199999999987</v>
      </c>
      <c r="GB63" s="13">
        <f t="shared" si="49"/>
        <v>52.815701536972192</v>
      </c>
      <c r="GC63" s="20">
        <f t="shared" si="25"/>
        <v>464.7597468435597</v>
      </c>
      <c r="GD63" s="59">
        <f t="shared" si="26"/>
        <v>751.03600223648482</v>
      </c>
      <c r="GE63" s="59">
        <f ca="1">AVERAGE(OFFSET($GD$3,0,0,'Données projet'!$E$17+1,1))-AVERAGE(OFFSET($H$3,0,0,'Données projet'!$E$17+1,1))</f>
        <v>330.12856974146598</v>
      </c>
      <c r="GF63" s="59">
        <f t="shared" si="50"/>
        <v>321.23368446552286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12</v>
      </c>
      <c r="GI63" s="16">
        <f>IF(ISNA(VLOOKUP(A63,'Données projet'!$A$243:$I$263,5,0)),0%,VLOOKUP(A63,'Données projet'!$A$243:$I$263,5,0)*VLOOKUP('Données projet'!$B$17,Paramètres!$A$1:$I$89,7,0))</f>
        <v>0.26500000000000001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17.069557140990412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17.069557140990412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68.075342379888653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214</v>
      </c>
      <c r="GS63" s="12">
        <f>VLOOKUP(A63,'Données projet'!$A$269:$I$289,9,0)</f>
        <v>7.6</v>
      </c>
      <c r="GT63" s="12">
        <f t="array" ref="GT63">INDEX(GS:GS,MIN(IF(ISNUMBER(GS63:GS259),ROW(GS63:GS259),"")))</f>
        <v>7.6</v>
      </c>
      <c r="GU63" s="12">
        <f>IF('Données projet'!$A$270&gt;35,GU62+GT63-HC62,IF(A63&lt;'Données projet'!$A$270,$GR$205^A63,IF(A63='Données projet'!$A$270,'Données projet'!$B$270,GU62+GT63-HC62)))</f>
        <v>213.99999999999997</v>
      </c>
      <c r="GV63" s="17">
        <f>GU63*VLOOKUP('Données projet'!$B$18,Paramètres!$A$1:$I$89,3,0)*VLOOKUP('Données projet'!$B$18,Paramètres!$A$1:$I$89,5,0)</f>
        <v>143.55119999999997</v>
      </c>
      <c r="GW63" s="13">
        <f t="shared" si="51"/>
        <v>37.109345732537925</v>
      </c>
      <c r="GX63" s="20">
        <f t="shared" si="28"/>
        <v>314.65045048417016</v>
      </c>
      <c r="GY63" s="59">
        <f t="shared" si="29"/>
        <v>600.92670587709517</v>
      </c>
      <c r="GZ63" s="59">
        <f ca="1">AVERAGE(OFFSET($GY$3,0,0,'Données projet'!$E$18+1,1))-AVERAGE(OFFSET($H$3,0,0,'Données projet'!$E$18+1,1))</f>
        <v>296.67751292332753</v>
      </c>
      <c r="HA63" s="59">
        <f t="shared" si="52"/>
        <v>197.99510031603018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21</v>
      </c>
      <c r="HD63" s="16">
        <f>IF(ISNA(VLOOKUP(A63,'Données projet'!$A$269:$I$289,5,0)),0%,VLOOKUP(A63,'Données projet'!$A$269:$I$289,5,0)*VLOOKUP('Données projet'!$B$18,Paramètres!$A$1:$I$89,7,0))</f>
        <v>0.21200000000000002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9.9124480241321962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9.9124480241321962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1.1000000000000001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4.0333333333333341</v>
      </c>
      <c r="H64" s="67">
        <f t="shared" si="1"/>
        <v>240.5333333333333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229.63823999999988</v>
      </c>
      <c r="P64" s="13">
        <f t="shared" si="33"/>
        <v>56.204453396569633</v>
      </c>
      <c r="Q64" s="20">
        <f t="shared" si="53"/>
        <v>497.84269099902525</v>
      </c>
      <c r="R64" s="59">
        <f t="shared" si="0"/>
        <v>784.24137091695366</v>
      </c>
      <c r="S64" s="59">
        <f ca="1">AVERAGE(OFFSET($R$3,0,0,'Données projet'!$E$9+1,1))-AVERAGE(OFFSET($H$3,0,0,'Données projet'!$E$9+1,1))</f>
        <v>461.20962581398715</v>
      </c>
      <c r="T64" s="59">
        <f t="shared" si="34"/>
        <v>348.44322874953923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</v>
      </c>
      <c r="AJ64" s="13">
        <f>AI64*VLOOKUP('Données projet'!$B$10,Paramètres!$A$1:$I$89,3,0)*VLOOKUP('Données projet'!$B$10,Paramètres!$A$1:$I$89,5,0)</f>
        <v>257.3531999999999</v>
      </c>
      <c r="AK64" s="13">
        <f t="shared" si="35"/>
        <v>62.157851613080908</v>
      </c>
      <c r="AL64" s="20">
        <f t="shared" si="4"/>
        <v>556.48174822611566</v>
      </c>
      <c r="AM64" s="59">
        <f t="shared" si="5"/>
        <v>842.88042814404412</v>
      </c>
      <c r="AN64" s="59">
        <f ca="1">AVERAGE(OFFSET($AM$3,0,0,'Données projet'!$E$10+1,1))-AVERAGE(OFFSET($H$3,0,0,'Données projet'!$E$10+1,1))</f>
        <v>510.86584023875525</v>
      </c>
      <c r="AO64" s="59">
        <f t="shared" si="36"/>
        <v>384.62921487244125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15.891185224764584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15.891185224764584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5.6843418860808015E-14</v>
      </c>
      <c r="BE64" s="13">
        <f>BD64*VLOOKUP('Données projet'!$B$11,Paramètres!$A$1:$I$89,3,0)*VLOOKUP('Données projet'!$B$11,Paramètres!$A$1:$I$89,5,0)</f>
        <v>4.1677594708744434E-14</v>
      </c>
      <c r="BF64" s="13">
        <f t="shared" si="37"/>
        <v>6.9326303456159188E-13</v>
      </c>
      <c r="BG64" s="20">
        <f t="shared" si="7"/>
        <v>1.2800215959791691E-12</v>
      </c>
      <c r="BH64" s="59">
        <f t="shared" si="8"/>
        <v>286.39867991792977</v>
      </c>
      <c r="BI64" s="59">
        <f ca="1">AVERAGE(OFFSET($BH$3,0,0,'Données projet'!$E$11+1,1))-AVERAGE(OFFSET($H$3,0,0,'Données projet'!$E$11+1,1))</f>
        <v>201.7253431547006</v>
      </c>
      <c r="BJ64" s="59">
        <f t="shared" si="38"/>
        <v>229.70004720044096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47.310198490458014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47.310198490458014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15.2</v>
      </c>
      <c r="BY64" s="12">
        <f>IF('Données projet'!$A$114&gt;35,BY63+BX64-CG63,IF(A64&lt;'Données projet'!$A$114,$BV$205^A64,IF(A64='Données projet'!$A$114,'Données projet'!$B$114,BY63+BX64-CG63)))</f>
        <v>547.19999999999993</v>
      </c>
      <c r="BZ64" s="13">
        <f>BY64*VLOOKUP('Données projet'!$B$12,Paramètres!$A$1:$I$89,3,0)*VLOOKUP('Données projet'!$B$12,Paramètres!$A$1:$I$89,5,0)</f>
        <v>305.88479999999998</v>
      </c>
      <c r="CA64" s="13">
        <f t="shared" si="39"/>
        <v>72.408745336772242</v>
      </c>
      <c r="CB64" s="20">
        <f t="shared" si="10"/>
        <v>658.8612581282116</v>
      </c>
      <c r="CC64" s="59">
        <f t="shared" si="11"/>
        <v>945.25993804614006</v>
      </c>
      <c r="CD64" s="59">
        <f ca="1">AVERAGE(OFFSET($CC$3,0,0,'Données projet'!$E$12+1,1))-AVERAGE(OFFSET($H$3,0,0,'Données projet'!$E$12+1,1))</f>
        <v>462.09240749760784</v>
      </c>
      <c r="CE64" s="59">
        <f t="shared" si="40"/>
        <v>403.52202223463337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87.073272337929225</v>
      </c>
      <c r="CL64" s="21">
        <f>EXP(-LN(2)/25)*CL63+(1-EXP(-LN(2)/25))/(LN(2)/25)*Calculateur!CG64*Calculateur!CI64*VLOOKUP('Données projet'!$B$12,Paramètres!$A$1:$I$89,3,0)*0.475*44/12</f>
        <v>26.703983015275721</v>
      </c>
      <c r="CM64" s="21">
        <f>EXP(-LN(2)/2)*CM63+(1-EXP(-LN(2)/2))/(LN(2)/2)*CG64*CJ64*VLOOKUP('Données projet'!$B$12,Paramètres!$A$1:$I$89,3,0)*0.475*44/12</f>
        <v>1.6104590611276079</v>
      </c>
      <c r="CN64" s="22">
        <f t="shared" si="12"/>
        <v>115.38771441433256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12</v>
      </c>
      <c r="CT64" s="12">
        <f>IF('Données projet'!$A$140&gt;35,CT63+CS64-DB63,IF(A64&lt;'Données projet'!$A$140,$CQ$205^A64,IF(A64='Données projet'!$A$140,'Données projet'!$B$140,CT63+CS64-DB63)))</f>
        <v>442</v>
      </c>
      <c r="CU64" s="17">
        <f>CT64*VLOOKUP('Données projet'!$B$13,Paramètres!$A$1:$I$89,3,0)*VLOOKUP('Données projet'!$B$13,Paramètres!$A$1:$I$89,5,0)</f>
        <v>206.85600000000002</v>
      </c>
      <c r="CV64" s="13">
        <f t="shared" si="41"/>
        <v>51.247940588293027</v>
      </c>
      <c r="CW64" s="20">
        <f t="shared" si="13"/>
        <v>449.53102985794368</v>
      </c>
      <c r="CX64" s="59">
        <f t="shared" si="14"/>
        <v>735.9297097758722</v>
      </c>
      <c r="CY64" s="59">
        <f ca="1">AVERAGE(OFFSET($CX$3,0,0,'Données projet'!$E$13+1,1))-AVERAGE(OFFSET($H$3,0,0,'Données projet'!$E$13+1,1))</f>
        <v>319.88925869887464</v>
      </c>
      <c r="CZ64" s="59">
        <f t="shared" si="42"/>
        <v>258.2857172412098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17.414785474780707</v>
      </c>
      <c r="DG64" s="21">
        <f>EXP(-LN(2)/25)*DG63+(1-EXP(-LN(2)/25))/(LN(2)/25)*Calculateur!DB64*Calculateur!DD64*VLOOKUP('Données projet'!$B$13,Paramètres!$A$1:$I$89,3,0)*0.475*44/12</f>
        <v>17.356537584083348</v>
      </c>
      <c r="DH64" s="21">
        <f>EXP(-LN(2)/2)*DH63+(1-EXP(-LN(2)/2))/(LN(2)/2)*DB64*DE64*VLOOKUP('Données projet'!$B$13,Paramètres!$A$1:$I$89,3,0)*0.475*44/12</f>
        <v>3.4553223703443838</v>
      </c>
      <c r="DI64" s="22">
        <f t="shared" si="15"/>
        <v>38.226645429208439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15.515714285714287</v>
      </c>
      <c r="DO64" s="12">
        <f>IF('Données projet'!$A$166&gt;35,DO63+DN64-DW63,IF(A64&lt;'Données projet'!$A$166,$DL$205^A64,IF(A64='Données projet'!$A$166,'Données projet'!$B$166,DO63+DN64-DW63)))</f>
        <v>552.78142857142859</v>
      </c>
      <c r="DP64" s="17">
        <f>DO64*VLOOKUP('Données projet'!$B$14,Paramètres!$A$1:$I$89,3,0)*VLOOKUP('Données projet'!$B$14,Paramètres!$A$1:$I$89,5,0)</f>
        <v>330.56329428571433</v>
      </c>
      <c r="DQ64" s="13">
        <f t="shared" si="43"/>
        <v>77.547080854167504</v>
      </c>
      <c r="DR64" s="20">
        <f t="shared" si="16"/>
        <v>710.79223670196086</v>
      </c>
      <c r="DS64" s="59">
        <f t="shared" si="17"/>
        <v>997.19091661988932</v>
      </c>
      <c r="DT64" s="59">
        <f ca="1">AVERAGE(OFFSET($DS$3,0,0,'Données projet'!$E$14+1,1))-AVERAGE(OFFSET($H$3,0,0,'Données projet'!$E$14+1,1))</f>
        <v>443.64905827069435</v>
      </c>
      <c r="DU64" s="59">
        <f t="shared" si="44"/>
        <v>381.14782516862385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33.714187740275143</v>
      </c>
      <c r="EB64" s="21">
        <f>EXP(-LN(2)/25)*EB63+(1-EXP(-LN(2)/25))/(LN(2)/25)*Calculateur!DW64*Calculateur!DY64*VLOOKUP('Données projet'!$B$14,Paramètres!$A$1:$I$89,3,0)*0.475*44/12</f>
        <v>22.929630239746217</v>
      </c>
      <c r="EC64" s="21">
        <f>EXP(-LN(2)/2)*EC63+(1-EXP(-LN(2)/2))/(LN(2)/2)*DW64*DZ64*VLOOKUP('Données projet'!$B$14,Paramètres!$A$1:$I$89,3,0)*0.475*44/12</f>
        <v>1.7520713464538342</v>
      </c>
      <c r="ED64" s="22">
        <f t="shared" si="18"/>
        <v>58.395889326475192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-3.4106051316484809E-13</v>
      </c>
      <c r="EK64" s="17">
        <f>EJ64*VLOOKUP('Données projet'!$B$15,Paramètres!$A$1:$I$89,3,0)*VLOOKUP('Données projet'!$B$15,Paramètres!$A$1:$I$89,5,0)</f>
        <v>-3.0859155231155454E-13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504.37890861635196</v>
      </c>
      <c r="EP64" s="59">
        <f t="shared" si="46"/>
        <v>611.82129317522913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68.558702241962081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68.558702241962081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5.4</v>
      </c>
      <c r="FE64" s="12">
        <f>IF('Données projet'!$A$218&gt;35,FE63+FD64-FM63,IF(A64&lt;'Données projet'!$A$218,$FB$205^A64,IF(A64='Données projet'!$A$218,'Données projet'!$B$218,FE63+FD64-FM63)))</f>
        <v>139.39999999999998</v>
      </c>
      <c r="FF64" s="17">
        <f>FE64*VLOOKUP('Données projet'!$B$16,Paramètres!$A$1:$I$89,3,0)*VLOOKUP('Données projet'!$B$16,Paramètres!$A$1:$I$89,5,0)</f>
        <v>150.05015999999998</v>
      </c>
      <c r="FG64" s="13">
        <f t="shared" si="47"/>
        <v>38.589984439024569</v>
      </c>
      <c r="FH64" s="20">
        <f t="shared" si="22"/>
        <v>328.54825156463437</v>
      </c>
      <c r="FI64" s="59">
        <f t="shared" si="23"/>
        <v>614.94693148256283</v>
      </c>
      <c r="FJ64" s="59">
        <f ca="1">AVERAGE(OFFSET($FI$3,0,0,'Données projet'!$E$16+1,1))-AVERAGE(OFFSET($H$3,0,0,'Données projet'!$E$16+1,1))</f>
        <v>334.01098870576732</v>
      </c>
      <c r="FK64" s="59">
        <f t="shared" si="48"/>
        <v>171.1802153303471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7.1561489900165736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7.1561489900165736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4.4000000000000004</v>
      </c>
      <c r="FZ64" s="12">
        <f>IF('Données projet'!$A$244&gt;35,FZ63+FY64-GH63,IF(A64&lt;'Données projet'!$A$244,$FW$205^A64,IF(A64='Données projet'!$A$244,'Données projet'!$B$244,FZ63+FY64-GH63)))</f>
        <v>237.39999999999984</v>
      </c>
      <c r="GA64" s="17">
        <f>FZ64*VLOOKUP('Données projet'!$B$17,Paramètres!$A$1:$I$89,3,0)*VLOOKUP('Données projet'!$B$17,Paramètres!$A$1:$I$89,5,0)</f>
        <v>207.39263999999989</v>
      </c>
      <c r="GB64" s="13">
        <f t="shared" si="49"/>
        <v>51.365398298247158</v>
      </c>
      <c r="GC64" s="20">
        <f t="shared" si="25"/>
        <v>450.67025003611349</v>
      </c>
      <c r="GD64" s="59">
        <f t="shared" si="26"/>
        <v>737.06892995404201</v>
      </c>
      <c r="GE64" s="59">
        <f ca="1">AVERAGE(OFFSET($GD$3,0,0,'Données projet'!$E$17+1,1))-AVERAGE(OFFSET($H$3,0,0,'Données projet'!$E$17+1,1))</f>
        <v>330.12856974146598</v>
      </c>
      <c r="GF64" s="59">
        <f t="shared" si="50"/>
        <v>321.23368446552286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16.734833536857405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16.734833536857405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68.108730886707761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7.2</v>
      </c>
      <c r="GU64" s="12">
        <f>IF('Données projet'!$A$270&gt;35,GU63+GT64-HC63,IF(A64&lt;'Données projet'!$A$270,$GR$205^A64,IF(A64='Données projet'!$A$270,'Données projet'!$B$270,GU63+GT64-HC63)))</f>
        <v>200.19999999999996</v>
      </c>
      <c r="GV64" s="17">
        <f>GU64*VLOOKUP('Données projet'!$B$18,Paramètres!$A$1:$I$89,3,0)*VLOOKUP('Données projet'!$B$18,Paramètres!$A$1:$I$89,5,0)</f>
        <v>134.29415999999998</v>
      </c>
      <c r="GW64" s="13">
        <f t="shared" si="51"/>
        <v>34.98672910402766</v>
      </c>
      <c r="GX64" s="20">
        <f t="shared" si="28"/>
        <v>294.83088185618146</v>
      </c>
      <c r="GY64" s="59">
        <f t="shared" si="29"/>
        <v>581.22956177410992</v>
      </c>
      <c r="GZ64" s="59">
        <f ca="1">AVERAGE(OFFSET($GY$3,0,0,'Données projet'!$E$18+1,1))-AVERAGE(OFFSET($H$3,0,0,'Données projet'!$E$18+1,1))</f>
        <v>296.67751292332753</v>
      </c>
      <c r="HA64" s="59">
        <f t="shared" si="52"/>
        <v>197.99510031603018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9.7180709643752667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9.7180709643752667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1.1000000000000001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4.0333333333333341</v>
      </c>
      <c r="H65" s="67">
        <f t="shared" si="1"/>
        <v>240.5333333333333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237.60047999999992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801.22230624686813</v>
      </c>
      <c r="S65" s="59">
        <f ca="1">AVERAGE(OFFSET($R$3,0,0,'Données projet'!$E$9+1,1))-AVERAGE(OFFSET($H$3,0,0,'Données projet'!$E$9+1,1))</f>
        <v>461.20962581398715</v>
      </c>
      <c r="T65" s="59">
        <f t="shared" si="34"/>
        <v>348.44322874953923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262.59999999999991</v>
      </c>
      <c r="AJ65" s="13">
        <f>AI65*VLOOKUP('Données projet'!$B$10,Paramètres!$A$1:$I$89,3,0)*VLOOKUP('Données projet'!$B$10,Paramètres!$A$1:$I$89,5,0)</f>
        <v>266.27639999999991</v>
      </c>
      <c r="AK65" s="13">
        <f t="shared" si="35"/>
        <v>64.05838982943969</v>
      </c>
      <c r="AL65" s="20">
        <f t="shared" si="4"/>
        <v>575.333092286274</v>
      </c>
      <c r="AM65" s="59">
        <f t="shared" si="5"/>
        <v>861.85207293739722</v>
      </c>
      <c r="AN65" s="59">
        <f ca="1">AVERAGE(OFFSET($AM$3,0,0,'Données projet'!$E$10+1,1))-AVERAGE(OFFSET($H$3,0,0,'Données projet'!$E$10+1,1))</f>
        <v>510.86584023875525</v>
      </c>
      <c r="AO65" s="59">
        <f t="shared" si="36"/>
        <v>384.62921487244125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15.579568775172866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15.579568775172866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5.6843418860808015E-14</v>
      </c>
      <c r="BE65" s="13">
        <f>BD65*VLOOKUP('Données projet'!$B$11,Paramètres!$A$1:$I$89,3,0)*VLOOKUP('Données projet'!$B$11,Paramètres!$A$1:$I$89,5,0)</f>
        <v>4.1677594708744434E-14</v>
      </c>
      <c r="BF65" s="13">
        <f t="shared" si="37"/>
        <v>6.9326303456159188E-13</v>
      </c>
      <c r="BG65" s="20">
        <f t="shared" si="7"/>
        <v>1.2800215959791691E-12</v>
      </c>
      <c r="BH65" s="59">
        <f t="shared" si="8"/>
        <v>286.51898065112459</v>
      </c>
      <c r="BI65" s="59">
        <f ca="1">AVERAGE(OFFSET($BH$3,0,0,'Données projet'!$E$11+1,1))-AVERAGE(OFFSET($H$3,0,0,'Données projet'!$E$11+1,1))</f>
        <v>201.7253431547006</v>
      </c>
      <c r="BJ65" s="59">
        <f t="shared" si="38"/>
        <v>229.70004720044096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46.382474354431878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46.382474354431878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15.2</v>
      </c>
      <c r="BY65" s="12">
        <f>IF('Données projet'!$A$114&gt;35,BY64+BX65-CG64,IF(A65&lt;'Données projet'!$A$114,$BV$205^A65,IF(A65='Données projet'!$A$114,'Données projet'!$B$114,BY64+BX65-CG64)))</f>
        <v>562.4</v>
      </c>
      <c r="BZ65" s="13">
        <f>BY65*VLOOKUP('Données projet'!$B$12,Paramètres!$A$1:$I$89,3,0)*VLOOKUP('Données projet'!$B$12,Paramètres!$A$1:$I$89,5,0)</f>
        <v>314.38159999999999</v>
      </c>
      <c r="CA65" s="13">
        <f t="shared" si="39"/>
        <v>74.183133842759602</v>
      </c>
      <c r="CB65" s="20">
        <f t="shared" si="10"/>
        <v>676.75024477613954</v>
      </c>
      <c r="CC65" s="59">
        <f t="shared" si="11"/>
        <v>963.26922542726288</v>
      </c>
      <c r="CD65" s="59">
        <f ca="1">AVERAGE(OFFSET($CC$3,0,0,'Données projet'!$E$12+1,1))-AVERAGE(OFFSET($H$3,0,0,'Données projet'!$E$12+1,1))</f>
        <v>462.09240749760784</v>
      </c>
      <c r="CE65" s="59">
        <f t="shared" si="40"/>
        <v>403.52202223463337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85.365818576834442</v>
      </c>
      <c r="CL65" s="21">
        <f>EXP(-LN(2)/25)*CL64+(1-EXP(-LN(2)/25))/(LN(2)/25)*Calculateur!CG65*Calculateur!CI65*VLOOKUP('Données projet'!$B$12,Paramètres!$A$1:$I$89,3,0)*0.475*44/12</f>
        <v>25.973761195421574</v>
      </c>
      <c r="CM65" s="21">
        <f>EXP(-LN(2)/2)*CM64+(1-EXP(-LN(2)/2))/(LN(2)/2)*CG65*CJ65*VLOOKUP('Données projet'!$B$12,Paramètres!$A$1:$I$89,3,0)*0.475*44/12</f>
        <v>1.1387665229466524</v>
      </c>
      <c r="CN65" s="22">
        <f t="shared" si="12"/>
        <v>112.47834629520267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12</v>
      </c>
      <c r="CT65" s="12">
        <f>IF('Données projet'!$A$140&gt;35,CT64+CS65-DB64,IF(A65&lt;'Données projet'!$A$140,$CQ$205^A65,IF(A65='Données projet'!$A$140,'Données projet'!$B$140,CT64+CS65-DB64)))</f>
        <v>454</v>
      </c>
      <c r="CU65" s="17">
        <f>CT65*VLOOKUP('Données projet'!$B$13,Paramètres!$A$1:$I$89,3,0)*VLOOKUP('Données projet'!$B$13,Paramètres!$A$1:$I$89,5,0)</f>
        <v>212.47200000000001</v>
      </c>
      <c r="CV65" s="13">
        <f t="shared" si="41"/>
        <v>52.475411418566523</v>
      </c>
      <c r="CW65" s="20">
        <f t="shared" si="13"/>
        <v>461.45007488733671</v>
      </c>
      <c r="CX65" s="59">
        <f t="shared" si="14"/>
        <v>747.96905553846</v>
      </c>
      <c r="CY65" s="59">
        <f ca="1">AVERAGE(OFFSET($CX$3,0,0,'Données projet'!$E$13+1,1))-AVERAGE(OFFSET($H$3,0,0,'Données projet'!$E$13+1,1))</f>
        <v>319.88925869887464</v>
      </c>
      <c r="CZ65" s="59">
        <f t="shared" si="42"/>
        <v>258.2857172412098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17.073292153590565</v>
      </c>
      <c r="DG65" s="21">
        <f>EXP(-LN(2)/25)*DG64+(1-EXP(-LN(2)/25))/(LN(2)/25)*Calculateur!DB65*Calculateur!DD65*VLOOKUP('Données projet'!$B$13,Paramètres!$A$1:$I$89,3,0)*0.475*44/12</f>
        <v>16.881922151105947</v>
      </c>
      <c r="DH65" s="21">
        <f>EXP(-LN(2)/2)*DH64+(1-EXP(-LN(2)/2))/(LN(2)/2)*DB65*DE65*VLOOKUP('Données projet'!$B$13,Paramètres!$A$1:$I$89,3,0)*0.475*44/12</f>
        <v>2.4432818792560891</v>
      </c>
      <c r="DI65" s="22">
        <f t="shared" si="15"/>
        <v>36.398496183952602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15.515714285714287</v>
      </c>
      <c r="DO65" s="12">
        <f>IF('Données projet'!$A$166&gt;35,DO64+DN65-DW64,IF(A65&lt;'Données projet'!$A$166,$DL$205^A65,IF(A65='Données projet'!$A$166,'Données projet'!$B$166,DO64+DN65-DW64)))</f>
        <v>568.29714285714283</v>
      </c>
      <c r="DP65" s="17">
        <f>DO65*VLOOKUP('Données projet'!$B$14,Paramètres!$A$1:$I$89,3,0)*VLOOKUP('Données projet'!$B$14,Paramètres!$A$1:$I$89,5,0)</f>
        <v>339.84169142857149</v>
      </c>
      <c r="DQ65" s="13">
        <f t="shared" si="43"/>
        <v>79.467237982145818</v>
      </c>
      <c r="DR65" s="20">
        <f t="shared" si="16"/>
        <v>730.2963853903326</v>
      </c>
      <c r="DS65" s="59">
        <f t="shared" si="17"/>
        <v>1016.8153660414559</v>
      </c>
      <c r="DT65" s="59">
        <f ca="1">AVERAGE(OFFSET($DS$3,0,0,'Données projet'!$E$14+1,1))-AVERAGE(OFFSET($H$3,0,0,'Données projet'!$E$14+1,1))</f>
        <v>443.64905827069435</v>
      </c>
      <c r="DU65" s="59">
        <f t="shared" si="44"/>
        <v>381.14782516862385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33.05307308231238</v>
      </c>
      <c r="EB65" s="21">
        <f>EXP(-LN(2)/25)*EB64+(1-EXP(-LN(2)/25))/(LN(2)/25)*Calculateur!DW65*Calculateur!DY65*VLOOKUP('Données projet'!$B$14,Paramètres!$A$1:$I$89,3,0)*0.475*44/12</f>
        <v>22.30261829502351</v>
      </c>
      <c r="EC65" s="21">
        <f>EXP(-LN(2)/2)*EC64+(1-EXP(-LN(2)/2))/(LN(2)/2)*DW65*DZ65*VLOOKUP('Données projet'!$B$14,Paramètres!$A$1:$I$89,3,0)*0.475*44/12</f>
        <v>1.2389015302001511</v>
      </c>
      <c r="ED65" s="22">
        <f t="shared" si="18"/>
        <v>56.59459290753604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-3.4106051316484809E-13</v>
      </c>
      <c r="EK65" s="17">
        <f>EJ65*VLOOKUP('Données projet'!$B$15,Paramètres!$A$1:$I$89,3,0)*VLOOKUP('Données projet'!$B$15,Paramètres!$A$1:$I$89,5,0)</f>
        <v>-3.0859155231155454E-13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504.37890861635196</v>
      </c>
      <c r="EP65" s="59">
        <f t="shared" si="46"/>
        <v>611.82129317522913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67.214307907676513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67.214307907676513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5.4</v>
      </c>
      <c r="FE65" s="12">
        <f>IF('Données projet'!$A$218&gt;35,FE64+FD65-FM64,IF(A65&lt;'Données projet'!$A$218,$FB$205^A65,IF(A65='Données projet'!$A$218,'Données projet'!$B$218,FE64+FD65-FM64)))</f>
        <v>144.79999999999998</v>
      </c>
      <c r="FF65" s="17">
        <f>FE65*VLOOKUP('Données projet'!$B$16,Paramètres!$A$1:$I$89,3,0)*VLOOKUP('Données projet'!$B$16,Paramètres!$A$1:$I$89,5,0)</f>
        <v>155.86271999999997</v>
      </c>
      <c r="FG65" s="13">
        <f t="shared" si="47"/>
        <v>39.907922284180763</v>
      </c>
      <c r="FH65" s="20">
        <f t="shared" si="22"/>
        <v>340.96720197828142</v>
      </c>
      <c r="FI65" s="59">
        <f t="shared" si="23"/>
        <v>627.48618262940477</v>
      </c>
      <c r="FJ65" s="59">
        <f ca="1">AVERAGE(OFFSET($FI$3,0,0,'Données projet'!$E$16+1,1))-AVERAGE(OFFSET($H$3,0,0,'Données projet'!$E$16+1,1))</f>
        <v>334.01098870576732</v>
      </c>
      <c r="FK65" s="59">
        <f t="shared" si="48"/>
        <v>171.1802153303471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7.015821273142242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7.015821273142242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4.4000000000000004</v>
      </c>
      <c r="FZ65" s="12">
        <f>IF('Données projet'!$A$244&gt;35,FZ64+FY65-GH64,IF(A65&lt;'Données projet'!$A$244,$FW$205^A65,IF(A65='Données projet'!$A$244,'Données projet'!$B$244,FZ64+FY65-GH64)))</f>
        <v>241.79999999999984</v>
      </c>
      <c r="GA65" s="17">
        <f>FZ65*VLOOKUP('Données projet'!$B$17,Paramètres!$A$1:$I$89,3,0)*VLOOKUP('Données projet'!$B$17,Paramètres!$A$1:$I$89,5,0)</f>
        <v>211.23647999999989</v>
      </c>
      <c r="GB65" s="13">
        <f t="shared" si="49"/>
        <v>52.205695296687686</v>
      </c>
      <c r="GC65" s="20">
        <f t="shared" si="25"/>
        <v>458.82845530839751</v>
      </c>
      <c r="GD65" s="59">
        <f t="shared" si="26"/>
        <v>745.34743595952079</v>
      </c>
      <c r="GE65" s="59">
        <f ca="1">AVERAGE(OFFSET($GD$3,0,0,'Données projet'!$E$17+1,1))-AVERAGE(OFFSET($H$3,0,0,'Données projet'!$E$17+1,1))</f>
        <v>330.12856974146598</v>
      </c>
      <c r="GF65" s="59">
        <f t="shared" si="50"/>
        <v>321.23368446552286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16.406673658440209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16.406673658440209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68.141540177579088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7.2</v>
      </c>
      <c r="GU65" s="12">
        <f>IF('Données projet'!$A$270&gt;35,GU64+GT65-HC64,IF(A65&lt;'Données projet'!$A$270,$GR$205^A65,IF(A65='Données projet'!$A$270,'Données projet'!$B$270,GU64+GT65-HC64)))</f>
        <v>207.39999999999995</v>
      </c>
      <c r="GV65" s="17">
        <f>GU65*VLOOKUP('Données projet'!$B$18,Paramètres!$A$1:$I$89,3,0)*VLOOKUP('Données projet'!$B$18,Paramètres!$A$1:$I$89,5,0)</f>
        <v>139.12391999999997</v>
      </c>
      <c r="GW65" s="13">
        <f t="shared" si="51"/>
        <v>36.096234604679047</v>
      </c>
      <c r="GX65" s="20">
        <f t="shared" si="28"/>
        <v>305.17510260314924</v>
      </c>
      <c r="GY65" s="59">
        <f t="shared" si="29"/>
        <v>591.69408325427253</v>
      </c>
      <c r="GZ65" s="59">
        <f ca="1">AVERAGE(OFFSET($GY$3,0,0,'Données projet'!$E$18+1,1))-AVERAGE(OFFSET($H$3,0,0,'Données projet'!$E$18+1,1))</f>
        <v>296.67751292332753</v>
      </c>
      <c r="HA65" s="59">
        <f t="shared" si="52"/>
        <v>197.99510031603018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9.5275055202018706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9.5275055202018706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1.1000000000000001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4.0333333333333341</v>
      </c>
      <c r="H66" s="67">
        <f t="shared" si="1"/>
        <v>240.5333333333333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245.56271999999993</v>
      </c>
      <c r="P66" s="13">
        <f t="shared" si="33"/>
        <v>59.634776048276898</v>
      </c>
      <c r="Q66" s="20">
        <f t="shared" si="53"/>
        <v>531.55230561741553</v>
      </c>
      <c r="R66" s="59">
        <f t="shared" si="0"/>
        <v>818.18950005296483</v>
      </c>
      <c r="S66" s="59">
        <f ca="1">AVERAGE(OFFSET($R$3,0,0,'Données projet'!$E$9+1,1))-AVERAGE(OFFSET($H$3,0,0,'Données projet'!$E$9+1,1))</f>
        <v>461.20962581398715</v>
      </c>
      <c r="T66" s="59">
        <f t="shared" si="34"/>
        <v>348.44322874953923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271.39999999999992</v>
      </c>
      <c r="AJ66" s="13">
        <f>AI66*VLOOKUP('Données projet'!$B$10,Paramètres!$A$1:$I$89,3,0)*VLOOKUP('Données projet'!$B$10,Paramètres!$A$1:$I$89,5,0)</f>
        <v>275.19959999999998</v>
      </c>
      <c r="AK66" s="13">
        <f t="shared" si="35"/>
        <v>65.951527620662617</v>
      </c>
      <c r="AL66" s="20">
        <f t="shared" si="4"/>
        <v>594.17154727265404</v>
      </c>
      <c r="AM66" s="59">
        <f t="shared" si="5"/>
        <v>880.80874170820334</v>
      </c>
      <c r="AN66" s="59">
        <f ca="1">AVERAGE(OFFSET($AM$3,0,0,'Données projet'!$E$10+1,1))-AVERAGE(OFFSET($H$3,0,0,'Données projet'!$E$10+1,1))</f>
        <v>510.86584023875525</v>
      </c>
      <c r="AO66" s="59">
        <f t="shared" si="36"/>
        <v>384.62921487244125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15.274062934090376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15.274062934090376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5.6843418860808015E-14</v>
      </c>
      <c r="BE66" s="13">
        <f>BD66*VLOOKUP('Données projet'!$B$11,Paramètres!$A$1:$I$89,3,0)*VLOOKUP('Données projet'!$B$11,Paramètres!$A$1:$I$89,5,0)</f>
        <v>4.1677594708744434E-14</v>
      </c>
      <c r="BF66" s="13">
        <f t="shared" si="37"/>
        <v>6.9326303456159188E-13</v>
      </c>
      <c r="BG66" s="20">
        <f t="shared" si="7"/>
        <v>1.2800215959791691E-12</v>
      </c>
      <c r="BH66" s="59">
        <f t="shared" si="8"/>
        <v>286.63719443555067</v>
      </c>
      <c r="BI66" s="59">
        <f ca="1">AVERAGE(OFFSET($BH$3,0,0,'Données projet'!$E$11+1,1))-AVERAGE(OFFSET($H$3,0,0,'Données projet'!$E$11+1,1))</f>
        <v>201.7253431547006</v>
      </c>
      <c r="BJ66" s="59">
        <f t="shared" si="38"/>
        <v>229.70004720044096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45.472942322857371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45.472942322857371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15.2</v>
      </c>
      <c r="BY66" s="12">
        <f>IF('Données projet'!$A$114&gt;35,BY65+BX66-CG65,IF(A66&lt;'Données projet'!$A$114,$BV$205^A66,IF(A66='Données projet'!$A$114,'Données projet'!$B$114,BY65+BX66-CG65)))</f>
        <v>577.6</v>
      </c>
      <c r="BZ66" s="13">
        <f>BY66*VLOOKUP('Données projet'!$B$12,Paramètres!$A$1:$I$89,3,0)*VLOOKUP('Données projet'!$B$12,Paramètres!$A$1:$I$89,5,0)</f>
        <v>322.8784</v>
      </c>
      <c r="CA66" s="13">
        <f t="shared" si="39"/>
        <v>75.951948272659848</v>
      </c>
      <c r="CB66" s="20">
        <f t="shared" si="10"/>
        <v>694.62952324154924</v>
      </c>
      <c r="CC66" s="59">
        <f t="shared" si="11"/>
        <v>981.26671767709854</v>
      </c>
      <c r="CD66" s="59">
        <f ca="1">AVERAGE(OFFSET($CC$3,0,0,'Données projet'!$E$12+1,1))-AVERAGE(OFFSET($H$3,0,0,'Données projet'!$E$12+1,1))</f>
        <v>462.09240749760784</v>
      </c>
      <c r="CE66" s="59">
        <f t="shared" si="40"/>
        <v>403.52202223463337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83.691846942550768</v>
      </c>
      <c r="CL66" s="21">
        <f>EXP(-LN(2)/25)*CL65+(1-EXP(-LN(2)/25))/(LN(2)/25)*Calculateur!CG66*Calculateur!CI66*VLOOKUP('Données projet'!$B$12,Paramètres!$A$1:$I$89,3,0)*0.475*44/12</f>
        <v>25.263507329632034</v>
      </c>
      <c r="CM66" s="21">
        <f>EXP(-LN(2)/2)*CM65+(1-EXP(-LN(2)/2))/(LN(2)/2)*CG66*CJ66*VLOOKUP('Données projet'!$B$12,Paramètres!$A$1:$I$89,3,0)*0.475*44/12</f>
        <v>0.80522953056380409</v>
      </c>
      <c r="CN66" s="22">
        <f t="shared" si="12"/>
        <v>109.76058380274661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12</v>
      </c>
      <c r="CT66" s="12">
        <f>IF('Données projet'!$A$140&gt;35,CT65+CS66-DB65,IF(A66&lt;'Données projet'!$A$140,$CQ$205^A66,IF(A66='Données projet'!$A$140,'Données projet'!$B$140,CT65+CS66-DB65)))</f>
        <v>466</v>
      </c>
      <c r="CU66" s="17">
        <f>CT66*VLOOKUP('Données projet'!$B$13,Paramètres!$A$1:$I$89,3,0)*VLOOKUP('Données projet'!$B$13,Paramètres!$A$1:$I$89,5,0)</f>
        <v>218.08799999999999</v>
      </c>
      <c r="CV66" s="13">
        <f t="shared" si="41"/>
        <v>53.699111087780629</v>
      </c>
      <c r="CW66" s="20">
        <f t="shared" si="13"/>
        <v>473.36255181121783</v>
      </c>
      <c r="CX66" s="59">
        <f t="shared" si="14"/>
        <v>759.99974624676724</v>
      </c>
      <c r="CY66" s="59">
        <f ca="1">AVERAGE(OFFSET($CX$3,0,0,'Données projet'!$E$13+1,1))-AVERAGE(OFFSET($H$3,0,0,'Données projet'!$E$13+1,1))</f>
        <v>319.88925869887464</v>
      </c>
      <c r="CZ66" s="59">
        <f t="shared" si="42"/>
        <v>258.2857172412098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16.738495308138603</v>
      </c>
      <c r="DG66" s="21">
        <f>EXP(-LN(2)/25)*DG65+(1-EXP(-LN(2)/25))/(LN(2)/25)*Calculateur!DB66*Calculateur!DD66*VLOOKUP('Données projet'!$B$13,Paramètres!$A$1:$I$89,3,0)*0.475*44/12</f>
        <v>16.420285102102252</v>
      </c>
      <c r="DH66" s="21">
        <f>EXP(-LN(2)/2)*DH65+(1-EXP(-LN(2)/2))/(LN(2)/2)*DB66*DE66*VLOOKUP('Données projet'!$B$13,Paramètres!$A$1:$I$89,3,0)*0.475*44/12</f>
        <v>1.7276611851721921</v>
      </c>
      <c r="DI66" s="22">
        <f t="shared" si="15"/>
        <v>34.886441595413046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15.515714285714287</v>
      </c>
      <c r="DO66" s="12">
        <f>IF('Données projet'!$A$166&gt;35,DO65+DN66-DW65,IF(A66&lt;'Données projet'!$A$166,$DL$205^A66,IF(A66='Données projet'!$A$166,'Données projet'!$B$166,DO65+DN66-DW65)))</f>
        <v>583.81285714285707</v>
      </c>
      <c r="DP66" s="17">
        <f>DO66*VLOOKUP('Données projet'!$B$14,Paramètres!$A$1:$I$89,3,0)*VLOOKUP('Données projet'!$B$14,Paramètres!$A$1:$I$89,5,0)</f>
        <v>349.12008857142854</v>
      </c>
      <c r="DQ66" s="13">
        <f t="shared" si="43"/>
        <v>81.381301801660527</v>
      </c>
      <c r="DR66" s="20">
        <f t="shared" si="16"/>
        <v>749.78992156646348</v>
      </c>
      <c r="DS66" s="59">
        <f t="shared" si="17"/>
        <v>1036.4271160020128</v>
      </c>
      <c r="DT66" s="59">
        <f ca="1">AVERAGE(OFFSET($DS$3,0,0,'Données projet'!$E$14+1,1))-AVERAGE(OFFSET($H$3,0,0,'Données projet'!$E$14+1,1))</f>
        <v>443.64905827069435</v>
      </c>
      <c r="DU66" s="59">
        <f t="shared" si="44"/>
        <v>381.14782516862385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32.404922479552141</v>
      </c>
      <c r="EB66" s="21">
        <f>EXP(-LN(2)/25)*EB65+(1-EXP(-LN(2)/25))/(LN(2)/25)*Calculateur!DW66*Calculateur!DY66*VLOOKUP('Données projet'!$B$14,Paramètres!$A$1:$I$89,3,0)*0.475*44/12</f>
        <v>21.692752024902369</v>
      </c>
      <c r="EC66" s="21">
        <f>EXP(-LN(2)/2)*EC65+(1-EXP(-LN(2)/2))/(LN(2)/2)*DW66*DZ66*VLOOKUP('Données projet'!$B$14,Paramètres!$A$1:$I$89,3,0)*0.475*44/12</f>
        <v>0.87603567322691722</v>
      </c>
      <c r="ED66" s="22">
        <f t="shared" si="18"/>
        <v>54.973710177681426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-3.4106051316484809E-13</v>
      </c>
      <c r="EK66" s="17">
        <f>EJ66*VLOOKUP('Données projet'!$B$15,Paramètres!$A$1:$I$89,3,0)*VLOOKUP('Données projet'!$B$15,Paramètres!$A$1:$I$89,5,0)</f>
        <v>-3.0859155231155454E-13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504.37890861635196</v>
      </c>
      <c r="EP66" s="59">
        <f t="shared" si="46"/>
        <v>611.82129317522913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65.89627632628671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65.89627632628671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5.4</v>
      </c>
      <c r="FE66" s="12">
        <f>IF('Données projet'!$A$218&gt;35,FE65+FD66-FM65,IF(A66&lt;'Données projet'!$A$218,$FB$205^A66,IF(A66='Données projet'!$A$218,'Données projet'!$B$218,FE65+FD66-FM65)))</f>
        <v>150.19999999999999</v>
      </c>
      <c r="FF66" s="17">
        <f>FE66*VLOOKUP('Données projet'!$B$16,Paramètres!$A$1:$I$89,3,0)*VLOOKUP('Données projet'!$B$16,Paramètres!$A$1:$I$89,5,0)</f>
        <v>161.67527999999999</v>
      </c>
      <c r="FG66" s="13">
        <f t="shared" si="47"/>
        <v>41.22015011524379</v>
      </c>
      <c r="FH66" s="20">
        <f t="shared" si="22"/>
        <v>353.37620745071621</v>
      </c>
      <c r="FI66" s="59">
        <f t="shared" si="23"/>
        <v>640.01340188626557</v>
      </c>
      <c r="FJ66" s="59">
        <f ca="1">AVERAGE(OFFSET($FI$3,0,0,'Données projet'!$E$16+1,1))-AVERAGE(OFFSET($H$3,0,0,'Données projet'!$E$16+1,1))</f>
        <v>334.01098870576732</v>
      </c>
      <c r="FK66" s="59">
        <f t="shared" si="48"/>
        <v>171.1802153303471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6.8782452972043604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6.8782452972043604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4.4000000000000004</v>
      </c>
      <c r="FZ66" s="12">
        <f>IF('Données projet'!$A$244&gt;35,FZ65+FY66-GH65,IF(A66&lt;'Données projet'!$A$244,$FW$205^A66,IF(A66='Données projet'!$A$244,'Données projet'!$B$244,FZ65+FY66-GH65)))</f>
        <v>246.19999999999985</v>
      </c>
      <c r="GA66" s="17">
        <f>FZ66*VLOOKUP('Données projet'!$B$17,Paramètres!$A$1:$I$89,3,0)*VLOOKUP('Données projet'!$B$17,Paramètres!$A$1:$I$89,5,0)</f>
        <v>215.08031999999989</v>
      </c>
      <c r="GB66" s="13">
        <f t="shared" si="49"/>
        <v>53.044214230061456</v>
      </c>
      <c r="GC66" s="20">
        <f t="shared" si="25"/>
        <v>466.98356378402349</v>
      </c>
      <c r="GD66" s="59">
        <f t="shared" si="26"/>
        <v>753.62075821957285</v>
      </c>
      <c r="GE66" s="59">
        <f ca="1">AVERAGE(OFFSET($GD$3,0,0,'Données projet'!$E$17+1,1))-AVERAGE(OFFSET($H$3,0,0,'Données projet'!$E$17+1,1))</f>
        <v>330.12856974146598</v>
      </c>
      <c r="GF66" s="59">
        <f t="shared" si="50"/>
        <v>321.23368446552286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16.084948795081011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16.084948795081011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68.173780300604363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7.2</v>
      </c>
      <c r="GU66" s="12">
        <f>IF('Données projet'!$A$270&gt;35,GU65+GT66-HC65,IF(A66&lt;'Données projet'!$A$270,$GR$205^A66,IF(A66='Données projet'!$A$270,'Données projet'!$B$270,GU65+GT66-HC65)))</f>
        <v>214.59999999999994</v>
      </c>
      <c r="GV66" s="17">
        <f>GU66*VLOOKUP('Données projet'!$B$18,Paramètres!$A$1:$I$89,3,0)*VLOOKUP('Données projet'!$B$18,Paramètres!$A$1:$I$89,5,0)</f>
        <v>143.95367999999996</v>
      </c>
      <c r="GW66" s="13">
        <f t="shared" si="51"/>
        <v>37.20126481543732</v>
      </c>
      <c r="GX66" s="20">
        <f t="shared" si="28"/>
        <v>315.51152888688659</v>
      </c>
      <c r="GY66" s="59">
        <f t="shared" si="29"/>
        <v>602.1487233224359</v>
      </c>
      <c r="GZ66" s="59">
        <f ca="1">AVERAGE(OFFSET($GY$3,0,0,'Données projet'!$E$18+1,1))-AVERAGE(OFFSET($H$3,0,0,'Données projet'!$E$18+1,1))</f>
        <v>296.67751292332753</v>
      </c>
      <c r="HA66" s="59">
        <f t="shared" si="52"/>
        <v>197.99510031603018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9.3406769481552701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9.3406769481552701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1.1000000000000001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4.0333333333333341</v>
      </c>
      <c r="H67" s="67">
        <f t="shared" si="1"/>
        <v>240.5333333333333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253.52495999999996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835.14340977402071</v>
      </c>
      <c r="S67" s="59">
        <f ca="1">AVERAGE(OFFSET($R$3,0,0,'Données projet'!$E$9+1,1))-AVERAGE(OFFSET($H$3,0,0,'Données projet'!$E$9+1,1))</f>
        <v>461.20962581398715</v>
      </c>
      <c r="T67" s="59">
        <f t="shared" si="34"/>
        <v>348.44322874953923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280.19999999999993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9">
        <f t="shared" si="5"/>
        <v>899.75093651410521</v>
      </c>
      <c r="AN67" s="59">
        <f ca="1">AVERAGE(OFFSET($AM$3,0,0,'Données projet'!$E$10+1,1))-AVERAGE(OFFSET($H$3,0,0,'Données projet'!$E$10+1,1))</f>
        <v>510.86584023875525</v>
      </c>
      <c r="AO67" s="59">
        <f t="shared" si="36"/>
        <v>384.62921487244125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14.974547876211348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14.974547876211348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5.6843418860808015E-14</v>
      </c>
      <c r="BE67" s="13">
        <f>BD67*VLOOKUP('Données projet'!$B$11,Paramètres!$A$1:$I$89,3,0)*VLOOKUP('Données projet'!$B$11,Paramètres!$A$1:$I$89,5,0)</f>
        <v>4.1677594708744434E-14</v>
      </c>
      <c r="BF67" s="13">
        <f t="shared" si="37"/>
        <v>6.9326303456159188E-13</v>
      </c>
      <c r="BG67" s="20">
        <f t="shared" si="7"/>
        <v>1.2800215959791691E-12</v>
      </c>
      <c r="BH67" s="59">
        <f t="shared" si="8"/>
        <v>286.75335747510337</v>
      </c>
      <c r="BI67" s="59">
        <f ca="1">AVERAGE(OFFSET($BH$3,0,0,'Données projet'!$E$11+1,1))-AVERAGE(OFFSET($H$3,0,0,'Données projet'!$E$11+1,1))</f>
        <v>201.7253431547006</v>
      </c>
      <c r="BJ67" s="59">
        <f t="shared" si="38"/>
        <v>229.70004720044096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44.581245659662279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44.581245659662279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15.2</v>
      </c>
      <c r="BY67" s="12">
        <f>IF('Données projet'!$A$114&gt;35,BY66+BX67-CG66,IF(A67&lt;'Données projet'!$A$114,$BV$205^A67,IF(A67='Données projet'!$A$114,'Données projet'!$B$114,BY66+BX67-CG66)))</f>
        <v>592.80000000000007</v>
      </c>
      <c r="BZ67" s="13">
        <f>BY67*VLOOKUP('Données projet'!$B$12,Paramètres!$A$1:$I$89,3,0)*VLOOKUP('Données projet'!$B$12,Paramètres!$A$1:$I$89,5,0)</f>
        <v>331.37520000000006</v>
      </c>
      <c r="CA67" s="13">
        <f t="shared" si="39"/>
        <v>77.715352174616896</v>
      </c>
      <c r="CB67" s="20">
        <f t="shared" si="10"/>
        <v>712.49937837079108</v>
      </c>
      <c r="CC67" s="59">
        <f t="shared" si="11"/>
        <v>999.25273584589308</v>
      </c>
      <c r="CD67" s="59">
        <f ca="1">AVERAGE(OFFSET($CC$3,0,0,'Données projet'!$E$12+1,1))-AVERAGE(OFFSET($H$3,0,0,'Données projet'!$E$12+1,1))</f>
        <v>462.09240749760784</v>
      </c>
      <c r="CE67" s="59">
        <f t="shared" si="40"/>
        <v>403.52202223463337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82.050700870993509</v>
      </c>
      <c r="CL67" s="21">
        <f>EXP(-LN(2)/25)*CL66+(1-EXP(-LN(2)/25))/(LN(2)/25)*Calculateur!CG67*Calculateur!CI67*VLOOKUP('Données projet'!$B$12,Paramètres!$A$1:$I$89,3,0)*0.475*44/12</f>
        <v>24.572675393153137</v>
      </c>
      <c r="CM67" s="21">
        <f>EXP(-LN(2)/2)*CM66+(1-EXP(-LN(2)/2))/(LN(2)/2)*CG67*CJ67*VLOOKUP('Données projet'!$B$12,Paramètres!$A$1:$I$89,3,0)*0.475*44/12</f>
        <v>0.56938326147332619</v>
      </c>
      <c r="CN67" s="22">
        <f t="shared" si="12"/>
        <v>107.19275952561996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12</v>
      </c>
      <c r="CT67" s="12">
        <f>IF('Données projet'!$A$140&gt;35,CT66+CS67-DB66,IF(A67&lt;'Données projet'!$A$140,$CQ$205^A67,IF(A67='Données projet'!$A$140,'Données projet'!$B$140,CT66+CS67-DB66)))</f>
        <v>478</v>
      </c>
      <c r="CU67" s="17">
        <f>CT67*VLOOKUP('Données projet'!$B$13,Paramètres!$A$1:$I$89,3,0)*VLOOKUP('Données projet'!$B$13,Paramètres!$A$1:$I$89,5,0)</f>
        <v>223.70399999999998</v>
      </c>
      <c r="CV67" s="13">
        <f t="shared" si="41"/>
        <v>54.919147873047578</v>
      </c>
      <c r="CW67" s="20">
        <f t="shared" si="13"/>
        <v>485.26864921222455</v>
      </c>
      <c r="CX67" s="59">
        <f t="shared" si="14"/>
        <v>772.02200668732667</v>
      </c>
      <c r="CY67" s="59">
        <f ca="1">AVERAGE(OFFSET($CX$3,0,0,'Données projet'!$E$13+1,1))-AVERAGE(OFFSET($H$3,0,0,'Données projet'!$E$13+1,1))</f>
        <v>319.88925869887464</v>
      </c>
      <c r="CZ67" s="59">
        <f t="shared" si="42"/>
        <v>258.2857172412098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16.41026362462004</v>
      </c>
      <c r="DG67" s="21">
        <f>EXP(-LN(2)/25)*DG66+(1-EXP(-LN(2)/25))/(LN(2)/25)*Calculateur!DB67*Calculateur!DD67*VLOOKUP('Données projet'!$B$13,Paramètres!$A$1:$I$89,3,0)*0.475*44/12</f>
        <v>15.971271542480002</v>
      </c>
      <c r="DH67" s="21">
        <f>EXP(-LN(2)/2)*DH66+(1-EXP(-LN(2)/2))/(LN(2)/2)*DB67*DE67*VLOOKUP('Données projet'!$B$13,Paramètres!$A$1:$I$89,3,0)*0.475*44/12</f>
        <v>1.2216409396280448</v>
      </c>
      <c r="DI67" s="22">
        <f t="shared" si="15"/>
        <v>33.603176106728085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15.515714285714287</v>
      </c>
      <c r="DO67" s="12">
        <f>IF('Données projet'!$A$166&gt;35,DO66+DN67-DW66,IF(A67&lt;'Données projet'!$A$166,$DL$205^A67,IF(A67='Données projet'!$A$166,'Données projet'!$B$166,DO66+DN67-DW66)))</f>
        <v>599.32857142857131</v>
      </c>
      <c r="DP67" s="17">
        <f>DO67*VLOOKUP('Données projet'!$B$14,Paramètres!$A$1:$I$89,3,0)*VLOOKUP('Données projet'!$B$14,Paramètres!$A$1:$I$89,5,0)</f>
        <v>358.3984857142857</v>
      </c>
      <c r="DQ67" s="13">
        <f t="shared" si="43"/>
        <v>83.289452865023264</v>
      </c>
      <c r="DR67" s="20">
        <f t="shared" si="16"/>
        <v>769.2731596922963</v>
      </c>
      <c r="DS67" s="59">
        <f t="shared" si="17"/>
        <v>1056.0265171673984</v>
      </c>
      <c r="DT67" s="59">
        <f ca="1">AVERAGE(OFFSET($DS$3,0,0,'Données projet'!$E$14+1,1))-AVERAGE(OFFSET($H$3,0,0,'Données projet'!$E$14+1,1))</f>
        <v>443.64905827069435</v>
      </c>
      <c r="DU67" s="59">
        <f t="shared" si="44"/>
        <v>381.14782516862385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31.7694817147792</v>
      </c>
      <c r="EB67" s="21">
        <f>EXP(-LN(2)/25)*EB66+(1-EXP(-LN(2)/25))/(LN(2)/25)*Calculateur!DW67*Calculateur!DY67*VLOOKUP('Données projet'!$B$14,Paramètres!$A$1:$I$89,3,0)*0.475*44/12</f>
        <v>21.099562580009163</v>
      </c>
      <c r="EC67" s="21">
        <f>EXP(-LN(2)/2)*EC66+(1-EXP(-LN(2)/2))/(LN(2)/2)*DW67*DZ67*VLOOKUP('Données projet'!$B$14,Paramètres!$A$1:$I$89,3,0)*0.475*44/12</f>
        <v>0.61945076510007568</v>
      </c>
      <c r="ED67" s="22">
        <f t="shared" si="18"/>
        <v>53.488495059888443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-3.4106051316484809E-13</v>
      </c>
      <c r="EK67" s="17">
        <f>EJ67*VLOOKUP('Données projet'!$B$15,Paramètres!$A$1:$I$89,3,0)*VLOOKUP('Données projet'!$B$15,Paramètres!$A$1:$I$89,5,0)</f>
        <v>-3.0859155231155454E-13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504.37890861635196</v>
      </c>
      <c r="EP67" s="59">
        <f t="shared" si="46"/>
        <v>611.82129317522913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64.604090540288084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64.604090540288084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5.4</v>
      </c>
      <c r="FE67" s="12">
        <f>IF('Données projet'!$A$218&gt;35,FE66+FD67-FM66,IF(A67&lt;'Données projet'!$A$218,$FB$205^A67,IF(A67='Données projet'!$A$218,'Données projet'!$B$218,FE66+FD67-FM66)))</f>
        <v>155.6</v>
      </c>
      <c r="FF67" s="17">
        <f>FE67*VLOOKUP('Données projet'!$B$16,Paramètres!$A$1:$I$89,3,0)*VLOOKUP('Données projet'!$B$16,Paramètres!$A$1:$I$89,5,0)</f>
        <v>167.48783999999998</v>
      </c>
      <c r="FG67" s="13">
        <f t="shared" si="47"/>
        <v>42.526896735757454</v>
      </c>
      <c r="FH67" s="20">
        <f t="shared" si="22"/>
        <v>365.77566648144415</v>
      </c>
      <c r="FI67" s="59">
        <f t="shared" si="23"/>
        <v>652.52902395654621</v>
      </c>
      <c r="FJ67" s="59">
        <f ca="1">AVERAGE(OFFSET($FI$3,0,0,'Données projet'!$E$16+1,1))-AVERAGE(OFFSET($H$3,0,0,'Données projet'!$E$16+1,1))</f>
        <v>334.01098870576732</v>
      </c>
      <c r="FK67" s="59">
        <f t="shared" si="48"/>
        <v>171.1802153303471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6.7433671022415611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6.7433671022415611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4.4000000000000004</v>
      </c>
      <c r="FZ67" s="12">
        <f>IF('Données projet'!$A$244&gt;35,FZ66+FY67-GH66,IF(A67&lt;'Données projet'!$A$244,$FW$205^A67,IF(A67='Données projet'!$A$244,'Données projet'!$B$244,FZ66+FY67-GH66)))</f>
        <v>250.59999999999985</v>
      </c>
      <c r="GA67" s="17">
        <f>FZ67*VLOOKUP('Données projet'!$B$17,Paramètres!$A$1:$I$89,3,0)*VLOOKUP('Données projet'!$B$17,Paramètres!$A$1:$I$89,5,0)</f>
        <v>218.92415999999989</v>
      </c>
      <c r="GB67" s="13">
        <f t="shared" si="49"/>
        <v>53.880990541091087</v>
      </c>
      <c r="GC67" s="20">
        <f t="shared" si="25"/>
        <v>475.13563719240005</v>
      </c>
      <c r="GD67" s="59">
        <f t="shared" si="26"/>
        <v>761.88899466750217</v>
      </c>
      <c r="GE67" s="59">
        <f ca="1">AVERAGE(OFFSET($GD$3,0,0,'Données projet'!$E$17+1,1))-AVERAGE(OFFSET($H$3,0,0,'Données projet'!$E$17+1,1))</f>
        <v>330.12856974146598</v>
      </c>
      <c r="GF67" s="59">
        <f t="shared" si="50"/>
        <v>321.23368446552286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15.769532760059496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15.769532760059496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68.20546112957328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7.2</v>
      </c>
      <c r="GU67" s="12">
        <f>IF('Données projet'!$A$270&gt;35,GU66+GT67-HC66,IF(A67&lt;'Données projet'!$A$270,$GR$205^A67,IF(A67='Données projet'!$A$270,'Données projet'!$B$270,GU66+GT67-HC66)))</f>
        <v>221.79999999999993</v>
      </c>
      <c r="GV67" s="17">
        <f>GU67*VLOOKUP('Données projet'!$B$18,Paramètres!$A$1:$I$89,3,0)*VLOOKUP('Données projet'!$B$18,Paramètres!$A$1:$I$89,5,0)</f>
        <v>148.78343999999996</v>
      </c>
      <c r="GW67" s="13">
        <f t="shared" si="51"/>
        <v>38.301987100118879</v>
      </c>
      <c r="GX67" s="20">
        <f t="shared" si="28"/>
        <v>325.8404521993736</v>
      </c>
      <c r="GY67" s="59">
        <f t="shared" si="29"/>
        <v>612.59380967447566</v>
      </c>
      <c r="GZ67" s="59">
        <f ca="1">AVERAGE(OFFSET($GY$3,0,0,'Données projet'!$E$18+1,1))-AVERAGE(OFFSET($H$3,0,0,'Données projet'!$E$18+1,1))</f>
        <v>296.67751292332753</v>
      </c>
      <c r="HA67" s="59">
        <f t="shared" si="52"/>
        <v>197.99510031603018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9.157511970452326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9.157511970452326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1.1000000000000001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4.0333333333333341</v>
      </c>
      <c r="H68" s="67">
        <f t="shared" ref="H68:H131" si="56">(B68+E68+F68)*44/12+(C68+D68)*0.475*44/12</f>
        <v>240.5333333333333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261.48719999999992</v>
      </c>
      <c r="P68" s="13">
        <f t="shared" si="33"/>
        <v>63.039283586802391</v>
      </c>
      <c r="Q68" s="20">
        <f t="shared" si="54"/>
        <v>565.21695891368074</v>
      </c>
      <c r="R68" s="59">
        <f t="shared" si="55"/>
        <v>852.08446425930083</v>
      </c>
      <c r="S68" s="59">
        <f ca="1">AVERAGE(OFFSET($R$3,0,0,'Données projet'!$E$9+1,1))-AVERAGE(OFFSET($H$3,0,0,'Données projet'!$E$9+1,1))</f>
        <v>461.20962581398715</v>
      </c>
      <c r="T68" s="59">
        <f t="shared" si="34"/>
        <v>348.44322874953923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288.99999999999994</v>
      </c>
      <c r="AJ68" s="13">
        <f>AI68*VLOOKUP('Données projet'!$B$10,Paramètres!$A$1:$I$89,3,0)*VLOOKUP('Données projet'!$B$10,Paramètres!$A$1:$I$89,5,0)</f>
        <v>293.04599999999994</v>
      </c>
      <c r="AK68" s="13">
        <f t="shared" si="35"/>
        <v>69.716654076072615</v>
      </c>
      <c r="AL68" s="20">
        <f t="shared" ref="AL68:AL131" si="58">(AJ68+AK68)*0.475*44/12</f>
        <v>631.81162251582634</v>
      </c>
      <c r="AM68" s="59">
        <f t="shared" ref="AM68:AM131" si="59">AL68+(AD68+AE68)*44/12</f>
        <v>918.67912786144643</v>
      </c>
      <c r="AN68" s="59">
        <f ca="1">AVERAGE(OFFSET($AM$3,0,0,'Données projet'!$E$10+1,1))-AVERAGE(OFFSET($H$3,0,0,'Données projet'!$E$10+1,1))</f>
        <v>510.86584023875525</v>
      </c>
      <c r="AO68" s="59">
        <f t="shared" si="36"/>
        <v>384.62921487244125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20.0793867086315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20.0793867086315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5.6843418860808015E-14</v>
      </c>
      <c r="BE68" s="13">
        <f>BD68*VLOOKUP('Données projet'!$B$11,Paramètres!$A$1:$I$89,3,0)*VLOOKUP('Données projet'!$B$11,Paramètres!$A$1:$I$89,5,0)</f>
        <v>4.1677594708744434E-14</v>
      </c>
      <c r="BF68" s="13">
        <f t="shared" si="37"/>
        <v>6.9326303456159188E-13</v>
      </c>
      <c r="BG68" s="20">
        <f t="shared" ref="BG68:BG131" si="61">(BE68+BF68)*0.475*44/12</f>
        <v>1.2800215959791691E-12</v>
      </c>
      <c r="BH68" s="59">
        <f t="shared" ref="BH68:BH131" si="62">BG68+(AY68+AZ68)*44/12</f>
        <v>286.86750534562145</v>
      </c>
      <c r="BI68" s="59">
        <f ca="1">AVERAGE(OFFSET($BH$3,0,0,'Données projet'!$E$11+1,1))-AVERAGE(OFFSET($H$3,0,0,'Données projet'!$E$11+1,1))</f>
        <v>201.7253431547006</v>
      </c>
      <c r="BJ68" s="59">
        <f t="shared" si="38"/>
        <v>229.70004720044096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43.707034624151177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43.707034624151177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608</v>
      </c>
      <c r="BW68" s="12">
        <f>VLOOKUP(A68,'Données projet'!$A$113:$I$133,9,0)</f>
        <v>15.2</v>
      </c>
      <c r="BX68" s="12">
        <f t="array" ref="BX68">INDEX(BW:BW,MIN(IF(ISNUMBER(BW68:BW264),ROW(BW68:BW264),"")))</f>
        <v>15.2</v>
      </c>
      <c r="BY68" s="12">
        <f>IF('Données projet'!$A$114&gt;35,BY67+BX68-CG67,IF(A68&lt;'Données projet'!$A$114,$BV$205^A68,IF(A68='Données projet'!$A$114,'Données projet'!$B$114,BY67+BX68-CG67)))</f>
        <v>608.00000000000011</v>
      </c>
      <c r="BZ68" s="13">
        <f>BY68*VLOOKUP('Données projet'!$B$12,Paramètres!$A$1:$I$89,3,0)*VLOOKUP('Données projet'!$B$12,Paramètres!$A$1:$I$89,5,0)</f>
        <v>339.87200000000007</v>
      </c>
      <c r="CA68" s="13">
        <f t="shared" si="39"/>
        <v>79.473500231862857</v>
      </c>
      <c r="CB68" s="20">
        <f t="shared" ref="CB68:CB131" si="64">(BZ68+CA68)*0.475*44/12</f>
        <v>730.36007957049458</v>
      </c>
      <c r="CC68" s="59">
        <f t="shared" ref="CC68:CC131" si="65">CB68+(BT68+BU68)*44/12</f>
        <v>1017.2275849161147</v>
      </c>
      <c r="CD68" s="59">
        <f ca="1">AVERAGE(OFFSET($CC$3,0,0,'Données projet'!$E$12+1,1))-AVERAGE(OFFSET($H$3,0,0,'Données projet'!$E$12+1,1))</f>
        <v>462.09240749760784</v>
      </c>
      <c r="CE68" s="59">
        <f t="shared" si="40"/>
        <v>403.52202223463337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39</v>
      </c>
      <c r="CH68" s="16">
        <f>IF(ISNA(VLOOKUP(A68,'Données projet'!$A$113:$I$133,5,0)),0%,VLOOKUP(A68,'Données projet'!$A$113:$I$133,5,0)*VLOOKUP('Données projet'!$B$12,Paramètres!$A$1:$I$89,7,0))</f>
        <v>0.49500000000000005</v>
      </c>
      <c r="CI68" s="16">
        <f>IF(ISNA(VLOOKUP(A68,'Données projet'!$A$113:$I$133,6,0)),0%,VLOOKUP(A68,'Données projet'!$A$113:$I$133,6,0)*VLOOKUP('Données projet'!$B$12,Paramètres!$A$1:$I$89,7,0))</f>
        <v>3.3000000000000002E-2</v>
      </c>
      <c r="CJ68" s="16">
        <f>IF(ISNA(VLOOKUP(A68,'Données projet'!$A$113:$I$133,7,0)),0%,VLOOKUP(A68,'Données projet'!$A$113:$I$133,7,0))</f>
        <v>0.04</v>
      </c>
      <c r="CK68" s="21">
        <f>EXP(-LN(2)/35)*CK67+(1-EXP(-LN(2)/35))/(LN(2)/35)*CG68*CH68*VLOOKUP('Données projet'!$B$12,Paramètres!$A$1:$I$89,3,0)*0.475*44/12</f>
        <v>94.757350360952742</v>
      </c>
      <c r="CL68" s="21">
        <f>EXP(-LN(2)/25)*CL67+(1-EXP(-LN(2)/25))/(LN(2)/25)*Calculateur!CG68*Calculateur!CI68*VLOOKUP('Données projet'!$B$12,Paramètres!$A$1:$I$89,3,0)*0.475*44/12</f>
        <v>24.851350803125673</v>
      </c>
      <c r="CM68" s="21">
        <f>EXP(-LN(2)/2)*CM67+(1-EXP(-LN(2)/2))/(LN(2)/2)*CG68*CJ68*VLOOKUP('Données projet'!$B$12,Paramètres!$A$1:$I$89,3,0)*0.475*44/12</f>
        <v>1.3899666180168815</v>
      </c>
      <c r="CN68" s="22">
        <f t="shared" ref="CN68:CN131" si="66">SUM(CK68:CM68)</f>
        <v>120.9986677820953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12</v>
      </c>
      <c r="CT68" s="12">
        <f>IF('Données projet'!$A$140&gt;35,CT67+CS68-DB67,IF(A68&lt;'Données projet'!$A$140,$CQ$205^A68,IF(A68='Données projet'!$A$140,'Données projet'!$B$140,CT67+CS68-DB67)))</f>
        <v>490</v>
      </c>
      <c r="CU68" s="17">
        <f>CT68*VLOOKUP('Données projet'!$B$13,Paramètres!$A$1:$I$89,3,0)*VLOOKUP('Données projet'!$B$13,Paramètres!$A$1:$I$89,5,0)</f>
        <v>229.32000000000002</v>
      </c>
      <c r="CV68" s="13">
        <f t="shared" si="41"/>
        <v>56.135624305144624</v>
      </c>
      <c r="CW68" s="20">
        <f t="shared" ref="CW68:CW131" si="67">(CU68+CV68)*0.475*44/12</f>
        <v>497.16854566479356</v>
      </c>
      <c r="CX68" s="59">
        <f t="shared" ref="CX68:CX131" si="68">CW68+(CO68+CP68)*44/12</f>
        <v>784.03605101041376</v>
      </c>
      <c r="CY68" s="59">
        <f ca="1">AVERAGE(OFFSET($CX$3,0,0,'Données projet'!$E$13+1,1))-AVERAGE(OFFSET($H$3,0,0,'Données projet'!$E$13+1,1))</f>
        <v>319.88925869887464</v>
      </c>
      <c r="CZ68" s="59">
        <f t="shared" si="42"/>
        <v>258.2857172412098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16.088468364213718</v>
      </c>
      <c r="DG68" s="21">
        <f>EXP(-LN(2)/25)*DG67+(1-EXP(-LN(2)/25))/(LN(2)/25)*Calculateur!DB68*Calculateur!DD68*VLOOKUP('Données projet'!$B$13,Paramètres!$A$1:$I$89,3,0)*0.475*44/12</f>
        <v>15.53453628225822</v>
      </c>
      <c r="DH68" s="21">
        <f>EXP(-LN(2)/2)*DH67+(1-EXP(-LN(2)/2))/(LN(2)/2)*DB68*DE68*VLOOKUP('Données projet'!$B$13,Paramètres!$A$1:$I$89,3,0)*0.475*44/12</f>
        <v>0.86383059258609618</v>
      </c>
      <c r="DI68" s="22">
        <f t="shared" ref="DI68:DI131" si="69">SUM(DF68:DH68)</f>
        <v>32.486835239058031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15.515714285714287</v>
      </c>
      <c r="DO68" s="12">
        <f>IF('Données projet'!$A$166&gt;35,DO67+DN68-DW67,IF(A68&lt;'Données projet'!$A$166,$DL$205^A68,IF(A68='Données projet'!$A$166,'Données projet'!$B$166,DO67+DN68-DW67)))</f>
        <v>614.84428571428555</v>
      </c>
      <c r="DP68" s="17">
        <f>DO68*VLOOKUP('Données projet'!$B$14,Paramètres!$A$1:$I$89,3,0)*VLOOKUP('Données projet'!$B$14,Paramètres!$A$1:$I$89,5,0)</f>
        <v>367.6768828571428</v>
      </c>
      <c r="DQ68" s="13">
        <f t="shared" si="43"/>
        <v>85.191861843570578</v>
      </c>
      <c r="DR68" s="20">
        <f t="shared" ref="DR68:DR131" si="70">(DP68+DQ68)*0.475*44/12</f>
        <v>788.74639702040906</v>
      </c>
      <c r="DS68" s="59">
        <f t="shared" ref="DS68:DS131" si="71">DR68+(DJ68+DK68)*44/12</f>
        <v>1075.6139023660292</v>
      </c>
      <c r="DT68" s="59">
        <f ca="1">AVERAGE(OFFSET($DS$3,0,0,'Données projet'!$E$14+1,1))-AVERAGE(OFFSET($H$3,0,0,'Données projet'!$E$14+1,1))</f>
        <v>443.64905827069435</v>
      </c>
      <c r="DU68" s="59">
        <f t="shared" si="44"/>
        <v>381.14782516862385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31.146501555822859</v>
      </c>
      <c r="EB68" s="21">
        <f>EXP(-LN(2)/25)*EB67+(1-EXP(-LN(2)/25))/(LN(2)/25)*Calculateur!DW68*Calculateur!DY68*VLOOKUP('Données projet'!$B$14,Paramètres!$A$1:$I$89,3,0)*0.475*44/12</f>
        <v>20.52259393168104</v>
      </c>
      <c r="EC68" s="21">
        <f>EXP(-LN(2)/2)*EC67+(1-EXP(-LN(2)/2))/(LN(2)/2)*DW68*DZ68*VLOOKUP('Données projet'!$B$14,Paramètres!$A$1:$I$89,3,0)*0.475*44/12</f>
        <v>0.43801783661345872</v>
      </c>
      <c r="ED68" s="22">
        <f t="shared" ref="ED68:ED131" si="72">SUM(EA68:EC68)</f>
        <v>52.107113324117357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-3.4106051316484809E-13</v>
      </c>
      <c r="EK68" s="17">
        <f>EJ68*VLOOKUP('Données projet'!$B$15,Paramètres!$A$1:$I$89,3,0)*VLOOKUP('Données projet'!$B$15,Paramètres!$A$1:$I$89,5,0)</f>
        <v>-3.0859155231155454E-13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504.37890861635196</v>
      </c>
      <c r="EP68" s="59">
        <f t="shared" si="46"/>
        <v>611.82129317522913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63.337243729397386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63.337243729397386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161</v>
      </c>
      <c r="FC68" s="12">
        <f>VLOOKUP(A68,'Données projet'!$A$217:$I$237,9,0)</f>
        <v>5.4</v>
      </c>
      <c r="FD68" s="12">
        <f t="array" ref="FD68">INDEX(FC:FC,MIN(IF(ISNUMBER(FC68:FC264),ROW(FC68:FC264),"")))</f>
        <v>5.4</v>
      </c>
      <c r="FE68" s="12">
        <f>IF('Données projet'!$A$218&gt;35,FE67+FD68-FM67,IF(A68&lt;'Données projet'!$A$218,$FB$205^A68,IF(A68='Données projet'!$A$218,'Données projet'!$B$218,FE67+FD68-FM67)))</f>
        <v>161</v>
      </c>
      <c r="FF68" s="17">
        <f>FE68*VLOOKUP('Données projet'!$B$16,Paramètres!$A$1:$I$89,3,0)*VLOOKUP('Données projet'!$B$16,Paramètres!$A$1:$I$89,5,0)</f>
        <v>173.3004</v>
      </c>
      <c r="FG68" s="13">
        <f t="shared" si="47"/>
        <v>43.82837416766705</v>
      </c>
      <c r="FH68" s="20">
        <f t="shared" ref="FH68:FH131" si="76">(FF68+FG68)*0.475*44/12</f>
        <v>378.1659483420201</v>
      </c>
      <c r="FI68" s="59">
        <f t="shared" ref="FI68:FI131" si="77">FH68+(EZ68+FA68)*44/12</f>
        <v>665.0334536876403</v>
      </c>
      <c r="FJ68" s="59">
        <f ca="1">AVERAGE(OFFSET($FI$3,0,0,'Données projet'!$E$16+1,1))-AVERAGE(OFFSET($H$3,0,0,'Données projet'!$E$16+1,1))</f>
        <v>334.01098870576732</v>
      </c>
      <c r="FK68" s="59">
        <f t="shared" si="48"/>
        <v>171.1802153303471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14</v>
      </c>
      <c r="FN68" s="16">
        <f>IF(ISNA(VLOOKUP(A68,'Données projet'!$A$217:$I$237,5,0)),0%,VLOOKUP(A68,'Données projet'!$A$217:$I$237,5,0)*VLOOKUP('Données projet'!$B$16,Paramètres!$A$1:$I$89,7,0))</f>
        <v>0.17200000000000001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9.4764811726168841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9.4764811726168841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255</v>
      </c>
      <c r="FX68" s="12">
        <f>VLOOKUP(A68,'Données projet'!$A$243:$I$263,9,0)</f>
        <v>4.4000000000000004</v>
      </c>
      <c r="FY68" s="12">
        <f t="array" ref="FY68">INDEX(FX:FX,MIN(IF(ISNUMBER(FX68:FX264),ROW(FX68:FX264),"")))</f>
        <v>4.4000000000000004</v>
      </c>
      <c r="FZ68" s="12">
        <f>IF('Données projet'!$A$244&gt;35,FZ67+FY68-GH67,IF(A68&lt;'Données projet'!$A$244,$FW$205^A68,IF(A68='Données projet'!$A$244,'Données projet'!$B$244,FZ67+FY68-GH67)))</f>
        <v>254.99999999999986</v>
      </c>
      <c r="GA68" s="17">
        <f>FZ68*VLOOKUP('Données projet'!$B$17,Paramètres!$A$1:$I$89,3,0)*VLOOKUP('Données projet'!$B$17,Paramètres!$A$1:$I$89,5,0)</f>
        <v>222.76799999999989</v>
      </c>
      <c r="GB68" s="13">
        <f t="shared" si="49"/>
        <v>54.716058356609459</v>
      </c>
      <c r="GC68" s="20">
        <f t="shared" ref="GC68:GC131" si="79">(GA68+GB68)*0.475*44/12</f>
        <v>483.28473497109462</v>
      </c>
      <c r="GD68" s="59">
        <f t="shared" ref="GD68:GD131" si="80">GC68+(FU68+FV68)*44/12</f>
        <v>770.15224031671482</v>
      </c>
      <c r="GE68" s="59">
        <f ca="1">AVERAGE(OFFSET($GD$3,0,0,'Données projet'!$E$17+1,1))-AVERAGE(OFFSET($H$3,0,0,'Données projet'!$E$17+1,1))</f>
        <v>330.12856974146598</v>
      </c>
      <c r="GF68" s="59">
        <f t="shared" si="50"/>
        <v>321.23368446552286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11</v>
      </c>
      <c r="GI68" s="16">
        <f>IF(ISNA(VLOOKUP(A68,'Données projet'!$A$243:$I$263,5,0)),0%,VLOOKUP(A68,'Données projet'!$A$243:$I$263,5,0)*VLOOKUP('Données projet'!$B$17,Paramètres!$A$1:$I$89,7,0))</f>
        <v>0.26500000000000001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18.275430803277324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18.275430803277324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68.23659236698731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229</v>
      </c>
      <c r="GS68" s="12">
        <f>VLOOKUP(A68,'Données projet'!$A$269:$I$289,9,0)</f>
        <v>7.2</v>
      </c>
      <c r="GT68" s="12">
        <f t="array" ref="GT68">INDEX(GS:GS,MIN(IF(ISNUMBER(GS68:GS264),ROW(GS68:GS264),"")))</f>
        <v>7.2</v>
      </c>
      <c r="GU68" s="12">
        <f>IF('Données projet'!$A$270&gt;35,GU67+GT68-HC67,IF(A68&lt;'Données projet'!$A$270,$GR$205^A68,IF(A68='Données projet'!$A$270,'Données projet'!$B$270,GU67+GT68-HC67)))</f>
        <v>228.99999999999991</v>
      </c>
      <c r="GV68" s="17">
        <f>GU68*VLOOKUP('Données projet'!$B$18,Paramètres!$A$1:$I$89,3,0)*VLOOKUP('Données projet'!$B$18,Paramètres!$A$1:$I$89,5,0)</f>
        <v>153.61319999999995</v>
      </c>
      <c r="GW68" s="13">
        <f t="shared" si="51"/>
        <v>39.398557339898318</v>
      </c>
      <c r="GX68" s="20">
        <f t="shared" ref="GX68:GX131" si="82">(GV68+GW68)*0.475*44/12</f>
        <v>336.16214403365615</v>
      </c>
      <c r="GY68" s="59">
        <f t="shared" ref="GY68:GY131" si="83">GX68+(GP68+GQ68)*44/12</f>
        <v>623.02964937927629</v>
      </c>
      <c r="GZ68" s="59">
        <f ca="1">AVERAGE(OFFSET($GY$3,0,0,'Données projet'!$E$18+1,1))-AVERAGE(OFFSET($H$3,0,0,'Données projet'!$E$18+1,1))</f>
        <v>296.67751292332753</v>
      </c>
      <c r="HA68" s="59">
        <f t="shared" si="52"/>
        <v>197.99510031603018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21</v>
      </c>
      <c r="HD68" s="16">
        <f>IF(ISNA(VLOOKUP(A68,'Données projet'!$A$269:$I$289,5,0)),0%,VLOOKUP(A68,'Données projet'!$A$269:$I$289,5,0)*VLOOKUP('Données projet'!$B$18,Paramètres!$A$1:$I$89,7,0))</f>
        <v>0.21200000000000002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12.279317256432343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12.279317256432343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1.1000000000000001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4.0333333333333341</v>
      </c>
      <c r="H69" s="67">
        <f t="shared" si="56"/>
        <v>240.5333333333333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243.57215999999991</v>
      </c>
      <c r="P69" s="13">
        <f t="shared" ref="P69:P132" si="87">EXP(-1.0587+0.8836*LN(O69)+0.284)</f>
        <v>59.207435995642292</v>
      </c>
      <c r="Q69" s="20">
        <f t="shared" si="54"/>
        <v>527.34112969241005</v>
      </c>
      <c r="R69" s="59">
        <f t="shared" si="55"/>
        <v>814.32080269819119</v>
      </c>
      <c r="S69" s="59">
        <f ca="1">AVERAGE(OFFSET($R$3,0,0,'Données projet'!$E$9+1,1))-AVERAGE(OFFSET($H$3,0,0,'Données projet'!$E$9+1,1))</f>
        <v>461.20962581398715</v>
      </c>
      <c r="T69" s="59">
        <f t="shared" ref="T69:T132" si="88">$T$3</f>
        <v>348.44322874953923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269.19999999999993</v>
      </c>
      <c r="AJ69" s="13">
        <f>AI69*VLOOKUP('Données projet'!$B$10,Paramètres!$A$1:$I$89,3,0)*VLOOKUP('Données projet'!$B$10,Paramètres!$A$1:$I$89,5,0)</f>
        <v>272.96879999999993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876.4427888534824</v>
      </c>
      <c r="AN69" s="59">
        <f ca="1">AVERAGE(OFFSET($AM$3,0,0,'Données projet'!$E$10+1,1))-AVERAGE(OFFSET($H$3,0,0,'Données projet'!$E$10+1,1))</f>
        <v>510.86584023875525</v>
      </c>
      <c r="AO69" s="59">
        <f t="shared" ref="AO69:AO132" si="90">$AO$3</f>
        <v>384.62921487244125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19.685642182491815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19.685642182491815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5.6843418860808015E-14</v>
      </c>
      <c r="BE69" s="13">
        <f>BD69*VLOOKUP('Données projet'!$B$11,Paramètres!$A$1:$I$89,3,0)*VLOOKUP('Données projet'!$B$11,Paramètres!$A$1:$I$89,5,0)</f>
        <v>4.1677594708744434E-14</v>
      </c>
      <c r="BF69" s="13">
        <f t="shared" ref="BF69:BF132" si="91">EXP(-1.0587+0.8836*LN(BE69)+0.284)</f>
        <v>6.9326303456159188E-13</v>
      </c>
      <c r="BG69" s="20">
        <f t="shared" si="61"/>
        <v>1.2800215959791691E-12</v>
      </c>
      <c r="BH69" s="59">
        <f t="shared" si="62"/>
        <v>286.97967300578244</v>
      </c>
      <c r="BI69" s="59">
        <f ca="1">AVERAGE(OFFSET($BH$3,0,0,'Données projet'!$E$11+1,1))-AVERAGE(OFFSET($H$3,0,0,'Données projet'!$E$11+1,1))</f>
        <v>201.7253431547006</v>
      </c>
      <c r="BJ69" s="59">
        <f t="shared" ref="BJ69:BJ132" si="92">$BJ$3</f>
        <v>229.70004720044096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42.849966333830366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42.849966333830366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13.8</v>
      </c>
      <c r="BY69" s="12">
        <f>IF('Données projet'!$A$114&gt;35,BY68+BX69-CG68,IF(A69&lt;'Données projet'!$A$114,$BV$205^A69,IF(A69='Données projet'!$A$114,'Données projet'!$B$114,BY68+BX69-CG68)))</f>
        <v>582.80000000000007</v>
      </c>
      <c r="BZ69" s="13">
        <f>BY69*VLOOKUP('Données projet'!$B$12,Paramètres!$A$1:$I$89,3,0)*VLOOKUP('Données projet'!$B$12,Paramètres!$A$1:$I$89,5,0)</f>
        <v>325.78520000000003</v>
      </c>
      <c r="CA69" s="13">
        <f t="shared" ref="CA69:CA132" si="93">EXP(-1.0587+0.8836*LN(BZ69)+0.284)</f>
        <v>76.555818934975974</v>
      </c>
      <c r="CB69" s="20">
        <f t="shared" si="64"/>
        <v>700.74394131174984</v>
      </c>
      <c r="CC69" s="59">
        <f t="shared" si="65"/>
        <v>987.72361431753097</v>
      </c>
      <c r="CD69" s="59">
        <f ca="1">AVERAGE(OFFSET($CC$3,0,0,'Données projet'!$E$12+1,1))-AVERAGE(OFFSET($H$3,0,0,'Données projet'!$E$12+1,1))</f>
        <v>462.09240749760784</v>
      </c>
      <c r="CE69" s="59">
        <f t="shared" ref="CE69:CE132" si="94">$CE$3</f>
        <v>403.52202223463337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92.899216516651265</v>
      </c>
      <c r="CL69" s="21">
        <f>EXP(-LN(2)/25)*CL68+(1-EXP(-LN(2)/25))/(LN(2)/25)*Calculateur!CG69*Calculateur!CI69*VLOOKUP('Données projet'!$B$12,Paramètres!$A$1:$I$89,3,0)*0.475*44/12</f>
        <v>24.171789308538461</v>
      </c>
      <c r="CM69" s="21">
        <f>EXP(-LN(2)/2)*CM68+(1-EXP(-LN(2)/2))/(LN(2)/2)*CG69*CJ69*VLOOKUP('Données projet'!$B$12,Paramètres!$A$1:$I$89,3,0)*0.475*44/12</f>
        <v>0.98285482122266854</v>
      </c>
      <c r="CN69" s="22">
        <f t="shared" si="66"/>
        <v>118.0538606464124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12</v>
      </c>
      <c r="CT69" s="12">
        <f>IF('Données projet'!$A$140&gt;35,CT68+CS69-DB68,IF(A69&lt;'Données projet'!$A$140,$CQ$205^A69,IF(A69='Données projet'!$A$140,'Données projet'!$B$140,CT68+CS69-DB68)))</f>
        <v>502</v>
      </c>
      <c r="CU69" s="17">
        <f>CT69*VLOOKUP('Données projet'!$B$13,Paramètres!$A$1:$I$89,3,0)*VLOOKUP('Données projet'!$B$13,Paramètres!$A$1:$I$89,5,0)</f>
        <v>234.93600000000001</v>
      </c>
      <c r="CV69" s="13">
        <f t="shared" ref="CV69:CV132" si="95">EXP(-1.0587+0.8836*LN(CU69)+0.284)</f>
        <v>57.34863760662617</v>
      </c>
      <c r="CW69" s="20">
        <f t="shared" si="67"/>
        <v>509.06241049820727</v>
      </c>
      <c r="CX69" s="59">
        <f t="shared" si="68"/>
        <v>796.04208350398835</v>
      </c>
      <c r="CY69" s="59">
        <f ca="1">AVERAGE(OFFSET($CX$3,0,0,'Données projet'!$E$13+1,1))-AVERAGE(OFFSET($H$3,0,0,'Données projet'!$E$13+1,1))</f>
        <v>319.88925869887464</v>
      </c>
      <c r="CZ69" s="59">
        <f t="shared" ref="CZ69:CZ132" si="96">$CZ$3</f>
        <v>258.2857172412098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15.772983312588236</v>
      </c>
      <c r="DG69" s="21">
        <f>EXP(-LN(2)/25)*DG68+(1-EXP(-LN(2)/25))/(LN(2)/25)*Calculateur!DB69*Calculateur!DD69*VLOOKUP('Données projet'!$B$13,Paramètres!$A$1:$I$89,3,0)*0.475*44/12</f>
        <v>15.109743570694111</v>
      </c>
      <c r="DH69" s="21">
        <f>EXP(-LN(2)/2)*DH68+(1-EXP(-LN(2)/2))/(LN(2)/2)*DB69*DE69*VLOOKUP('Données projet'!$B$13,Paramètres!$A$1:$I$89,3,0)*0.475*44/12</f>
        <v>0.61082046981402238</v>
      </c>
      <c r="DI69" s="22">
        <f t="shared" si="69"/>
        <v>31.493547353096368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630.36</v>
      </c>
      <c r="DM69" s="12">
        <f>VLOOKUP(A69,'Données projet'!$A$165:$I$185,9,0)</f>
        <v>15.515714285714287</v>
      </c>
      <c r="DN69" s="12">
        <f t="array" ref="DN69">INDEX(DM:DM,MIN(IF(ISNUMBER(DM69:DM265),ROW(DM69:DM265),"")))</f>
        <v>15.515714285714287</v>
      </c>
      <c r="DO69" s="12">
        <f>IF('Données projet'!$A$166&gt;35,DO68+DN69-DW68,IF(A69&lt;'Données projet'!$A$166,$DL$205^A69,IF(A69='Données projet'!$A$166,'Données projet'!$B$166,DO68+DN69-DW68)))</f>
        <v>630.35999999999979</v>
      </c>
      <c r="DP69" s="17">
        <f>DO69*VLOOKUP('Données projet'!$B$14,Paramètres!$A$1:$I$89,3,0)*VLOOKUP('Données projet'!$B$14,Paramètres!$A$1:$I$89,5,0)</f>
        <v>376.95527999999996</v>
      </c>
      <c r="DQ69" s="13">
        <f t="shared" ref="DQ69:DQ132" si="97">EXP(-1.0587+0.8836*LN(DP69)+0.284)</f>
        <v>87.088690303924849</v>
      </c>
      <c r="DR69" s="20">
        <f t="shared" si="70"/>
        <v>808.20991494600241</v>
      </c>
      <c r="DS69" s="59">
        <f t="shared" si="71"/>
        <v>1095.1895879517836</v>
      </c>
      <c r="DT69" s="59">
        <f ca="1">AVERAGE(OFFSET($DS$3,0,0,'Données projet'!$E$14+1,1))-AVERAGE(OFFSET($H$3,0,0,'Données projet'!$E$14+1,1))</f>
        <v>443.64905827069435</v>
      </c>
      <c r="DU69" s="59">
        <f t="shared" ref="DU69:DU132" si="98">$DU$3</f>
        <v>381.14782516862385</v>
      </c>
      <c r="DV69" s="15">
        <f>IF(ISNA(VLOOKUP(A69,'Données projet'!$A$165:$I$185,3,0)),0,VLOOKUP(A69,'Données projet'!$A$165:$I$185,3,0))</f>
        <v>13</v>
      </c>
      <c r="DW69" s="15">
        <f>IF(ISNA(VLOOKUP(A69,'Données projet'!$A$165:$I$185,4,0)),0,VLOOKUP(A69,'Données projet'!$A$165:$I$185,4,0))</f>
        <v>87</v>
      </c>
      <c r="DX69" s="16">
        <f>IF(ISNA(VLOOKUP(A69,'Données projet'!$A$165:$I$185,5,0)),0%,VLOOKUP(A69,'Données projet'!$A$165:$I$185,5,0)*VLOOKUP('Données projet'!$B$14,Paramètres!$A$1:$I$89,7,0))</f>
        <v>0.27</v>
      </c>
      <c r="DY69" s="16">
        <f>IF(ISNA(VLOOKUP(A69,'Données projet'!$A$165:$I$185,6,0)),0%,VLOOKUP(A69,'Données projet'!$A$165:$I$185,6,0)*VLOOKUP('Données projet'!$B$14,Paramètres!$A$1:$I$89,7,0))</f>
        <v>9.9000000000000005E-2</v>
      </c>
      <c r="DZ69" s="16">
        <f>IF(ISNA(VLOOKUP(A69,'Données projet'!$A$165:$I$185,7,0)),0%,VLOOKUP(A69,'Données projet'!$A$165:$I$185,7,0))</f>
        <v>0.18</v>
      </c>
      <c r="EA69" s="21">
        <f>EXP(-LN(2)/35)*EA68+(1-EXP(-LN(2)/35))/(LN(2)/35)*DW69*DX69*VLOOKUP('Données projet'!$B$14,Paramètres!$A$1:$I$89,3,0)*0.475*44/12</f>
        <v>49.170015094651603</v>
      </c>
      <c r="EB69" s="21">
        <f>EXP(-LN(2)/25)*EB68+(1-EXP(-LN(2)/25))/(LN(2)/25)*Calculateur!DW69*Calculateur!DY69*VLOOKUP('Données projet'!$B$14,Paramètres!$A$1:$I$89,3,0)*0.475*44/12</f>
        <v>26.767068489716053</v>
      </c>
      <c r="EC69" s="21">
        <f>EXP(-LN(2)/2)*EC68+(1-EXP(-LN(2)/2))/(LN(2)/2)*DW69*DZ69*VLOOKUP('Données projet'!$B$14,Paramètres!$A$1:$I$89,3,0)*0.475*44/12</f>
        <v>10.912718534550182</v>
      </c>
      <c r="ED69" s="22">
        <f t="shared" si="72"/>
        <v>86.849802118917836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-3.4106051316484809E-13</v>
      </c>
      <c r="EK69" s="17">
        <f>EJ69*VLOOKUP('Données projet'!$B$15,Paramètres!$A$1:$I$89,3,0)*VLOOKUP('Données projet'!$B$15,Paramètres!$A$1:$I$89,5,0)</f>
        <v>-3.0859155231155454E-13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504.37890861635196</v>
      </c>
      <c r="EP69" s="59">
        <f t="shared" ref="EP69:EP132" si="100">$EP$3</f>
        <v>611.82129317522913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62.095239011767994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62.095239011767994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</v>
      </c>
      <c r="FE69" s="12">
        <f>IF('Données projet'!$A$218&gt;35,FE68+FD69-FM68,IF(A69&lt;'Données projet'!$A$218,$FB$205^A69,IF(A69='Données projet'!$A$218,'Données projet'!$B$218,FE68+FD69-FM68)))</f>
        <v>152</v>
      </c>
      <c r="FF69" s="17">
        <f>FE69*VLOOKUP('Données projet'!$B$16,Paramètres!$A$1:$I$89,3,0)*VLOOKUP('Données projet'!$B$16,Paramètres!$A$1:$I$89,5,0)</f>
        <v>163.61279999999999</v>
      </c>
      <c r="FG69" s="13">
        <f t="shared" ref="FG69:FG132" si="101">EXP(-1.0587+0.8836*LN(FF69)+0.284)</f>
        <v>41.656330547871804</v>
      </c>
      <c r="FH69" s="20">
        <f t="shared" si="76"/>
        <v>357.51040237087665</v>
      </c>
      <c r="FI69" s="59">
        <f t="shared" si="77"/>
        <v>644.49007537665784</v>
      </c>
      <c r="FJ69" s="59">
        <f ca="1">AVERAGE(OFFSET($FI$3,0,0,'Données projet'!$E$16+1,1))-AVERAGE(OFFSET($H$3,0,0,'Données projet'!$E$16+1,1))</f>
        <v>334.01098870576732</v>
      </c>
      <c r="FK69" s="59">
        <f t="shared" ref="FK69:FK132" si="102">$FK$3</f>
        <v>171.1802153303471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9.2906531569046464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9.2906531569046464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3.8</v>
      </c>
      <c r="FZ69" s="12">
        <f>IF('Données projet'!$A$244&gt;35,FZ68+FY69-GH68,IF(A69&lt;'Données projet'!$A$244,$FW$205^A69,IF(A69='Données projet'!$A$244,'Données projet'!$B$244,FZ68+FY69-GH68)))</f>
        <v>247.79999999999984</v>
      </c>
      <c r="GA69" s="17">
        <f>FZ69*VLOOKUP('Données projet'!$B$17,Paramètres!$A$1:$I$89,3,0)*VLOOKUP('Données projet'!$B$17,Paramètres!$A$1:$I$89,5,0)</f>
        <v>216.47807999999986</v>
      </c>
      <c r="GB69" s="13">
        <f t="shared" ref="GB69:GB132" si="103">EXP(-1.0587+0.8836*LN(GA69)+0.284)</f>
        <v>53.348696328338377</v>
      </c>
      <c r="GC69" s="20">
        <f t="shared" si="79"/>
        <v>469.94830210518904</v>
      </c>
      <c r="GD69" s="59">
        <f t="shared" si="80"/>
        <v>756.92797511097024</v>
      </c>
      <c r="GE69" s="59">
        <f ca="1">AVERAGE(OFFSET($GD$3,0,0,'Données projet'!$E$17+1,1))-AVERAGE(OFFSET($H$3,0,0,'Données projet'!$E$17+1,1))</f>
        <v>330.12856974146598</v>
      </c>
      <c r="GF69" s="59">
        <f t="shared" ref="GF69:GF132" si="104">$GF$3</f>
        <v>321.23368446552286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17.917060752137179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17.917060752137179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68.267183547031223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6.8</v>
      </c>
      <c r="GU69" s="12">
        <f>IF('Données projet'!$A$270&gt;35,GU68+GT69-HC68,IF(A69&lt;'Données projet'!$A$270,$GR$205^A69,IF(A69='Données projet'!$A$270,'Données projet'!$B$270,GU68+GT69-HC68)))</f>
        <v>214.79999999999993</v>
      </c>
      <c r="GV69" s="17">
        <f>GU69*VLOOKUP('Données projet'!$B$18,Paramètres!$A$1:$I$89,3,0)*VLOOKUP('Données projet'!$B$18,Paramètres!$A$1:$I$89,5,0)</f>
        <v>144.08783999999994</v>
      </c>
      <c r="GW69" s="13">
        <f t="shared" ref="GW69:GW132" si="105">EXP(-1.0587+0.8836*LN(GV69)+0.284)</f>
        <v>37.231897858558654</v>
      </c>
      <c r="GX69" s="20">
        <f t="shared" si="82"/>
        <v>315.79854343698958</v>
      </c>
      <c r="GY69" s="59">
        <f t="shared" si="83"/>
        <v>602.77821644277071</v>
      </c>
      <c r="GZ69" s="59">
        <f ca="1">AVERAGE(OFFSET($GY$3,0,0,'Données projet'!$E$18+1,1))-AVERAGE(OFFSET($H$3,0,0,'Données projet'!$E$18+1,1))</f>
        <v>296.67751292332753</v>
      </c>
      <c r="HA69" s="59">
        <f t="shared" ref="HA69:HA132" si="106">$HA$3</f>
        <v>197.99510031603018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12.03852733467769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12.03852733467769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1.1000000000000001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4.0333333333333341</v>
      </c>
      <c r="H70" s="67">
        <f t="shared" si="56"/>
        <v>240.5333333333333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250.99151999999992</v>
      </c>
      <c r="P70" s="13">
        <f t="shared" si="87"/>
        <v>60.798211000769349</v>
      </c>
      <c r="Q70" s="20">
        <f t="shared" si="54"/>
        <v>543.03378149300647</v>
      </c>
      <c r="R70" s="59">
        <f t="shared" si="55"/>
        <v>830.12367630081417</v>
      </c>
      <c r="S70" s="59">
        <f ca="1">AVERAGE(OFFSET($R$3,0,0,'Données projet'!$E$9+1,1))-AVERAGE(OFFSET($H$3,0,0,'Données projet'!$E$9+1,1))</f>
        <v>461.20962581398715</v>
      </c>
      <c r="T70" s="59">
        <f t="shared" si="88"/>
        <v>348.44322874953923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277.39999999999992</v>
      </c>
      <c r="AJ70" s="13">
        <f>AI70*VLOOKUP('Données projet'!$B$10,Paramètres!$A$1:$I$89,3,0)*VLOOKUP('Données projet'!$B$10,Paramètres!$A$1:$I$89,5,0)</f>
        <v>281.28359999999992</v>
      </c>
      <c r="AK70" s="13">
        <f t="shared" si="89"/>
        <v>67.238198209347928</v>
      </c>
      <c r="AL70" s="20">
        <f t="shared" si="58"/>
        <v>607.00879854794744</v>
      </c>
      <c r="AM70" s="59">
        <f t="shared" si="59"/>
        <v>894.09869335575513</v>
      </c>
      <c r="AN70" s="59">
        <f ca="1">AVERAGE(OFFSET($AM$3,0,0,'Données projet'!$E$10+1,1))-AVERAGE(OFFSET($H$3,0,0,'Données projet'!$E$10+1,1))</f>
        <v>510.86584023875525</v>
      </c>
      <c r="AO70" s="59">
        <f t="shared" si="90"/>
        <v>384.62921487244125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19.299618746349285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19.299618746349285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5.6843418860808015E-14</v>
      </c>
      <c r="BE70" s="13">
        <f>BD70*VLOOKUP('Données projet'!$B$11,Paramètres!$A$1:$I$89,3,0)*VLOOKUP('Données projet'!$B$11,Paramètres!$A$1:$I$89,5,0)</f>
        <v>4.1677594708744434E-14</v>
      </c>
      <c r="BF70" s="13">
        <f t="shared" si="91"/>
        <v>6.9326303456159188E-13</v>
      </c>
      <c r="BG70" s="20">
        <f t="shared" si="61"/>
        <v>1.2800215959791691E-12</v>
      </c>
      <c r="BH70" s="59">
        <f t="shared" si="62"/>
        <v>287.08989480780906</v>
      </c>
      <c r="BI70" s="59">
        <f ca="1">AVERAGE(OFFSET($BH$3,0,0,'Données projet'!$E$11+1,1))-AVERAGE(OFFSET($H$3,0,0,'Données projet'!$E$11+1,1))</f>
        <v>201.7253431547006</v>
      </c>
      <c r="BJ70" s="59">
        <f t="shared" si="92"/>
        <v>229.70004720044096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42.009704629922709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42.009704629922709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13.8</v>
      </c>
      <c r="BY70" s="12">
        <f>IF('Données projet'!$A$114&gt;35,BY69+BX70-CG69,IF(A70&lt;'Données projet'!$A$114,$BV$205^A70,IF(A70='Données projet'!$A$114,'Données projet'!$B$114,BY69+BX70-CG69)))</f>
        <v>596.6</v>
      </c>
      <c r="BZ70" s="13">
        <f>BY70*VLOOKUP('Données projet'!$B$12,Paramètres!$A$1:$I$89,3,0)*VLOOKUP('Données projet'!$B$12,Paramètres!$A$1:$I$89,5,0)</f>
        <v>333.49940000000004</v>
      </c>
      <c r="CA70" s="13">
        <f t="shared" si="93"/>
        <v>78.155376066684852</v>
      </c>
      <c r="CB70" s="20">
        <f t="shared" si="64"/>
        <v>716.96540164947612</v>
      </c>
      <c r="CC70" s="59">
        <f t="shared" si="65"/>
        <v>1004.0552964572839</v>
      </c>
      <c r="CD70" s="59">
        <f ca="1">AVERAGE(OFFSET($CC$3,0,0,'Données projet'!$E$12+1,1))-AVERAGE(OFFSET($H$3,0,0,'Données projet'!$E$12+1,1))</f>
        <v>462.09240749760784</v>
      </c>
      <c r="CE70" s="59">
        <f t="shared" si="94"/>
        <v>403.52202223463337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91.077519543686805</v>
      </c>
      <c r="CL70" s="21">
        <f>EXP(-LN(2)/25)*CL69+(1-EXP(-LN(2)/25))/(LN(2)/25)*Calculateur!CG70*Calculateur!CI70*VLOOKUP('Données projet'!$B$12,Paramètres!$A$1:$I$89,3,0)*0.475*44/12</f>
        <v>23.510810458757323</v>
      </c>
      <c r="CM70" s="21">
        <f>EXP(-LN(2)/2)*CM69+(1-EXP(-LN(2)/2))/(LN(2)/2)*CG70*CJ70*VLOOKUP('Données projet'!$B$12,Paramètres!$A$1:$I$89,3,0)*0.475*44/12</f>
        <v>0.69498330900844085</v>
      </c>
      <c r="CN70" s="22">
        <f t="shared" si="66"/>
        <v>115.28331331145256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</v>
      </c>
      <c r="CT70" s="12">
        <f>IF('Données projet'!$A$140&gt;35,CT69+CS70-DB69,IF(A70&lt;'Données projet'!$A$140,$CQ$205^A70,IF(A70='Données projet'!$A$140,'Données projet'!$B$140,CT69+CS70-DB69)))</f>
        <v>514</v>
      </c>
      <c r="CU70" s="17">
        <f>CT70*VLOOKUP('Données projet'!$B$13,Paramètres!$A$1:$I$89,3,0)*VLOOKUP('Données projet'!$B$13,Paramètres!$A$1:$I$89,5,0)</f>
        <v>240.55199999999999</v>
      </c>
      <c r="CV70" s="13">
        <f t="shared" si="95"/>
        <v>58.55828008686521</v>
      </c>
      <c r="CW70" s="20">
        <f t="shared" si="67"/>
        <v>520.9504044846235</v>
      </c>
      <c r="CX70" s="59">
        <f t="shared" si="68"/>
        <v>808.0402992924312</v>
      </c>
      <c r="CY70" s="59">
        <f ca="1">AVERAGE(OFFSET($CX$3,0,0,'Données projet'!$E$13+1,1))-AVERAGE(OFFSET($H$3,0,0,'Données projet'!$E$13+1,1))</f>
        <v>319.88925869887464</v>
      </c>
      <c r="CZ70" s="59">
        <f t="shared" si="96"/>
        <v>258.2857172412098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15.463684730398249</v>
      </c>
      <c r="DG70" s="21">
        <f>EXP(-LN(2)/25)*DG69+(1-EXP(-LN(2)/25))/(LN(2)/25)*Calculateur!DB70*Calculateur!DD70*VLOOKUP('Données projet'!$B$13,Paramètres!$A$1:$I$89,3,0)*0.475*44/12</f>
        <v>14.6965668381666</v>
      </c>
      <c r="DH70" s="21">
        <f>EXP(-LN(2)/2)*DH69+(1-EXP(-LN(2)/2))/(LN(2)/2)*DB70*DE70*VLOOKUP('Données projet'!$B$13,Paramètres!$A$1:$I$89,3,0)*0.475*44/12</f>
        <v>0.43191529629304809</v>
      </c>
      <c r="DI70" s="22">
        <f t="shared" si="69"/>
        <v>30.592166864857898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12.550000000000011</v>
      </c>
      <c r="DO70" s="12">
        <f>IF('Données projet'!$A$166&gt;35,DO69+DN70-DW69,IF(A70&lt;'Données projet'!$A$166,$DL$205^A70,IF(A70='Données projet'!$A$166,'Données projet'!$B$166,DO69+DN70-DW69)))</f>
        <v>555.90999999999985</v>
      </c>
      <c r="DP70" s="17">
        <f>DO70*VLOOKUP('Données projet'!$B$14,Paramètres!$A$1:$I$89,3,0)*VLOOKUP('Données projet'!$B$14,Paramètres!$A$1:$I$89,5,0)</f>
        <v>332.43417999999997</v>
      </c>
      <c r="DQ70" s="13">
        <f t="shared" si="97"/>
        <v>77.934758728161157</v>
      </c>
      <c r="DR70" s="20">
        <f t="shared" si="70"/>
        <v>714.72590161821392</v>
      </c>
      <c r="DS70" s="59">
        <f t="shared" si="71"/>
        <v>1001.8157964260217</v>
      </c>
      <c r="DT70" s="59">
        <f ca="1">AVERAGE(OFFSET($DS$3,0,0,'Données projet'!$E$14+1,1))-AVERAGE(OFFSET($H$3,0,0,'Données projet'!$E$14+1,1))</f>
        <v>443.64905827069435</v>
      </c>
      <c r="DU70" s="59">
        <f t="shared" si="98"/>
        <v>381.14782516862385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48.205821089393353</v>
      </c>
      <c r="EB70" s="21">
        <f>EXP(-LN(2)/25)*EB69+(1-EXP(-LN(2)/25))/(LN(2)/25)*Calculateur!DW70*Calculateur!DY70*VLOOKUP('Données projet'!$B$14,Paramètres!$A$1:$I$89,3,0)*0.475*44/12</f>
        <v>26.035121594245812</v>
      </c>
      <c r="EC70" s="21">
        <f>EXP(-LN(2)/2)*EC69+(1-EXP(-LN(2)/2))/(LN(2)/2)*DW70*DZ70*VLOOKUP('Données projet'!$B$14,Paramètres!$A$1:$I$89,3,0)*0.475*44/12</f>
        <v>7.7164572769605577</v>
      </c>
      <c r="ED70" s="22">
        <f t="shared" si="72"/>
        <v>81.957399960599716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-3.4106051316484809E-13</v>
      </c>
      <c r="EK70" s="17">
        <f>EJ70*VLOOKUP('Données projet'!$B$15,Paramètres!$A$1:$I$89,3,0)*VLOOKUP('Données projet'!$B$15,Paramètres!$A$1:$I$89,5,0)</f>
        <v>-3.0859155231155454E-13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504.37890861635196</v>
      </c>
      <c r="EP70" s="59">
        <f t="shared" si="100"/>
        <v>611.82129317522913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60.877589249103238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60.877589249103238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5</v>
      </c>
      <c r="FE70" s="12">
        <f>IF('Données projet'!$A$218&gt;35,FE69+FD70-FM69,IF(A70&lt;'Données projet'!$A$218,$FB$205^A70,IF(A70='Données projet'!$A$218,'Données projet'!$B$218,FE69+FD70-FM69)))</f>
        <v>157</v>
      </c>
      <c r="FF70" s="17">
        <f>FE70*VLOOKUP('Données projet'!$B$16,Paramètres!$A$1:$I$89,3,0)*VLOOKUP('Données projet'!$B$16,Paramètres!$A$1:$I$89,5,0)</f>
        <v>168.9948</v>
      </c>
      <c r="FG70" s="13">
        <f t="shared" si="101"/>
        <v>42.864814577758281</v>
      </c>
      <c r="FH70" s="20">
        <f t="shared" si="76"/>
        <v>368.98882872292899</v>
      </c>
      <c r="FI70" s="59">
        <f t="shared" si="77"/>
        <v>656.07872353073674</v>
      </c>
      <c r="FJ70" s="59">
        <f ca="1">AVERAGE(OFFSET($FI$3,0,0,'Données projet'!$E$16+1,1))-AVERAGE(OFFSET($H$3,0,0,'Données projet'!$E$16+1,1))</f>
        <v>334.01098870576732</v>
      </c>
      <c r="FK70" s="59">
        <f t="shared" si="102"/>
        <v>171.1802153303471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9.1084691152366286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9.1084691152366286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3.8</v>
      </c>
      <c r="FZ70" s="12">
        <f>IF('Données projet'!$A$244&gt;35,FZ69+FY70-GH69,IF(A70&lt;'Données projet'!$A$244,$FW$205^A70,IF(A70='Données projet'!$A$244,'Données projet'!$B$244,FZ69+FY70-GH69)))</f>
        <v>251.59999999999985</v>
      </c>
      <c r="GA70" s="17">
        <f>FZ70*VLOOKUP('Données projet'!$B$17,Paramètres!$A$1:$I$89,3,0)*VLOOKUP('Données projet'!$B$17,Paramètres!$A$1:$I$89,5,0)</f>
        <v>219.7977599999999</v>
      </c>
      <c r="GB70" s="13">
        <f t="shared" si="103"/>
        <v>54.070927503307338</v>
      </c>
      <c r="GC70" s="20">
        <f t="shared" si="79"/>
        <v>476.98796406826</v>
      </c>
      <c r="GD70" s="59">
        <f t="shared" si="80"/>
        <v>764.07785887606769</v>
      </c>
      <c r="GE70" s="59">
        <f ca="1">AVERAGE(OFFSET($GD$3,0,0,'Données projet'!$E$17+1,1))-AVERAGE(OFFSET($H$3,0,0,'Données projet'!$E$17+1,1))</f>
        <v>330.12856974146598</v>
      </c>
      <c r="GF70" s="59">
        <f t="shared" si="104"/>
        <v>321.23368446552286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17.565718119115743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17.565718119115743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68.29724403849302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6.8</v>
      </c>
      <c r="GU70" s="12">
        <f>IF('Données projet'!$A$270&gt;35,GU69+GT70-HC69,IF(A70&lt;'Données projet'!$A$270,$GR$205^A70,IF(A70='Données projet'!$A$270,'Données projet'!$B$270,GU69+GT70-HC69)))</f>
        <v>221.59999999999994</v>
      </c>
      <c r="GV70" s="17">
        <f>GU70*VLOOKUP('Données projet'!$B$18,Paramètres!$A$1:$I$89,3,0)*VLOOKUP('Données projet'!$B$18,Paramètres!$A$1:$I$89,5,0)</f>
        <v>148.64927999999995</v>
      </c>
      <c r="GW70" s="13">
        <f t="shared" si="105"/>
        <v>38.271468243038449</v>
      </c>
      <c r="GX70" s="20">
        <f t="shared" si="82"/>
        <v>325.55363652329186</v>
      </c>
      <c r="GY70" s="59">
        <f t="shared" si="83"/>
        <v>612.64353133109967</v>
      </c>
      <c r="GZ70" s="59">
        <f ca="1">AVERAGE(OFFSET($GY$3,0,0,'Données projet'!$E$18+1,1))-AVERAGE(OFFSET($H$3,0,0,'Données projet'!$E$18+1,1))</f>
        <v>296.67751292332753</v>
      </c>
      <c r="HA70" s="59">
        <f t="shared" si="106"/>
        <v>197.99510031603018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11.802459156421296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11.802459156421296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1.1000000000000001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4.0333333333333341</v>
      </c>
      <c r="H71" s="67">
        <f t="shared" si="56"/>
        <v>240.5333333333333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258.41087999999991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845.91511961837296</v>
      </c>
      <c r="S71" s="59">
        <f ca="1">AVERAGE(OFFSET($R$3,0,0,'Données projet'!$E$9+1,1))-AVERAGE(OFFSET($H$3,0,0,'Données projet'!$E$9+1,1))</f>
        <v>461.20962581398715</v>
      </c>
      <c r="T71" s="59">
        <f t="shared" si="88"/>
        <v>348.44322874953923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285.59999999999991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9">
        <f t="shared" si="59"/>
        <v>911.74215936931523</v>
      </c>
      <c r="AN71" s="59">
        <f ca="1">AVERAGE(OFFSET($AM$3,0,0,'Données projet'!$E$10+1,1))-AVERAGE(OFFSET($H$3,0,0,'Données projet'!$E$10+1,1))</f>
        <v>510.86584023875525</v>
      </c>
      <c r="AO71" s="59">
        <f t="shared" si="90"/>
        <v>384.62921487244125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18.921164994338461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18.921164994338461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5.6843418860808015E-14</v>
      </c>
      <c r="BE71" s="13">
        <f>BD71*VLOOKUP('Données projet'!$B$11,Paramètres!$A$1:$I$89,3,0)*VLOOKUP('Données projet'!$B$11,Paramètres!$A$1:$I$89,5,0)</f>
        <v>4.1677594708744434E-14</v>
      </c>
      <c r="BF71" s="13">
        <f t="shared" si="91"/>
        <v>6.9326303456159188E-13</v>
      </c>
      <c r="BG71" s="20">
        <f t="shared" si="61"/>
        <v>1.2800215959791691E-12</v>
      </c>
      <c r="BH71" s="59">
        <f t="shared" si="62"/>
        <v>287.19820450798943</v>
      </c>
      <c r="BI71" s="59">
        <f ca="1">AVERAGE(OFFSET($BH$3,0,0,'Données projet'!$E$11+1,1))-AVERAGE(OFFSET($H$3,0,0,'Données projet'!$E$11+1,1))</f>
        <v>201.7253431547006</v>
      </c>
      <c r="BJ71" s="59">
        <f t="shared" si="92"/>
        <v>229.70004720044096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41.18591994551965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41.18591994551965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13.8</v>
      </c>
      <c r="BY71" s="12">
        <f>IF('Données projet'!$A$114&gt;35,BY70+BX71-CG70,IF(A71&lt;'Données projet'!$A$114,$BV$205^A71,IF(A71='Données projet'!$A$114,'Données projet'!$B$114,BY70+BX71-CG70)))</f>
        <v>610.4</v>
      </c>
      <c r="BZ71" s="13">
        <f>BY71*VLOOKUP('Données projet'!$B$12,Paramètres!$A$1:$I$89,3,0)*VLOOKUP('Données projet'!$B$12,Paramètres!$A$1:$I$89,5,0)</f>
        <v>341.21359999999999</v>
      </c>
      <c r="CA71" s="13">
        <f t="shared" si="93"/>
        <v>79.750631846439887</v>
      </c>
      <c r="CB71" s="20">
        <f t="shared" si="64"/>
        <v>733.1793704658827</v>
      </c>
      <c r="CC71" s="59">
        <f t="shared" si="65"/>
        <v>1020.3775749738709</v>
      </c>
      <c r="CD71" s="59">
        <f ca="1">AVERAGE(OFFSET($CC$3,0,0,'Données projet'!$E$12+1,1))-AVERAGE(OFFSET($H$3,0,0,'Données projet'!$E$12+1,1))</f>
        <v>462.09240749760784</v>
      </c>
      <c r="CE71" s="59">
        <f t="shared" si="94"/>
        <v>403.52202223463337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89.291544937236736</v>
      </c>
      <c r="CL71" s="21">
        <f>EXP(-LN(2)/25)*CL70+(1-EXP(-LN(2)/25))/(LN(2)/25)*Calculateur!CG71*Calculateur!CI71*VLOOKUP('Données projet'!$B$12,Paramètres!$A$1:$I$89,3,0)*0.475*44/12</f>
        <v>22.867906110382815</v>
      </c>
      <c r="CM71" s="21">
        <f>EXP(-LN(2)/2)*CM70+(1-EXP(-LN(2)/2))/(LN(2)/2)*CG71*CJ71*VLOOKUP('Données projet'!$B$12,Paramètres!$A$1:$I$89,3,0)*0.475*44/12</f>
        <v>0.49142741061133438</v>
      </c>
      <c r="CN71" s="22">
        <f t="shared" si="66"/>
        <v>112.65087845823089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</v>
      </c>
      <c r="CT71" s="12">
        <f>IF('Données projet'!$A$140&gt;35,CT70+CS71-DB70,IF(A71&lt;'Données projet'!$A$140,$CQ$205^A71,IF(A71='Données projet'!$A$140,'Données projet'!$B$140,CT70+CS71-DB70)))</f>
        <v>526</v>
      </c>
      <c r="CU71" s="17">
        <f>CT71*VLOOKUP('Données projet'!$B$13,Paramètres!$A$1:$I$89,3,0)*VLOOKUP('Données projet'!$B$13,Paramètres!$A$1:$I$89,5,0)</f>
        <v>246.16799999999998</v>
      </c>
      <c r="CV71" s="13">
        <f t="shared" si="95"/>
        <v>59.764639499163827</v>
      </c>
      <c r="CW71" s="20">
        <f t="shared" si="67"/>
        <v>532.83268046104365</v>
      </c>
      <c r="CX71" s="59">
        <f t="shared" si="68"/>
        <v>820.03088496903183</v>
      </c>
      <c r="CY71" s="59">
        <f ca="1">AVERAGE(OFFSET($CX$3,0,0,'Données projet'!$E$13+1,1))-AVERAGE(OFFSET($H$3,0,0,'Données projet'!$E$13+1,1))</f>
        <v>319.88925869887464</v>
      </c>
      <c r="CZ71" s="59">
        <f t="shared" si="96"/>
        <v>258.2857172412098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15.160451304751501</v>
      </c>
      <c r="DG71" s="21">
        <f>EXP(-LN(2)/25)*DG70+(1-EXP(-LN(2)/25))/(LN(2)/25)*Calculateur!DB71*Calculateur!DD71*VLOOKUP('Données projet'!$B$13,Paramètres!$A$1:$I$89,3,0)*0.475*44/12</f>
        <v>14.294688445118073</v>
      </c>
      <c r="DH71" s="21">
        <f>EXP(-LN(2)/2)*DH70+(1-EXP(-LN(2)/2))/(LN(2)/2)*DB71*DE71*VLOOKUP('Données projet'!$B$13,Paramètres!$A$1:$I$89,3,0)*0.475*44/12</f>
        <v>0.30541023490701119</v>
      </c>
      <c r="DI71" s="22">
        <f t="shared" si="69"/>
        <v>29.760549984776585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>
        <f>VLOOKUP(A71,'Données projet'!$A$165:$I$185,2,0)</f>
        <v>568.46</v>
      </c>
      <c r="DM71" s="12">
        <f>VLOOKUP(A71,'Données projet'!$A$165:$I$185,9,0)</f>
        <v>12.550000000000011</v>
      </c>
      <c r="DN71" s="12">
        <f t="array" ref="DN71">INDEX(DM:DM,MIN(IF(ISNUMBER(DM71:DM267),ROW(DM71:DM267),"")))</f>
        <v>12.550000000000011</v>
      </c>
      <c r="DO71" s="12">
        <f>IF('Données projet'!$A$166&gt;35,DO70+DN71-DW70,IF(A71&lt;'Données projet'!$A$166,$DL$205^A71,IF(A71='Données projet'!$A$166,'Données projet'!$B$166,DO70+DN71-DW70)))</f>
        <v>568.45999999999981</v>
      </c>
      <c r="DP71" s="17">
        <f>DO71*VLOOKUP('Données projet'!$B$14,Paramètres!$A$1:$I$89,3,0)*VLOOKUP('Données projet'!$B$14,Paramètres!$A$1:$I$89,5,0)</f>
        <v>339.93907999999993</v>
      </c>
      <c r="DQ71" s="13">
        <f t="shared" si="97"/>
        <v>79.487359832828432</v>
      </c>
      <c r="DR71" s="20">
        <f t="shared" si="70"/>
        <v>730.5010493755093</v>
      </c>
      <c r="DS71" s="59">
        <f t="shared" si="71"/>
        <v>1017.6992538834975</v>
      </c>
      <c r="DT71" s="59">
        <f ca="1">AVERAGE(OFFSET($DS$3,0,0,'Données projet'!$E$14+1,1))-AVERAGE(OFFSET($H$3,0,0,'Données projet'!$E$14+1,1))</f>
        <v>443.64905827069435</v>
      </c>
      <c r="DU71" s="59">
        <f t="shared" si="98"/>
        <v>381.14782516862385</v>
      </c>
      <c r="DV71" s="15">
        <f>IF(ISNA(VLOOKUP(A71,'Données projet'!$A$165:$I$185,3,0)),0,VLOOKUP(A71,'Données projet'!$A$165:$I$185,3,0))</f>
        <v>14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47.260534340477946</v>
      </c>
      <c r="EB71" s="21">
        <f>EXP(-LN(2)/25)*EB70+(1-EXP(-LN(2)/25))/(LN(2)/25)*Calculateur!DW71*Calculateur!DY71*VLOOKUP('Données projet'!$B$14,Paramètres!$A$1:$I$89,3,0)*0.475*44/12</f>
        <v>25.32318982512362</v>
      </c>
      <c r="EC71" s="21">
        <f>EXP(-LN(2)/2)*EC70+(1-EXP(-LN(2)/2))/(LN(2)/2)*DW71*DZ71*VLOOKUP('Données projet'!$B$14,Paramètres!$A$1:$I$89,3,0)*0.475*44/12</f>
        <v>5.4563592672750918</v>
      </c>
      <c r="ED71" s="22">
        <f t="shared" si="72"/>
        <v>78.040083432876656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-3.4106051316484809E-13</v>
      </c>
      <c r="EK71" s="17">
        <f>EJ71*VLOOKUP('Données projet'!$B$15,Paramètres!$A$1:$I$89,3,0)*VLOOKUP('Données projet'!$B$15,Paramètres!$A$1:$I$89,5,0)</f>
        <v>-3.0859155231155454E-13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504.37890861635196</v>
      </c>
      <c r="EP71" s="59">
        <f t="shared" si="100"/>
        <v>611.82129317522913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59.683816855591317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59.683816855591317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</v>
      </c>
      <c r="FE71" s="12">
        <f>IF('Données projet'!$A$218&gt;35,FE70+FD71-FM70,IF(A71&lt;'Données projet'!$A$218,$FB$205^A71,IF(A71='Données projet'!$A$218,'Données projet'!$B$218,FE70+FD71-FM70)))</f>
        <v>162</v>
      </c>
      <c r="FF71" s="17">
        <f>FE71*VLOOKUP('Données projet'!$B$16,Paramètres!$A$1:$I$89,3,0)*VLOOKUP('Données projet'!$B$16,Paramètres!$A$1:$I$89,5,0)</f>
        <v>174.37679999999997</v>
      </c>
      <c r="FG71" s="13">
        <f t="shared" si="101"/>
        <v>44.06882624410639</v>
      </c>
      <c r="FH71" s="20">
        <f t="shared" si="76"/>
        <v>380.45946570848531</v>
      </c>
      <c r="FI71" s="59">
        <f t="shared" si="77"/>
        <v>667.65767021647343</v>
      </c>
      <c r="FJ71" s="59">
        <f ca="1">AVERAGE(OFFSET($FI$3,0,0,'Données projet'!$E$16+1,1))-AVERAGE(OFFSET($H$3,0,0,'Données projet'!$E$16+1,1))</f>
        <v>334.01098870576732</v>
      </c>
      <c r="FK71" s="59">
        <f t="shared" si="102"/>
        <v>171.1802153303471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8.9298575915044278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8.9298575915044278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3.8</v>
      </c>
      <c r="FZ71" s="12">
        <f>IF('Données projet'!$A$244&gt;35,FZ70+FY71-GH70,IF(A71&lt;'Données projet'!$A$244,$FW$205^A71,IF(A71='Données projet'!$A$244,'Données projet'!$B$244,FZ70+FY71-GH70)))</f>
        <v>255.39999999999986</v>
      </c>
      <c r="GA71" s="17">
        <f>FZ71*VLOOKUP('Données projet'!$B$17,Paramètres!$A$1:$I$89,3,0)*VLOOKUP('Données projet'!$B$17,Paramètres!$A$1:$I$89,5,0)</f>
        <v>223.11743999999993</v>
      </c>
      <c r="GB71" s="13">
        <f t="shared" si="103"/>
        <v>54.791890039639448</v>
      </c>
      <c r="GC71" s="20">
        <f t="shared" si="79"/>
        <v>484.02541648570531</v>
      </c>
      <c r="GD71" s="59">
        <f t="shared" si="80"/>
        <v>771.22362099369343</v>
      </c>
      <c r="GE71" s="59">
        <f ca="1">AVERAGE(OFFSET($GD$3,0,0,'Données projet'!$E$17+1,1))-AVERAGE(OFFSET($H$3,0,0,'Données projet'!$E$17+1,1))</f>
        <v>330.12856974146598</v>
      </c>
      <c r="GF71" s="59">
        <f t="shared" si="104"/>
        <v>321.23368446552286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17.221265100830013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17.221265100830013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68.326783047633128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6.8</v>
      </c>
      <c r="GU71" s="12">
        <f>IF('Données projet'!$A$270&gt;35,GU70+GT71-HC70,IF(A71&lt;'Données projet'!$A$270,$GR$205^A71,IF(A71='Données projet'!$A$270,'Données projet'!$B$270,GU70+GT71-HC70)))</f>
        <v>228.39999999999995</v>
      </c>
      <c r="GV71" s="17">
        <f>GU71*VLOOKUP('Données projet'!$B$18,Paramètres!$A$1:$I$89,3,0)*VLOOKUP('Données projet'!$B$18,Paramètres!$A$1:$I$89,5,0)</f>
        <v>153.21071999999995</v>
      </c>
      <c r="GW71" s="13">
        <f t="shared" si="105"/>
        <v>39.307331456095298</v>
      </c>
      <c r="GX71" s="20">
        <f t="shared" si="82"/>
        <v>335.30227295269918</v>
      </c>
      <c r="GY71" s="59">
        <f t="shared" si="83"/>
        <v>622.50047746068731</v>
      </c>
      <c r="GZ71" s="59">
        <f ca="1">AVERAGE(OFFSET($GY$3,0,0,'Données projet'!$E$18+1,1))-AVERAGE(OFFSET($H$3,0,0,'Données projet'!$E$18+1,1))</f>
        <v>296.67751292332753</v>
      </c>
      <c r="HA71" s="59">
        <f t="shared" si="106"/>
        <v>197.99510031603018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11.571020131153139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11.571020131153139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1.1000000000000001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4.0333333333333341</v>
      </c>
      <c r="H72" s="67">
        <f t="shared" si="56"/>
        <v>240.5333333333333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265.83023999999989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861.69547048824791</v>
      </c>
      <c r="S72" s="59">
        <f ca="1">AVERAGE(OFFSET($R$3,0,0,'Données projet'!$E$9+1,1))-AVERAGE(OFFSET($H$3,0,0,'Données projet'!$E$9+1,1))</f>
        <v>461.20962581398715</v>
      </c>
      <c r="T72" s="59">
        <f t="shared" si="88"/>
        <v>348.44322874953923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</v>
      </c>
      <c r="AJ72" s="13">
        <f>AI72*VLOOKUP('Données projet'!$B$10,Paramètres!$A$1:$I$89,3,0)*VLOOKUP('Données projet'!$B$10,Paramètres!$A$1:$I$89,5,0)</f>
        <v>297.9131999999999</v>
      </c>
      <c r="AK72" s="13">
        <f t="shared" si="89"/>
        <v>70.73881247427552</v>
      </c>
      <c r="AL72" s="20">
        <f t="shared" si="58"/>
        <v>642.06892172602966</v>
      </c>
      <c r="AM72" s="59">
        <f t="shared" si="59"/>
        <v>929.37355700304431</v>
      </c>
      <c r="AN72" s="59">
        <f ca="1">AVERAGE(OFFSET($AM$3,0,0,'Données projet'!$E$10+1,1))-AVERAGE(OFFSET($H$3,0,0,'Données projet'!$E$10+1,1))</f>
        <v>510.86584023875525</v>
      </c>
      <c r="AO72" s="59">
        <f t="shared" si="90"/>
        <v>384.62921487244125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18.550132489570576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18.550132489570576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5.6843418860808015E-14</v>
      </c>
      <c r="BE72" s="13">
        <f>BD72*VLOOKUP('Données projet'!$B$11,Paramètres!$A$1:$I$89,3,0)*VLOOKUP('Données projet'!$B$11,Paramètres!$A$1:$I$89,5,0)</f>
        <v>4.1677594708744434E-14</v>
      </c>
      <c r="BF72" s="13">
        <f t="shared" si="91"/>
        <v>6.9326303456159188E-13</v>
      </c>
      <c r="BG72" s="20">
        <f t="shared" si="61"/>
        <v>1.2800215959791691E-12</v>
      </c>
      <c r="BH72" s="59">
        <f t="shared" si="62"/>
        <v>287.30463527701596</v>
      </c>
      <c r="BI72" s="59">
        <f ca="1">AVERAGE(OFFSET($BH$3,0,0,'Données projet'!$E$11+1,1))-AVERAGE(OFFSET($H$3,0,0,'Données projet'!$E$11+1,1))</f>
        <v>201.7253431547006</v>
      </c>
      <c r="BJ72" s="59">
        <f t="shared" si="92"/>
        <v>229.70004720044096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40.378289176318688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40.378289176318688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13.8</v>
      </c>
      <c r="BY72" s="12">
        <f>IF('Données projet'!$A$114&gt;35,BY71+BX72-CG71,IF(A72&lt;'Données projet'!$A$114,$BV$205^A72,IF(A72='Données projet'!$A$114,'Données projet'!$B$114,BY71+BX72-CG71)))</f>
        <v>624.19999999999993</v>
      </c>
      <c r="BZ72" s="13">
        <f>BY72*VLOOKUP('Données projet'!$B$12,Paramètres!$A$1:$I$89,3,0)*VLOOKUP('Données projet'!$B$12,Paramètres!$A$1:$I$89,5,0)</f>
        <v>348.92779999999993</v>
      </c>
      <c r="CA72" s="13">
        <f t="shared" si="93"/>
        <v>81.341694715067632</v>
      </c>
      <c r="CB72" s="20">
        <f t="shared" si="64"/>
        <v>749.38603662874266</v>
      </c>
      <c r="CC72" s="59">
        <f t="shared" si="65"/>
        <v>1036.6906719057574</v>
      </c>
      <c r="CD72" s="59">
        <f ca="1">AVERAGE(OFFSET($CC$3,0,0,'Données projet'!$E$12+1,1))-AVERAGE(OFFSET($H$3,0,0,'Données projet'!$E$12+1,1))</f>
        <v>462.09240749760784</v>
      </c>
      <c r="CE72" s="59">
        <f t="shared" si="94"/>
        <v>403.52202223463337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87.54059220348222</v>
      </c>
      <c r="CL72" s="21">
        <f>EXP(-LN(2)/25)*CL71+(1-EXP(-LN(2)/25))/(LN(2)/25)*Calculateur!CG72*Calculateur!CI72*VLOOKUP('Données projet'!$B$12,Paramètres!$A$1:$I$89,3,0)*0.475*44/12</f>
        <v>22.24258201522348</v>
      </c>
      <c r="CM72" s="21">
        <f>EXP(-LN(2)/2)*CM71+(1-EXP(-LN(2)/2))/(LN(2)/2)*CG72*CJ72*VLOOKUP('Données projet'!$B$12,Paramètres!$A$1:$I$89,3,0)*0.475*44/12</f>
        <v>0.34749165450422048</v>
      </c>
      <c r="CN72" s="22">
        <f t="shared" si="66"/>
        <v>110.13066587320992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</v>
      </c>
      <c r="CT72" s="12">
        <f>IF('Données projet'!$A$140&gt;35,CT71+CS72-DB71,IF(A72&lt;'Données projet'!$A$140,$CQ$205^A72,IF(A72='Données projet'!$A$140,'Données projet'!$B$140,CT71+CS72-DB71)))</f>
        <v>538</v>
      </c>
      <c r="CU72" s="17">
        <f>CT72*VLOOKUP('Données projet'!$B$13,Paramètres!$A$1:$I$89,3,0)*VLOOKUP('Données projet'!$B$13,Paramètres!$A$1:$I$89,5,0)</f>
        <v>251.78400000000002</v>
      </c>
      <c r="CV72" s="13">
        <f t="shared" si="95"/>
        <v>60.967799364357568</v>
      </c>
      <c r="CW72" s="20">
        <f t="shared" si="67"/>
        <v>544.7093838929228</v>
      </c>
      <c r="CX72" s="59">
        <f t="shared" si="68"/>
        <v>832.01401916993746</v>
      </c>
      <c r="CY72" s="59">
        <f ca="1">AVERAGE(OFFSET($CX$3,0,0,'Données projet'!$E$13+1,1))-AVERAGE(OFFSET($H$3,0,0,'Données projet'!$E$13+1,1))</f>
        <v>319.88925869887464</v>
      </c>
      <c r="CZ72" s="59">
        <f t="shared" si="96"/>
        <v>258.2857172412098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14.863164101627557</v>
      </c>
      <c r="DG72" s="21">
        <f>EXP(-LN(2)/25)*DG71+(1-EXP(-LN(2)/25))/(LN(2)/25)*Calculateur!DB72*Calculateur!DD72*VLOOKUP('Données projet'!$B$13,Paramètres!$A$1:$I$89,3,0)*0.475*44/12</f>
        <v>13.903799437861325</v>
      </c>
      <c r="DH72" s="21">
        <f>EXP(-LN(2)/2)*DH71+(1-EXP(-LN(2)/2))/(LN(2)/2)*DB72*DE72*VLOOKUP('Données projet'!$B$13,Paramètres!$A$1:$I$89,3,0)*0.475*44/12</f>
        <v>0.21595764814652404</v>
      </c>
      <c r="DI72" s="22">
        <f t="shared" si="69"/>
        <v>28.982921187635409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12.888750000000002</v>
      </c>
      <c r="DO72" s="12">
        <f>IF('Données projet'!$A$166&gt;35,DO71+DN72-DW71,IF(A72&lt;'Données projet'!$A$166,$DL$205^A72,IF(A72='Données projet'!$A$166,'Données projet'!$B$166,DO71+DN72-DW71)))</f>
        <v>581.34874999999977</v>
      </c>
      <c r="DP72" s="17">
        <f>DO72*VLOOKUP('Données projet'!$B$14,Paramètres!$A$1:$I$89,3,0)*VLOOKUP('Données projet'!$B$14,Paramètres!$A$1:$I$89,5,0)</f>
        <v>347.64655249999987</v>
      </c>
      <c r="DQ72" s="13">
        <f t="shared" si="97"/>
        <v>81.077721834442457</v>
      </c>
      <c r="DR72" s="20">
        <f t="shared" si="70"/>
        <v>746.69477779915371</v>
      </c>
      <c r="DS72" s="59">
        <f t="shared" si="71"/>
        <v>1033.9994130761684</v>
      </c>
      <c r="DT72" s="59">
        <f ca="1">AVERAGE(OFFSET($DS$3,0,0,'Données projet'!$E$14+1,1))-AVERAGE(OFFSET($H$3,0,0,'Données projet'!$E$14+1,1))</f>
        <v>443.64905827069435</v>
      </c>
      <c r="DU72" s="59">
        <f t="shared" si="98"/>
        <v>381.14782516862385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46.333784088140781</v>
      </c>
      <c r="EB72" s="21">
        <f>EXP(-LN(2)/25)*EB71+(1-EXP(-LN(2)/25))/(LN(2)/25)*Calculateur!DW72*Calculateur!DY72*VLOOKUP('Données projet'!$B$14,Paramètres!$A$1:$I$89,3,0)*0.475*44/12</f>
        <v>24.630725867666939</v>
      </c>
      <c r="EC72" s="21">
        <f>EXP(-LN(2)/2)*EC71+(1-EXP(-LN(2)/2))/(LN(2)/2)*DW72*DZ72*VLOOKUP('Données projet'!$B$14,Paramètres!$A$1:$I$89,3,0)*0.475*44/12</f>
        <v>3.8582286384802793</v>
      </c>
      <c r="ED72" s="22">
        <f t="shared" si="72"/>
        <v>74.822738594288012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-3.4106051316484809E-13</v>
      </c>
      <c r="EK72" s="17">
        <f>EJ72*VLOOKUP('Données projet'!$B$15,Paramètres!$A$1:$I$89,3,0)*VLOOKUP('Données projet'!$B$15,Paramètres!$A$1:$I$89,5,0)</f>
        <v>-3.0859155231155454E-13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504.37890861635196</v>
      </c>
      <c r="EP72" s="59">
        <f t="shared" si="100"/>
        <v>611.82129317522913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58.5134536105869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58.5134536105869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</v>
      </c>
      <c r="FE72" s="12">
        <f>IF('Données projet'!$A$218&gt;35,FE71+FD72-FM71,IF(A72&lt;'Données projet'!$A$218,$FB$205^A72,IF(A72='Données projet'!$A$218,'Données projet'!$B$218,FE71+FD72-FM71)))</f>
        <v>167</v>
      </c>
      <c r="FF72" s="17">
        <f>FE72*VLOOKUP('Données projet'!$B$16,Paramètres!$A$1:$I$89,3,0)*VLOOKUP('Données projet'!$B$16,Paramètres!$A$1:$I$89,5,0)</f>
        <v>179.75879999999998</v>
      </c>
      <c r="FG72" s="13">
        <f t="shared" si="101"/>
        <v>45.268519423286527</v>
      </c>
      <c r="FH72" s="20">
        <f t="shared" si="76"/>
        <v>391.92258132889066</v>
      </c>
      <c r="FI72" s="59">
        <f t="shared" si="77"/>
        <v>679.22721660590537</v>
      </c>
      <c r="FJ72" s="59">
        <f ca="1">AVERAGE(OFFSET($FI$3,0,0,'Données projet'!$E$16+1,1))-AVERAGE(OFFSET($H$3,0,0,'Données projet'!$E$16+1,1))</f>
        <v>334.01098870576732</v>
      </c>
      <c r="FK72" s="59">
        <f t="shared" si="102"/>
        <v>171.1802153303471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8.7547485308103425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8.7547485308103425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3.8</v>
      </c>
      <c r="FZ72" s="12">
        <f>IF('Données projet'!$A$244&gt;35,FZ71+FY72-GH71,IF(A72&lt;'Données projet'!$A$244,$FW$205^A72,IF(A72='Données projet'!$A$244,'Données projet'!$B$244,FZ71+FY72-GH71)))</f>
        <v>259.19999999999987</v>
      </c>
      <c r="GA72" s="17">
        <f>FZ72*VLOOKUP('Données projet'!$B$17,Paramètres!$A$1:$I$89,3,0)*VLOOKUP('Données projet'!$B$17,Paramètres!$A$1:$I$89,5,0)</f>
        <v>226.43711999999991</v>
      </c>
      <c r="GB72" s="13">
        <f t="shared" si="103"/>
        <v>55.5116049933753</v>
      </c>
      <c r="GC72" s="20">
        <f t="shared" si="79"/>
        <v>491.06069603012844</v>
      </c>
      <c r="GD72" s="59">
        <f t="shared" si="80"/>
        <v>778.36533130714315</v>
      </c>
      <c r="GE72" s="59">
        <f ca="1">AVERAGE(OFFSET($GD$3,0,0,'Données projet'!$E$17+1,1))-AVERAGE(OFFSET($H$3,0,0,'Données projet'!$E$17+1,1))</f>
        <v>330.12856974146598</v>
      </c>
      <c r="GF72" s="59">
        <f t="shared" si="104"/>
        <v>321.23368446552286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16.883566596137271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16.883566596137271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68.355809621003999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6.8</v>
      </c>
      <c r="GU72" s="12">
        <f>IF('Données projet'!$A$270&gt;35,GU71+GT72-HC71,IF(A72&lt;'Données projet'!$A$270,$GR$205^A72,IF(A72='Données projet'!$A$270,'Données projet'!$B$270,GU71+GT72-HC71)))</f>
        <v>235.19999999999996</v>
      </c>
      <c r="GV72" s="17">
        <f>GU72*VLOOKUP('Données projet'!$B$18,Paramètres!$A$1:$I$89,3,0)*VLOOKUP('Données projet'!$B$18,Paramètres!$A$1:$I$89,5,0)</f>
        <v>157.77215999999999</v>
      </c>
      <c r="GW72" s="13">
        <f t="shared" si="105"/>
        <v>40.339610539653599</v>
      </c>
      <c r="GX72" s="20">
        <f t="shared" si="82"/>
        <v>345.04466702322998</v>
      </c>
      <c r="GY72" s="59">
        <f t="shared" si="83"/>
        <v>632.34930230024463</v>
      </c>
      <c r="GZ72" s="59">
        <f ca="1">AVERAGE(OFFSET($GY$3,0,0,'Données projet'!$E$18+1,1))-AVERAGE(OFFSET($H$3,0,0,'Données projet'!$E$18+1,1))</f>
        <v>296.67751292332753</v>
      </c>
      <c r="HA72" s="59">
        <f t="shared" si="106"/>
        <v>197.99510031603018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11.344119484006622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11.344119484006622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1.1000000000000001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4.0333333333333341</v>
      </c>
      <c r="H73" s="67">
        <f t="shared" si="56"/>
        <v>240.5333333333333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273.24959999999987</v>
      </c>
      <c r="P73" s="13">
        <f t="shared" si="87"/>
        <v>65.538435495514321</v>
      </c>
      <c r="Q73" s="20">
        <f t="shared" si="54"/>
        <v>590.05582848802044</v>
      </c>
      <c r="R73" s="59">
        <f t="shared" si="55"/>
        <v>877.46504819816255</v>
      </c>
      <c r="S73" s="59">
        <f ca="1">AVERAGE(OFFSET($R$3,0,0,'Données projet'!$E$9+1,1))-AVERAGE(OFFSET($H$3,0,0,'Données projet'!$E$9+1,1))</f>
        <v>461.20962581398715</v>
      </c>
      <c r="T73" s="59">
        <f t="shared" si="88"/>
        <v>348.44322874953923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301.99999999999989</v>
      </c>
      <c r="AJ73" s="13">
        <f>AI73*VLOOKUP('Données projet'!$B$10,Paramètres!$A$1:$I$89,3,0)*VLOOKUP('Données projet'!$B$10,Paramètres!$A$1:$I$89,5,0)</f>
        <v>306.22799999999989</v>
      </c>
      <c r="AK73" s="13">
        <f t="shared" si="89"/>
        <v>72.480526049067294</v>
      </c>
      <c r="AL73" s="20">
        <f t="shared" si="58"/>
        <v>659.58401620212533</v>
      </c>
      <c r="AM73" s="59">
        <f t="shared" si="59"/>
        <v>946.99323591226744</v>
      </c>
      <c r="AN73" s="59">
        <f ca="1">AVERAGE(OFFSET($AM$3,0,0,'Données projet'!$E$10+1,1))-AVERAGE(OFFSET($H$3,0,0,'Données projet'!$E$10+1,1))</f>
        <v>510.86584023875525</v>
      </c>
      <c r="AO73" s="59">
        <f t="shared" si="90"/>
        <v>384.62921487244125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24.934476434289103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24.934476434289103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4.1677594708744434E-14</v>
      </c>
      <c r="BF73" s="13">
        <f t="shared" si="91"/>
        <v>6.9326303456159188E-13</v>
      </c>
      <c r="BG73" s="20">
        <f t="shared" si="61"/>
        <v>1.2800215959791691E-12</v>
      </c>
      <c r="BH73" s="59">
        <f t="shared" si="62"/>
        <v>287.40921971014342</v>
      </c>
      <c r="BI73" s="59">
        <f ca="1">AVERAGE(OFFSET($BH$3,0,0,'Données projet'!$E$11+1,1))-AVERAGE(OFFSET($H$3,0,0,'Données projet'!$E$11+1,1))</f>
        <v>201.7253431547006</v>
      </c>
      <c r="BJ73" s="59">
        <f t="shared" si="92"/>
        <v>229.70004720044096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39.586495553895631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39.586495553895631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638</v>
      </c>
      <c r="BW73" s="12">
        <f>VLOOKUP(A73,'Données projet'!$A$113:$I$133,9,0)</f>
        <v>13.8</v>
      </c>
      <c r="BX73" s="12">
        <f t="array" ref="BX73">INDEX(BW:BW,MIN(IF(ISNUMBER(BW73:BW269),ROW(BW73:BW269),"")))</f>
        <v>13.8</v>
      </c>
      <c r="BY73" s="12">
        <f>IF('Données projet'!$A$114&gt;35,BY72+BX73-CG72,IF(A73&lt;'Données projet'!$A$114,$BV$205^A73,IF(A73='Données projet'!$A$114,'Données projet'!$B$114,BY72+BX73-CG72)))</f>
        <v>637.99999999999989</v>
      </c>
      <c r="BZ73" s="13">
        <f>BY73*VLOOKUP('Données projet'!$B$12,Paramètres!$A$1:$I$89,3,0)*VLOOKUP('Données projet'!$B$12,Paramètres!$A$1:$I$89,5,0)</f>
        <v>356.642</v>
      </c>
      <c r="CA73" s="13">
        <f t="shared" si="93"/>
        <v>82.928668044730131</v>
      </c>
      <c r="CB73" s="20">
        <f t="shared" si="64"/>
        <v>765.58558017790494</v>
      </c>
      <c r="CC73" s="59">
        <f t="shared" si="65"/>
        <v>1052.9947998880471</v>
      </c>
      <c r="CD73" s="59">
        <f ca="1">AVERAGE(OFFSET($CC$3,0,0,'Données projet'!$E$12+1,1))-AVERAGE(OFFSET($H$3,0,0,'Données projet'!$E$12+1,1))</f>
        <v>462.09240749760784</v>
      </c>
      <c r="CE73" s="59">
        <f t="shared" si="94"/>
        <v>403.52202223463337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36</v>
      </c>
      <c r="CH73" s="16">
        <f>IF(ISNA(VLOOKUP(A73,'Données projet'!$A$113:$I$133,5,0)),0%,VLOOKUP(A73,'Données projet'!$A$113:$I$133,5,0)*VLOOKUP('Données projet'!$B$12,Paramètres!$A$1:$I$89,7,0))</f>
        <v>0.49500000000000005</v>
      </c>
      <c r="CI73" s="16">
        <f>IF(ISNA(VLOOKUP(A73,'Données projet'!$A$113:$I$133,6,0)),0%,VLOOKUP(A73,'Données projet'!$A$113:$I$133,6,0)*VLOOKUP('Données projet'!$B$12,Paramètres!$A$1:$I$89,7,0))</f>
        <v>3.3000000000000002E-2</v>
      </c>
      <c r="CJ73" s="16">
        <f>IF(ISNA(VLOOKUP(A73,'Données projet'!$A$113:$I$133,7,0)),0%,VLOOKUP(A73,'Données projet'!$A$113:$I$133,7,0))</f>
        <v>0.04</v>
      </c>
      <c r="CK73" s="21">
        <f>EXP(-LN(2)/35)*CK72+(1-EXP(-LN(2)/35))/(LN(2)/35)*CG73*CH73*VLOOKUP('Données projet'!$B$12,Paramètres!$A$1:$I$89,3,0)*0.475*44/12</f>
        <v>99.038387219987229</v>
      </c>
      <c r="CL73" s="21">
        <f>EXP(-LN(2)/25)*CL72+(1-EXP(-LN(2)/25))/(LN(2)/25)*Calculateur!CG73*Calculateur!CI73*VLOOKUP('Données projet'!$B$12,Paramètres!$A$1:$I$89,3,0)*0.475*44/12</f>
        <v>22.5118496041637</v>
      </c>
      <c r="CM73" s="21">
        <f>EXP(-LN(2)/2)*CM72+(1-EXP(-LN(2)/2))/(LN(2)/2)*CG73*CJ73*VLOOKUP('Données projet'!$B$12,Paramètres!$A$1:$I$89,3,0)*0.475*44/12</f>
        <v>1.1571154155225714</v>
      </c>
      <c r="CN73" s="22">
        <f t="shared" si="66"/>
        <v>122.7073522396735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550</v>
      </c>
      <c r="CR73" s="12">
        <f>VLOOKUP(A73,'Données projet'!$A$139:$I$159,9,0)</f>
        <v>12</v>
      </c>
      <c r="CS73" s="12">
        <f t="array" ref="CS73">INDEX(CR:CR,MIN(IF(ISNUMBER(CR73:CR269),ROW(CR73:CR269),"")))</f>
        <v>12</v>
      </c>
      <c r="CT73" s="12">
        <f>IF('Données projet'!$A$140&gt;35,CT72+CS73-DB72,IF(A73&lt;'Données projet'!$A$140,$CQ$205^A73,IF(A73='Données projet'!$A$140,'Données projet'!$B$140,CT72+CS73-DB72)))</f>
        <v>550</v>
      </c>
      <c r="CU73" s="17">
        <f>CT73*VLOOKUP('Données projet'!$B$13,Paramètres!$A$1:$I$89,3,0)*VLOOKUP('Données projet'!$B$13,Paramètres!$A$1:$I$89,5,0)</f>
        <v>257.40000000000003</v>
      </c>
      <c r="CV73" s="13">
        <f t="shared" si="95"/>
        <v>62.167839264733466</v>
      </c>
      <c r="CW73" s="20">
        <f t="shared" si="67"/>
        <v>556.58065338607753</v>
      </c>
      <c r="CX73" s="59">
        <f t="shared" si="68"/>
        <v>843.98987309621964</v>
      </c>
      <c r="CY73" s="59">
        <f ca="1">AVERAGE(OFFSET($CX$3,0,0,'Données projet'!$E$13+1,1))-AVERAGE(OFFSET($H$3,0,0,'Données projet'!$E$13+1,1))</f>
        <v>319.88925869887464</v>
      </c>
      <c r="CZ73" s="59">
        <f t="shared" si="96"/>
        <v>258.2857172412098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40</v>
      </c>
      <c r="DC73" s="16">
        <f>IF(ISNA(VLOOKUP(A73,'Données projet'!$A$139:$I$159,5,0)),0%,VLOOKUP(A73,'Données projet'!$A$139:$I$159,5,0)*VLOOKUP('Données projet'!$B$13,Paramètres!$A$1:$I$89,7,0))</f>
        <v>0.33</v>
      </c>
      <c r="DD73" s="16">
        <f>IF(ISNA(VLOOKUP(A73,'Données projet'!$A$139:$I$159,6,0)),0%,VLOOKUP(A73,'Données projet'!$A$139:$I$159,6,0)*VLOOKUP('Données projet'!$B$13,Paramètres!$A$1:$I$89,7,0))</f>
        <v>0.12100000000000001</v>
      </c>
      <c r="DE73" s="16">
        <f>IF(ISNA(VLOOKUP(A73,'Données projet'!$A$139:$I$159,7,0)),0%,VLOOKUP(A73,'Données projet'!$A$139:$I$159,7,0))</f>
        <v>0.18</v>
      </c>
      <c r="DF73" s="21">
        <f>EXP(-LN(2)/35)*DF72+(1-EXP(-LN(2)/35))/(LN(2)/35)*DB73*DC73*VLOOKUP('Données projet'!$B$13,Paramètres!$A$1:$I$89,3,0)*0.475*44/12</f>
        <v>22.766691099152887</v>
      </c>
      <c r="DG73" s="21">
        <f>EXP(-LN(2)/25)*DG72+(1-EXP(-LN(2)/25))/(LN(2)/25)*Calculateur!DB73*Calculateur!DD73*VLOOKUP('Données projet'!$B$13,Paramètres!$A$1:$I$89,3,0)*0.475*44/12</f>
        <v>16.51659583886665</v>
      </c>
      <c r="DH73" s="21">
        <f>EXP(-LN(2)/2)*DH72+(1-EXP(-LN(2)/2))/(LN(2)/2)*DB73*DE73*VLOOKUP('Données projet'!$B$13,Paramètres!$A$1:$I$89,3,0)*0.475*44/12</f>
        <v>3.9678750671986851</v>
      </c>
      <c r="DI73" s="22">
        <f t="shared" si="69"/>
        <v>43.25116200521822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12.888750000000002</v>
      </c>
      <c r="DO73" s="12">
        <f>IF('Données projet'!$A$166&gt;35,DO72+DN73-DW72,IF(A73&lt;'Données projet'!$A$166,$DL$205^A73,IF(A73='Données projet'!$A$166,'Données projet'!$B$166,DO72+DN73-DW72)))</f>
        <v>594.23749999999973</v>
      </c>
      <c r="DP73" s="17">
        <f>DO73*VLOOKUP('Données projet'!$B$14,Paramètres!$A$1:$I$89,3,0)*VLOOKUP('Données projet'!$B$14,Paramètres!$A$1:$I$89,5,0)</f>
        <v>355.35402499999987</v>
      </c>
      <c r="DQ73" s="13">
        <f t="shared" si="97"/>
        <v>82.66398462408759</v>
      </c>
      <c r="DR73" s="20">
        <f t="shared" si="70"/>
        <v>762.88136676195211</v>
      </c>
      <c r="DS73" s="59">
        <f t="shared" si="71"/>
        <v>1050.2905864720942</v>
      </c>
      <c r="DT73" s="59">
        <f ca="1">AVERAGE(OFFSET($DS$3,0,0,'Données projet'!$E$14+1,1))-AVERAGE(OFFSET($H$3,0,0,'Données projet'!$E$14+1,1))</f>
        <v>443.64905827069435</v>
      </c>
      <c r="DU73" s="59">
        <f t="shared" si="98"/>
        <v>381.14782516862385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45.425206842990107</v>
      </c>
      <c r="EB73" s="21">
        <f>EXP(-LN(2)/25)*EB72+(1-EXP(-LN(2)/25))/(LN(2)/25)*Calculateur!DW73*Calculateur!DY73*VLOOKUP('Données projet'!$B$14,Paramètres!$A$1:$I$89,3,0)*0.475*44/12</f>
        <v>23.957197373542009</v>
      </c>
      <c r="EC73" s="21">
        <f>EXP(-LN(2)/2)*EC72+(1-EXP(-LN(2)/2))/(LN(2)/2)*DW73*DZ73*VLOOKUP('Données projet'!$B$14,Paramètres!$A$1:$I$89,3,0)*0.475*44/12</f>
        <v>2.7281796336375463</v>
      </c>
      <c r="ED73" s="22">
        <f t="shared" si="72"/>
        <v>72.110583850169661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-3.4106051316484809E-13</v>
      </c>
      <c r="EK73" s="17">
        <f>EJ73*VLOOKUP('Données projet'!$B$15,Paramètres!$A$1:$I$89,3,0)*VLOOKUP('Données projet'!$B$15,Paramètres!$A$1:$I$89,5,0)</f>
        <v>-3.0859155231155454E-13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504.37890861635196</v>
      </c>
      <c r="EP73" s="59">
        <f t="shared" si="100"/>
        <v>611.82129317522913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57.366040474965928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57.366040474965928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172</v>
      </c>
      <c r="FC73" s="12">
        <f>VLOOKUP(A73,'Données projet'!$A$217:$I$237,9,0)</f>
        <v>5</v>
      </c>
      <c r="FD73" s="12">
        <f t="array" ref="FD73">INDEX(FC:FC,MIN(IF(ISNUMBER(FC73:FC269),ROW(FC73:FC269),"")))</f>
        <v>5</v>
      </c>
      <c r="FE73" s="12">
        <f>IF('Données projet'!$A$218&gt;35,FE72+FD73-FM72,IF(A73&lt;'Données projet'!$A$218,$FB$205^A73,IF(A73='Données projet'!$A$218,'Données projet'!$B$218,FE72+FD73-FM72)))</f>
        <v>172</v>
      </c>
      <c r="FF73" s="17">
        <f>FE73*VLOOKUP('Données projet'!$B$16,Paramètres!$A$1:$I$89,3,0)*VLOOKUP('Données projet'!$B$16,Paramètres!$A$1:$I$89,5,0)</f>
        <v>185.14079999999998</v>
      </c>
      <c r="FG73" s="13">
        <f t="shared" si="101"/>
        <v>46.464038253813506</v>
      </c>
      <c r="FH73" s="20">
        <f t="shared" si="76"/>
        <v>403.3784266253918</v>
      </c>
      <c r="FI73" s="59">
        <f t="shared" si="77"/>
        <v>690.78764633553396</v>
      </c>
      <c r="FJ73" s="59">
        <f ca="1">AVERAGE(OFFSET($FI$3,0,0,'Données projet'!$E$16+1,1))-AVERAGE(OFFSET($H$3,0,0,'Données projet'!$E$16+1,1))</f>
        <v>334.01098870576732</v>
      </c>
      <c r="FK73" s="59">
        <f t="shared" si="102"/>
        <v>171.1802153303471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14</v>
      </c>
      <c r="FN73" s="16">
        <f>IF(ISNA(VLOOKUP(A73,'Données projet'!$A$217:$I$237,5,0)),0%,VLOOKUP(A73,'Données projet'!$A$217:$I$237,5,0)*VLOOKUP('Données projet'!$B$16,Paramètres!$A$1:$I$89,7,0))</f>
        <v>0.17200000000000001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11.448420638192964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11.448420638192964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263</v>
      </c>
      <c r="FX73" s="12">
        <f>VLOOKUP(A73,'Données projet'!$A$243:$I$263,9,0)</f>
        <v>3.8</v>
      </c>
      <c r="FY73" s="12">
        <f t="array" ref="FY73">INDEX(FX:FX,MIN(IF(ISNUMBER(FX73:FX269),ROW(FX73:FX269),"")))</f>
        <v>3.8</v>
      </c>
      <c r="FZ73" s="12">
        <f>IF('Données projet'!$A$244&gt;35,FZ72+FY73-GH72,IF(A73&lt;'Données projet'!$A$244,$FW$205^A73,IF(A73='Données projet'!$A$244,'Données projet'!$B$244,FZ72+FY73-GH72)))</f>
        <v>262.99999999999989</v>
      </c>
      <c r="GA73" s="17">
        <f>FZ73*VLOOKUP('Données projet'!$B$17,Paramètres!$A$1:$I$89,3,0)*VLOOKUP('Données projet'!$B$17,Paramètres!$A$1:$I$89,5,0)</f>
        <v>229.75679999999991</v>
      </c>
      <c r="GB73" s="13">
        <f t="shared" si="103"/>
        <v>56.23009276772752</v>
      </c>
      <c r="GC73" s="20">
        <f t="shared" si="79"/>
        <v>498.09383823712528</v>
      </c>
      <c r="GD73" s="59">
        <f t="shared" si="80"/>
        <v>785.50305794726739</v>
      </c>
      <c r="GE73" s="59">
        <f ca="1">AVERAGE(OFFSET($GD$3,0,0,'Données projet'!$E$17+1,1))-AVERAGE(OFFSET($H$3,0,0,'Données projet'!$E$17+1,1))</f>
        <v>330.12856974146598</v>
      </c>
      <c r="GF73" s="59">
        <f t="shared" si="104"/>
        <v>321.23368446552286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10</v>
      </c>
      <c r="GI73" s="16">
        <f>IF(ISNA(VLOOKUP(A73,'Données projet'!$A$243:$I$263,5,0)),0%,VLOOKUP(A73,'Données projet'!$A$243:$I$263,5,0)*VLOOKUP('Données projet'!$B$17,Paramètres!$A$1:$I$89,7,0))</f>
        <v>0.318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19.623539930066556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19.623539930066556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68.384332648220578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242</v>
      </c>
      <c r="GS73" s="12">
        <f>VLOOKUP(A73,'Données projet'!$A$269:$I$289,9,0)</f>
        <v>6.8</v>
      </c>
      <c r="GT73" s="12">
        <f t="array" ref="GT73">INDEX(GS:GS,MIN(IF(ISNUMBER(GS73:GS269),ROW(GS73:GS269),"")))</f>
        <v>6.8</v>
      </c>
      <c r="GU73" s="12">
        <f>IF('Données projet'!$A$270&gt;35,GU72+GT73-HC72,IF(A73&lt;'Données projet'!$A$270,$GR$205^A73,IF(A73='Données projet'!$A$270,'Données projet'!$B$270,GU72+GT73-HC72)))</f>
        <v>241.99999999999997</v>
      </c>
      <c r="GV73" s="17">
        <f>GU73*VLOOKUP('Données projet'!$B$18,Paramètres!$A$1:$I$89,3,0)*VLOOKUP('Données projet'!$B$18,Paramètres!$A$1:$I$89,5,0)</f>
        <v>162.33359999999999</v>
      </c>
      <c r="GW73" s="13">
        <f t="shared" si="105"/>
        <v>41.368421016378349</v>
      </c>
      <c r="GX73" s="20">
        <f t="shared" si="82"/>
        <v>354.78101993685891</v>
      </c>
      <c r="GY73" s="59">
        <f t="shared" si="83"/>
        <v>642.19023964700102</v>
      </c>
      <c r="GZ73" s="59">
        <f ca="1">AVERAGE(OFFSET($GY$3,0,0,'Données projet'!$E$18+1,1))-AVERAGE(OFFSET($H$3,0,0,'Données projet'!$E$18+1,1))</f>
        <v>296.67751292332753</v>
      </c>
      <c r="HA73" s="59">
        <f t="shared" si="106"/>
        <v>197.99510031603018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0.26500000000000001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15.248391357892181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15.248391357892181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1.1000000000000001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4.0333333333333341</v>
      </c>
      <c r="H74" s="67">
        <f t="shared" si="56"/>
        <v>240.5333333333333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254.79167999999993</v>
      </c>
      <c r="P74" s="13">
        <f t="shared" si="87"/>
        <v>61.610870508448471</v>
      </c>
      <c r="Q74" s="20">
        <f t="shared" si="54"/>
        <v>551.06777546888088</v>
      </c>
      <c r="R74" s="59">
        <f t="shared" si="55"/>
        <v>838.57976530605151</v>
      </c>
      <c r="S74" s="59">
        <f ca="1">AVERAGE(OFFSET($R$3,0,0,'Données projet'!$E$9+1,1))-AVERAGE(OFFSET($H$3,0,0,'Données projet'!$E$9+1,1))</f>
        <v>461.20962581398715</v>
      </c>
      <c r="T74" s="59">
        <f t="shared" si="88"/>
        <v>348.44322874953923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281.59999999999991</v>
      </c>
      <c r="AJ74" s="13">
        <f>AI74*VLOOKUP('Données projet'!$B$10,Paramètres!$A$1:$I$89,3,0)*VLOOKUP('Données projet'!$B$10,Paramètres!$A$1:$I$89,5,0)</f>
        <v>285.54239999999993</v>
      </c>
      <c r="AK74" s="13">
        <f t="shared" si="89"/>
        <v>68.136937829389467</v>
      </c>
      <c r="AL74" s="20">
        <f t="shared" si="58"/>
        <v>615.99151338618651</v>
      </c>
      <c r="AM74" s="59">
        <f t="shared" si="59"/>
        <v>903.50350322335703</v>
      </c>
      <c r="AN74" s="59">
        <f ca="1">AVERAGE(OFFSET($AM$3,0,0,'Données projet'!$E$10+1,1))-AVERAGE(OFFSET($H$3,0,0,'Données projet'!$E$10+1,1))</f>
        <v>510.86584023875525</v>
      </c>
      <c r="AO74" s="59">
        <f t="shared" si="90"/>
        <v>384.62921487244125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24.445526559941602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24.445526559941602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4.1677594708744434E-14</v>
      </c>
      <c r="BF74" s="13">
        <f t="shared" si="91"/>
        <v>6.9326303456159188E-13</v>
      </c>
      <c r="BG74" s="20">
        <f t="shared" si="61"/>
        <v>1.2800215959791691E-12</v>
      </c>
      <c r="BH74" s="59">
        <f t="shared" si="62"/>
        <v>287.51198983717188</v>
      </c>
      <c r="BI74" s="59">
        <f ca="1">AVERAGE(OFFSET($BH$3,0,0,'Données projet'!$E$11+1,1))-AVERAGE(OFFSET($H$3,0,0,'Données projet'!$E$11+1,1))</f>
        <v>201.7253431547006</v>
      </c>
      <c r="BJ74" s="59">
        <f t="shared" si="92"/>
        <v>229.70004720044096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38.810228521461866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38.810228521461866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12.6</v>
      </c>
      <c r="BY74" s="12">
        <f>IF('Données projet'!$A$114&gt;35,BY73+BX74-CG73,IF(A74&lt;'Données projet'!$A$114,$BV$205^A74,IF(A74='Données projet'!$A$114,'Données projet'!$B$114,BY73+BX74-CG73)))</f>
        <v>614.59999999999991</v>
      </c>
      <c r="BZ74" s="13">
        <f>BY74*VLOOKUP('Données projet'!$B$12,Paramètres!$A$1:$I$89,3,0)*VLOOKUP('Données projet'!$B$12,Paramètres!$A$1:$I$89,5,0)</f>
        <v>343.56139999999999</v>
      </c>
      <c r="CA74" s="13">
        <f t="shared" si="93"/>
        <v>80.2353073802024</v>
      </c>
      <c r="CB74" s="20">
        <f t="shared" si="64"/>
        <v>738.11259868718582</v>
      </c>
      <c r="CC74" s="59">
        <f t="shared" si="65"/>
        <v>1025.6245885243563</v>
      </c>
      <c r="CD74" s="59">
        <f ca="1">AVERAGE(OFFSET($CC$3,0,0,'Données projet'!$E$12+1,1))-AVERAGE(OFFSET($H$3,0,0,'Données projet'!$E$12+1,1))</f>
        <v>462.09240749760784</v>
      </c>
      <c r="CE74" s="59">
        <f t="shared" si="94"/>
        <v>403.52202223463337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97.096304854054736</v>
      </c>
      <c r="CL74" s="21">
        <f>EXP(-LN(2)/25)*CL73+(1-EXP(-LN(2)/25))/(LN(2)/25)*Calculateur!CG74*Calculateur!CI74*VLOOKUP('Données projet'!$B$12,Paramètres!$A$1:$I$89,3,0)*0.475*44/12</f>
        <v>21.896261892891125</v>
      </c>
      <c r="CM74" s="21">
        <f>EXP(-LN(2)/2)*CM73+(1-EXP(-LN(2)/2))/(LN(2)/2)*CG74*CJ74*VLOOKUP('Données projet'!$B$12,Paramètres!$A$1:$I$89,3,0)*0.475*44/12</f>
        <v>0.81820415693149995</v>
      </c>
      <c r="CN74" s="22">
        <f t="shared" si="66"/>
        <v>119.81077090387737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</v>
      </c>
      <c r="CT74" s="12">
        <f>IF('Données projet'!$A$140&gt;35,CT73+CS74-DB73,IF(A74&lt;'Données projet'!$A$140,$CQ$205^A74,IF(A74='Données projet'!$A$140,'Données projet'!$B$140,CT73+CS74-DB73)))</f>
        <v>520</v>
      </c>
      <c r="CU74" s="17">
        <f>CT74*VLOOKUP('Données projet'!$B$13,Paramètres!$A$1:$I$89,3,0)*VLOOKUP('Données projet'!$B$13,Paramètres!$A$1:$I$89,5,0)</f>
        <v>243.35999999999999</v>
      </c>
      <c r="CV74" s="13">
        <f t="shared" si="95"/>
        <v>59.161864860837127</v>
      </c>
      <c r="CW74" s="20">
        <f t="shared" si="67"/>
        <v>526.89224796595806</v>
      </c>
      <c r="CX74" s="59">
        <f t="shared" si="68"/>
        <v>814.40423780312858</v>
      </c>
      <c r="CY74" s="59">
        <f ca="1">AVERAGE(OFFSET($CX$3,0,0,'Données projet'!$E$13+1,1))-AVERAGE(OFFSET($H$3,0,0,'Données projet'!$E$13+1,1))</f>
        <v>319.88925869887464</v>
      </c>
      <c r="CZ74" s="59">
        <f t="shared" si="96"/>
        <v>258.2857172412098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22.320250173008908</v>
      </c>
      <c r="DG74" s="21">
        <f>EXP(-LN(2)/25)*DG73+(1-EXP(-LN(2)/25))/(LN(2)/25)*Calculateur!DB74*Calculateur!DD74*VLOOKUP('Données projet'!$B$13,Paramètres!$A$1:$I$89,3,0)*0.475*44/12</f>
        <v>16.064948657082816</v>
      </c>
      <c r="DH74" s="21">
        <f>EXP(-LN(2)/2)*DH73+(1-EXP(-LN(2)/2))/(LN(2)/2)*DB74*DE74*VLOOKUP('Données projet'!$B$13,Paramètres!$A$1:$I$89,3,0)*0.475*44/12</f>
        <v>2.8057113669172185</v>
      </c>
      <c r="DI74" s="22">
        <f t="shared" si="69"/>
        <v>41.19091019700894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12.888750000000002</v>
      </c>
      <c r="DO74" s="12">
        <f>IF('Données projet'!$A$166&gt;35,DO73+DN74-DW73,IF(A74&lt;'Données projet'!$A$166,$DL$205^A74,IF(A74='Données projet'!$A$166,'Données projet'!$B$166,DO73+DN74-DW73)))</f>
        <v>607.12624999999969</v>
      </c>
      <c r="DP74" s="17">
        <f>DO74*VLOOKUP('Données projet'!$B$14,Paramètres!$A$1:$I$89,3,0)*VLOOKUP('Données projet'!$B$14,Paramètres!$A$1:$I$89,5,0)</f>
        <v>363.06149749999986</v>
      </c>
      <c r="DQ74" s="13">
        <f t="shared" si="97"/>
        <v>84.246247351514029</v>
      </c>
      <c r="DR74" s="20">
        <f t="shared" si="70"/>
        <v>779.06098894972001</v>
      </c>
      <c r="DS74" s="59">
        <f t="shared" si="71"/>
        <v>1066.5729787868906</v>
      </c>
      <c r="DT74" s="59">
        <f ca="1">AVERAGE(OFFSET($DS$3,0,0,'Données projet'!$E$14+1,1))-AVERAGE(OFFSET($H$3,0,0,'Données projet'!$E$14+1,1))</f>
        <v>443.64905827069435</v>
      </c>
      <c r="DU74" s="59">
        <f t="shared" si="98"/>
        <v>381.14782516862385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44.53444624343944</v>
      </c>
      <c r="EB74" s="21">
        <f>EXP(-LN(2)/25)*EB73+(1-EXP(-LN(2)/25))/(LN(2)/25)*Calculateur!DW74*Calculateur!DY74*VLOOKUP('Données projet'!$B$14,Paramètres!$A$1:$I$89,3,0)*0.475*44/12</f>
        <v>23.302086551508246</v>
      </c>
      <c r="EC74" s="21">
        <f>EXP(-LN(2)/2)*EC73+(1-EXP(-LN(2)/2))/(LN(2)/2)*DW74*DZ74*VLOOKUP('Données projet'!$B$14,Paramètres!$A$1:$I$89,3,0)*0.475*44/12</f>
        <v>1.9291143192401401</v>
      </c>
      <c r="ED74" s="22">
        <f t="shared" si="72"/>
        <v>69.765647114187828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-3.4106051316484809E-13</v>
      </c>
      <c r="EK74" s="17">
        <f>EJ74*VLOOKUP('Données projet'!$B$15,Paramètres!$A$1:$I$89,3,0)*VLOOKUP('Données projet'!$B$15,Paramètres!$A$1:$I$89,5,0)</f>
        <v>-3.0859155231155454E-13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504.37890861635196</v>
      </c>
      <c r="EP74" s="59">
        <f t="shared" si="100"/>
        <v>611.82129317522913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56.241127411081578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56.241127411081578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5</v>
      </c>
      <c r="FE74" s="12">
        <f>IF('Données projet'!$A$218&gt;35,FE73+FD74-FM73,IF(A74&lt;'Données projet'!$A$218,$FB$205^A74,IF(A74='Données projet'!$A$218,'Données projet'!$B$218,FE73+FD74-FM73)))</f>
        <v>163</v>
      </c>
      <c r="FF74" s="17">
        <f>FE74*VLOOKUP('Données projet'!$B$16,Paramètres!$A$1:$I$89,3,0)*VLOOKUP('Données projet'!$B$16,Paramètres!$A$1:$I$89,5,0)</f>
        <v>175.45319999999998</v>
      </c>
      <c r="FG74" s="13">
        <f t="shared" si="101"/>
        <v>44.309105612169866</v>
      </c>
      <c r="FH74" s="20">
        <f t="shared" si="76"/>
        <v>382.75268227452915</v>
      </c>
      <c r="FI74" s="59">
        <f t="shared" si="77"/>
        <v>670.26467211169972</v>
      </c>
      <c r="FJ74" s="59">
        <f ca="1">AVERAGE(OFFSET($FI$3,0,0,'Données projet'!$E$16+1,1))-AVERAGE(OFFSET($H$3,0,0,'Données projet'!$E$16+1,1))</f>
        <v>334.01098870576732</v>
      </c>
      <c r="FK74" s="59">
        <f t="shared" si="102"/>
        <v>171.1802153303471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11.22392409232509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11.22392409232509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3.4</v>
      </c>
      <c r="FZ74" s="12">
        <f>IF('Données projet'!$A$244&gt;35,FZ73+FY74-GH73,IF(A74&lt;'Données projet'!$A$244,$FW$205^A74,IF(A74='Données projet'!$A$244,'Données projet'!$B$244,FZ73+FY74-GH73)))</f>
        <v>256.39999999999986</v>
      </c>
      <c r="GA74" s="17">
        <f>FZ74*VLOOKUP('Données projet'!$B$17,Paramètres!$A$1:$I$89,3,0)*VLOOKUP('Données projet'!$B$17,Paramètres!$A$1:$I$89,5,0)</f>
        <v>223.99103999999991</v>
      </c>
      <c r="GB74" s="13">
        <f t="shared" si="103"/>
        <v>54.981408824201552</v>
      </c>
      <c r="GC74" s="20">
        <f t="shared" si="79"/>
        <v>485.87701503548419</v>
      </c>
      <c r="GD74" s="59">
        <f t="shared" si="80"/>
        <v>773.38900487265482</v>
      </c>
      <c r="GE74" s="59">
        <f ca="1">AVERAGE(OFFSET($GD$3,0,0,'Données projet'!$E$17+1,1))-AVERAGE(OFFSET($H$3,0,0,'Données projet'!$E$17+1,1))</f>
        <v>330.12856974146598</v>
      </c>
      <c r="GF74" s="59">
        <f t="shared" si="104"/>
        <v>321.23368446552286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19.23873428121545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19.23873428121545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68.412360864682881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6.2</v>
      </c>
      <c r="GU74" s="12">
        <f>IF('Données projet'!$A$270&gt;35,GU73+GT74-HC73,IF(A74&lt;'Données projet'!$A$270,$GR$205^A74,IF(A74='Données projet'!$A$270,'Données projet'!$B$270,GU73+GT74-HC73)))</f>
        <v>227.19999999999996</v>
      </c>
      <c r="GV74" s="17">
        <f>GU74*VLOOKUP('Données projet'!$B$18,Paramètres!$A$1:$I$89,3,0)*VLOOKUP('Données projet'!$B$18,Paramètres!$A$1:$I$89,5,0)</f>
        <v>152.40575999999999</v>
      </c>
      <c r="GW74" s="13">
        <f t="shared" si="105"/>
        <v>39.124795908571521</v>
      </c>
      <c r="GX74" s="20">
        <f t="shared" si="82"/>
        <v>333.58238487409534</v>
      </c>
      <c r="GY74" s="59">
        <f t="shared" si="83"/>
        <v>621.09437471126591</v>
      </c>
      <c r="GZ74" s="59">
        <f ca="1">AVERAGE(OFFSET($GY$3,0,0,'Données projet'!$E$18+1,1))-AVERAGE(OFFSET($H$3,0,0,'Données projet'!$E$18+1,1))</f>
        <v>296.67751292332753</v>
      </c>
      <c r="HA74" s="59">
        <f t="shared" si="106"/>
        <v>197.99510031603018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14.949379703964286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14.949379703964286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1.1000000000000001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4.0333333333333341</v>
      </c>
      <c r="H75" s="67">
        <f t="shared" si="56"/>
        <v>240.5333333333333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261.66815999999994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853.21224268854053</v>
      </c>
      <c r="S75" s="59">
        <f ca="1">AVERAGE(OFFSET($R$3,0,0,'Données projet'!$E$9+1,1))-AVERAGE(OFFSET($H$3,0,0,'Données projet'!$E$9+1,1))</f>
        <v>461.20962581398715</v>
      </c>
      <c r="T75" s="59">
        <f t="shared" si="88"/>
        <v>348.44322874953923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289.19999999999993</v>
      </c>
      <c r="AJ75" s="13">
        <f>AI75*VLOOKUP('Données projet'!$B$10,Paramètres!$A$1:$I$89,3,0)*VLOOKUP('Données projet'!$B$10,Paramètres!$A$1:$I$89,5,0)</f>
        <v>293.24879999999996</v>
      </c>
      <c r="AK75" s="13">
        <f t="shared" si="89"/>
        <v>69.759283249126327</v>
      </c>
      <c r="AL75" s="20">
        <f t="shared" si="58"/>
        <v>632.23907832556165</v>
      </c>
      <c r="AM75" s="59">
        <f t="shared" si="59"/>
        <v>919.85205545781628</v>
      </c>
      <c r="AN75" s="59">
        <f ca="1">AVERAGE(OFFSET($AM$3,0,0,'Données projet'!$E$10+1,1))-AVERAGE(OFFSET($H$3,0,0,'Données projet'!$E$10+1,1))</f>
        <v>510.86584023875525</v>
      </c>
      <c r="AO75" s="59">
        <f t="shared" si="90"/>
        <v>384.62921487244125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23.966164694400078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23.966164694400078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4.1677594708744434E-14</v>
      </c>
      <c r="BF75" s="13">
        <f t="shared" si="91"/>
        <v>6.9326303456159188E-13</v>
      </c>
      <c r="BG75" s="20">
        <f t="shared" si="61"/>
        <v>1.2800215959791691E-12</v>
      </c>
      <c r="BH75" s="59">
        <f t="shared" si="62"/>
        <v>287.61297713225599</v>
      </c>
      <c r="BI75" s="59">
        <f ca="1">AVERAGE(OFFSET($BH$3,0,0,'Données projet'!$E$11+1,1))-AVERAGE(OFFSET($H$3,0,0,'Données projet'!$E$11+1,1))</f>
        <v>201.7253431547006</v>
      </c>
      <c r="BJ75" s="59">
        <f t="shared" si="92"/>
        <v>229.70004720044096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38.049183612057988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38.049183612057988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12.6</v>
      </c>
      <c r="BY75" s="12">
        <f>IF('Données projet'!$A$114&gt;35,BY74+BX75-CG74,IF(A75&lt;'Données projet'!$A$114,$BV$205^A75,IF(A75='Données projet'!$A$114,'Données projet'!$B$114,BY74+BX75-CG74)))</f>
        <v>627.19999999999993</v>
      </c>
      <c r="BZ75" s="13">
        <f>BY75*VLOOKUP('Données projet'!$B$12,Paramètres!$A$1:$I$89,3,0)*VLOOKUP('Données projet'!$B$12,Paramètres!$A$1:$I$89,5,0)</f>
        <v>350.60479999999995</v>
      </c>
      <c r="CA75" s="13">
        <f t="shared" si="93"/>
        <v>81.687033322865261</v>
      </c>
      <c r="CB75" s="20">
        <f t="shared" si="64"/>
        <v>752.90827637065695</v>
      </c>
      <c r="CC75" s="59">
        <f t="shared" si="65"/>
        <v>1040.5212535029116</v>
      </c>
      <c r="CD75" s="59">
        <f ca="1">AVERAGE(OFFSET($CC$3,0,0,'Données projet'!$E$12+1,1))-AVERAGE(OFFSET($H$3,0,0,'Données projet'!$E$12+1,1))</f>
        <v>462.09240749760784</v>
      </c>
      <c r="CE75" s="59">
        <f t="shared" si="94"/>
        <v>403.52202223463337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95.192305538764913</v>
      </c>
      <c r="CL75" s="21">
        <f>EXP(-LN(2)/25)*CL74+(1-EXP(-LN(2)/25))/(LN(2)/25)*Calculateur!CG75*Calculateur!CI75*VLOOKUP('Données projet'!$B$12,Paramètres!$A$1:$I$89,3,0)*0.475*44/12</f>
        <v>21.29750745995565</v>
      </c>
      <c r="CM75" s="21">
        <f>EXP(-LN(2)/2)*CM74+(1-EXP(-LN(2)/2))/(LN(2)/2)*CG75*CJ75*VLOOKUP('Données projet'!$B$12,Paramètres!$A$1:$I$89,3,0)*0.475*44/12</f>
        <v>0.57855770776128579</v>
      </c>
      <c r="CN75" s="22">
        <f t="shared" si="66"/>
        <v>117.06837070648186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</v>
      </c>
      <c r="CT75" s="12">
        <f>IF('Données projet'!$A$140&gt;35,CT74+CS75-DB74,IF(A75&lt;'Données projet'!$A$140,$CQ$205^A75,IF(A75='Données projet'!$A$140,'Données projet'!$B$140,CT74+CS75-DB74)))</f>
        <v>530</v>
      </c>
      <c r="CU75" s="17">
        <f>CT75*VLOOKUP('Données projet'!$B$13,Paramètres!$A$1:$I$89,3,0)*VLOOKUP('Données projet'!$B$13,Paramètres!$A$1:$I$89,5,0)</f>
        <v>248.04</v>
      </c>
      <c r="CV75" s="13">
        <f t="shared" si="95"/>
        <v>60.166044284441391</v>
      </c>
      <c r="CW75" s="20">
        <f t="shared" si="67"/>
        <v>536.792193795402</v>
      </c>
      <c r="CX75" s="59">
        <f t="shared" si="68"/>
        <v>824.40517092765663</v>
      </c>
      <c r="CY75" s="59">
        <f ca="1">AVERAGE(OFFSET($CX$3,0,0,'Données projet'!$E$13+1,1))-AVERAGE(OFFSET($H$3,0,0,'Données projet'!$E$13+1,1))</f>
        <v>319.88925869887464</v>
      </c>
      <c r="CZ75" s="59">
        <f t="shared" si="96"/>
        <v>258.2857172412098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21.882563681124537</v>
      </c>
      <c r="DG75" s="21">
        <f>EXP(-LN(2)/25)*DG74+(1-EXP(-LN(2)/25))/(LN(2)/25)*Calculateur!DB75*Calculateur!DD75*VLOOKUP('Données projet'!$B$13,Paramètres!$A$1:$I$89,3,0)*0.475*44/12</f>
        <v>15.625651791235953</v>
      </c>
      <c r="DH75" s="21">
        <f>EXP(-LN(2)/2)*DH74+(1-EXP(-LN(2)/2))/(LN(2)/2)*DB75*DE75*VLOOKUP('Données projet'!$B$13,Paramètres!$A$1:$I$89,3,0)*0.475*44/12</f>
        <v>1.9839375335993428</v>
      </c>
      <c r="DI75" s="22">
        <f t="shared" si="69"/>
        <v>39.492153005959835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12.888750000000002</v>
      </c>
      <c r="DO75" s="12">
        <f>IF('Données projet'!$A$166&gt;35,DO74+DN75-DW74,IF(A75&lt;'Données projet'!$A$166,$DL$205^A75,IF(A75='Données projet'!$A$166,'Données projet'!$B$166,DO74+DN75-DW74)))</f>
        <v>620.01499999999965</v>
      </c>
      <c r="DP75" s="17">
        <f>DO75*VLOOKUP('Données projet'!$B$14,Paramètres!$A$1:$I$89,3,0)*VLOOKUP('Données projet'!$B$14,Paramètres!$A$1:$I$89,5,0)</f>
        <v>370.7689699999998</v>
      </c>
      <c r="DQ75" s="13">
        <f t="shared" si="97"/>
        <v>85.824604716239875</v>
      </c>
      <c r="DR75" s="20">
        <f t="shared" si="70"/>
        <v>795.23380929745065</v>
      </c>
      <c r="DS75" s="59">
        <f t="shared" si="71"/>
        <v>1082.8467864297054</v>
      </c>
      <c r="DT75" s="59">
        <f ca="1">AVERAGE(OFFSET($DS$3,0,0,'Données projet'!$E$14+1,1))-AVERAGE(OFFSET($H$3,0,0,'Données projet'!$E$14+1,1))</f>
        <v>443.64905827069435</v>
      </c>
      <c r="DU75" s="59">
        <f t="shared" si="98"/>
        <v>381.14782516862385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43.661152915935645</v>
      </c>
      <c r="EB75" s="21">
        <f>EXP(-LN(2)/25)*EB74+(1-EXP(-LN(2)/25))/(LN(2)/25)*Calculateur!DW75*Calculateur!DY75*VLOOKUP('Données projet'!$B$14,Paramètres!$A$1:$I$89,3,0)*0.475*44/12</f>
        <v>22.664889769353778</v>
      </c>
      <c r="EC75" s="21">
        <f>EXP(-LN(2)/2)*EC74+(1-EXP(-LN(2)/2))/(LN(2)/2)*DW75*DZ75*VLOOKUP('Données projet'!$B$14,Paramètres!$A$1:$I$89,3,0)*0.475*44/12</f>
        <v>1.3640898168187734</v>
      </c>
      <c r="ED75" s="22">
        <f t="shared" si="72"/>
        <v>67.690132502108199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-3.4106051316484809E-13</v>
      </c>
      <c r="EK75" s="17">
        <f>EJ75*VLOOKUP('Données projet'!$B$15,Paramètres!$A$1:$I$89,3,0)*VLOOKUP('Données projet'!$B$15,Paramètres!$A$1:$I$89,5,0)</f>
        <v>-3.0859155231155454E-13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504.37890861635196</v>
      </c>
      <c r="EP75" s="59">
        <f t="shared" si="100"/>
        <v>611.82129317522913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55.13827320625078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55.13827320625078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5</v>
      </c>
      <c r="FE75" s="12">
        <f>IF('Données projet'!$A$218&gt;35,FE74+FD75-FM74,IF(A75&lt;'Données projet'!$A$218,$FB$205^A75,IF(A75='Données projet'!$A$218,'Données projet'!$B$218,FE74+FD75-FM74)))</f>
        <v>168</v>
      </c>
      <c r="FF75" s="17">
        <f>FE75*VLOOKUP('Données projet'!$B$16,Paramètres!$A$1:$I$89,3,0)*VLOOKUP('Données projet'!$B$16,Paramètres!$A$1:$I$89,5,0)</f>
        <v>180.83519999999999</v>
      </c>
      <c r="FG75" s="13">
        <f t="shared" si="101"/>
        <v>45.507952685945142</v>
      </c>
      <c r="FH75" s="20">
        <f t="shared" si="76"/>
        <v>394.21432426135442</v>
      </c>
      <c r="FI75" s="59">
        <f t="shared" si="77"/>
        <v>681.8273013936091</v>
      </c>
      <c r="FJ75" s="59">
        <f ca="1">AVERAGE(OFFSET($FI$3,0,0,'Données projet'!$E$16+1,1))-AVERAGE(OFFSET($H$3,0,0,'Données projet'!$E$16+1,1))</f>
        <v>334.01098870576732</v>
      </c>
      <c r="FK75" s="59">
        <f t="shared" si="102"/>
        <v>171.1802153303471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11.003829786792313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11.003829786792313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3.4</v>
      </c>
      <c r="FZ75" s="12">
        <f>IF('Données projet'!$A$244&gt;35,FZ74+FY75-GH74,IF(A75&lt;'Données projet'!$A$244,$FW$205^A75,IF(A75='Données projet'!$A$244,'Données projet'!$B$244,FZ74+FY75-GH74)))</f>
        <v>259.79999999999984</v>
      </c>
      <c r="GA75" s="17">
        <f>FZ75*VLOOKUP('Données projet'!$B$17,Paramètres!$A$1:$I$89,3,0)*VLOOKUP('Données projet'!$B$17,Paramètres!$A$1:$I$89,5,0)</f>
        <v>226.96127999999987</v>
      </c>
      <c r="GB75" s="13">
        <f t="shared" si="103"/>
        <v>55.625131501998617</v>
      </c>
      <c r="GC75" s="20">
        <f t="shared" si="79"/>
        <v>492.17133336598067</v>
      </c>
      <c r="GD75" s="59">
        <f t="shared" si="80"/>
        <v>779.7843104982353</v>
      </c>
      <c r="GE75" s="59">
        <f ca="1">AVERAGE(OFFSET($GD$3,0,0,'Données projet'!$E$17+1,1))-AVERAGE(OFFSET($H$3,0,0,'Données projet'!$E$17+1,1))</f>
        <v>330.12856974146598</v>
      </c>
      <c r="GF75" s="59">
        <f t="shared" si="104"/>
        <v>321.23368446552286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18.861474436430044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18.861474436430044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68.439902854251272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6.2</v>
      </c>
      <c r="GU75" s="12">
        <f>IF('Données projet'!$A$270&gt;35,GU74+GT75-HC74,IF(A75&lt;'Données projet'!$A$270,$GR$205^A75,IF(A75='Données projet'!$A$270,'Données projet'!$B$270,GU74+GT75-HC74)))</f>
        <v>233.39999999999995</v>
      </c>
      <c r="GV75" s="17">
        <f>GU75*VLOOKUP('Données projet'!$B$18,Paramètres!$A$1:$I$89,3,0)*VLOOKUP('Données projet'!$B$18,Paramètres!$A$1:$I$89,5,0)</f>
        <v>156.56471999999997</v>
      </c>
      <c r="GW75" s="13">
        <f t="shared" si="105"/>
        <v>40.066702365401426</v>
      </c>
      <c r="GX75" s="20">
        <f t="shared" si="82"/>
        <v>342.46639395307403</v>
      </c>
      <c r="GY75" s="59">
        <f t="shared" si="83"/>
        <v>630.07937108532872</v>
      </c>
      <c r="GZ75" s="59">
        <f ca="1">AVERAGE(OFFSET($GY$3,0,0,'Données projet'!$E$18+1,1))-AVERAGE(OFFSET($H$3,0,0,'Données projet'!$E$18+1,1))</f>
        <v>296.67751292332753</v>
      </c>
      <c r="HA75" s="59">
        <f t="shared" si="106"/>
        <v>197.99510031603018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14.656231486190817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14.656231486190817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1.1000000000000001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4.0333333333333341</v>
      </c>
      <c r="H76" s="67">
        <f t="shared" si="56"/>
        <v>240.5333333333333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867.83516375599743</v>
      </c>
      <c r="S76" s="59">
        <f ca="1">AVERAGE(OFFSET($R$3,0,0,'Données projet'!$E$9+1,1))-AVERAGE(OFFSET($H$3,0,0,'Données projet'!$E$9+1,1))</f>
        <v>461.20962581398715</v>
      </c>
      <c r="T76" s="59">
        <f t="shared" si="88"/>
        <v>348.44322874953923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296.79999999999995</v>
      </c>
      <c r="AJ76" s="13">
        <f>AI76*VLOOKUP('Données projet'!$B$10,Paramètres!$A$1:$I$89,3,0)*VLOOKUP('Données projet'!$B$10,Paramètres!$A$1:$I$89,5,0)</f>
        <v>300.95519999999999</v>
      </c>
      <c r="AK76" s="13">
        <f t="shared" si="89"/>
        <v>71.376673021759785</v>
      </c>
      <c r="AL76" s="20">
        <f t="shared" si="58"/>
        <v>648.47801217956487</v>
      </c>
      <c r="AM76" s="59">
        <f t="shared" si="59"/>
        <v>936.19022470310756</v>
      </c>
      <c r="AN76" s="59">
        <f ca="1">AVERAGE(OFFSET($AM$3,0,0,'Données projet'!$E$10+1,1))-AVERAGE(OFFSET($H$3,0,0,'Données projet'!$E$10+1,1))</f>
        <v>510.86584023875525</v>
      </c>
      <c r="AO76" s="59">
        <f t="shared" si="90"/>
        <v>384.62921487244125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23.496202822659956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23.496202822659956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4.1677594708744434E-14</v>
      </c>
      <c r="BF76" s="13">
        <f t="shared" si="91"/>
        <v>6.9326303456159188E-13</v>
      </c>
      <c r="BG76" s="20">
        <f t="shared" si="61"/>
        <v>1.2800215959791691E-12</v>
      </c>
      <c r="BH76" s="59">
        <f t="shared" si="62"/>
        <v>287.71221252354405</v>
      </c>
      <c r="BI76" s="59">
        <f ca="1">AVERAGE(OFFSET($BH$3,0,0,'Données projet'!$E$11+1,1))-AVERAGE(OFFSET($H$3,0,0,'Données projet'!$E$11+1,1))</f>
        <v>201.7253431547006</v>
      </c>
      <c r="BJ76" s="59">
        <f t="shared" si="92"/>
        <v>229.70004720044096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37.303062329135962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37.303062329135962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12.6</v>
      </c>
      <c r="BY76" s="12">
        <f>IF('Données projet'!$A$114&gt;35,BY75+BX76-CG75,IF(A76&lt;'Données projet'!$A$114,$BV$205^A76,IF(A76='Données projet'!$A$114,'Données projet'!$B$114,BY75+BX76-CG75)))</f>
        <v>639.79999999999995</v>
      </c>
      <c r="BZ76" s="13">
        <f>BY76*VLOOKUP('Données projet'!$B$12,Paramètres!$A$1:$I$89,3,0)*VLOOKUP('Données projet'!$B$12,Paramètres!$A$1:$I$89,5,0)</f>
        <v>357.64819999999997</v>
      </c>
      <c r="CA76" s="13">
        <f t="shared" si="93"/>
        <v>83.135368284834513</v>
      </c>
      <c r="CB76" s="20">
        <f t="shared" si="64"/>
        <v>767.69804809608661</v>
      </c>
      <c r="CC76" s="59">
        <f t="shared" si="65"/>
        <v>1055.4102606196293</v>
      </c>
      <c r="CD76" s="59">
        <f ca="1">AVERAGE(OFFSET($CC$3,0,0,'Données projet'!$E$12+1,1))-AVERAGE(OFFSET($H$3,0,0,'Données projet'!$E$12+1,1))</f>
        <v>462.09240749760784</v>
      </c>
      <c r="CE76" s="59">
        <f t="shared" si="94"/>
        <v>403.52202223463337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93.325642488723005</v>
      </c>
      <c r="CL76" s="21">
        <f>EXP(-LN(2)/25)*CL75+(1-EXP(-LN(2)/25))/(LN(2)/25)*Calculateur!CG76*Calculateur!CI76*VLOOKUP('Données projet'!$B$12,Paramètres!$A$1:$I$89,3,0)*0.475*44/12</f>
        <v>20.715125998475923</v>
      </c>
      <c r="CM76" s="21">
        <f>EXP(-LN(2)/2)*CM75+(1-EXP(-LN(2)/2))/(LN(2)/2)*CG76*CJ76*VLOOKUP('Données projet'!$B$12,Paramètres!$A$1:$I$89,3,0)*0.475*44/12</f>
        <v>0.40910207846575003</v>
      </c>
      <c r="CN76" s="22">
        <f t="shared" si="66"/>
        <v>114.44987056566468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</v>
      </c>
      <c r="CT76" s="12">
        <f>IF('Données projet'!$A$140&gt;35,CT75+CS76-DB75,IF(A76&lt;'Données projet'!$A$140,$CQ$205^A76,IF(A76='Données projet'!$A$140,'Données projet'!$B$140,CT75+CS76-DB75)))</f>
        <v>540</v>
      </c>
      <c r="CU76" s="17">
        <f>CT76*VLOOKUP('Données projet'!$B$13,Paramètres!$A$1:$I$89,3,0)*VLOOKUP('Données projet'!$B$13,Paramètres!$A$1:$I$89,5,0)</f>
        <v>252.72000000000003</v>
      </c>
      <c r="CV76" s="13">
        <f t="shared" si="95"/>
        <v>61.168020584496823</v>
      </c>
      <c r="CW76" s="20">
        <f t="shared" si="67"/>
        <v>546.68830251799864</v>
      </c>
      <c r="CX76" s="59">
        <f t="shared" si="68"/>
        <v>834.40051504154144</v>
      </c>
      <c r="CY76" s="59">
        <f ca="1">AVERAGE(OFFSET($CX$3,0,0,'Données projet'!$E$13+1,1))-AVERAGE(OFFSET($H$3,0,0,'Données projet'!$E$13+1,1))</f>
        <v>319.88925869887464</v>
      </c>
      <c r="CZ76" s="59">
        <f t="shared" si="96"/>
        <v>258.2857172412098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21.453459954383618</v>
      </c>
      <c r="DG76" s="21">
        <f>EXP(-LN(2)/25)*DG75+(1-EXP(-LN(2)/25))/(LN(2)/25)*Calculateur!DB76*Calculateur!DD76*VLOOKUP('Données projet'!$B$13,Paramètres!$A$1:$I$89,3,0)*0.475*44/12</f>
        <v>15.19836752128729</v>
      </c>
      <c r="DH76" s="21">
        <f>EXP(-LN(2)/2)*DH75+(1-EXP(-LN(2)/2))/(LN(2)/2)*DB76*DE76*VLOOKUP('Données projet'!$B$13,Paramètres!$A$1:$I$89,3,0)*0.475*44/12</f>
        <v>1.4028556834586094</v>
      </c>
      <c r="DI76" s="22">
        <f t="shared" si="69"/>
        <v>38.054683159129517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12.888750000000002</v>
      </c>
      <c r="DO76" s="12">
        <f>IF('Données projet'!$A$166&gt;35,DO75+DN76-DW75,IF(A76&lt;'Données projet'!$A$166,$DL$205^A76,IF(A76='Données projet'!$A$166,'Données projet'!$B$166,DO75+DN76-DW75)))</f>
        <v>632.9037499999996</v>
      </c>
      <c r="DP76" s="17">
        <f>DO76*VLOOKUP('Données projet'!$B$14,Paramètres!$A$1:$I$89,3,0)*VLOOKUP('Données projet'!$B$14,Paramètres!$A$1:$I$89,5,0)</f>
        <v>378.47644249999979</v>
      </c>
      <c r="DQ76" s="13">
        <f t="shared" si="97"/>
        <v>87.399147255585461</v>
      </c>
      <c r="DR76" s="20">
        <f t="shared" si="70"/>
        <v>811.39998549097754</v>
      </c>
      <c r="DS76" s="59">
        <f t="shared" si="71"/>
        <v>1099.1121980145203</v>
      </c>
      <c r="DT76" s="59">
        <f ca="1">AVERAGE(OFFSET($DS$3,0,0,'Données projet'!$E$14+1,1))-AVERAGE(OFFSET($H$3,0,0,'Données projet'!$E$14+1,1))</f>
        <v>443.64905827069435</v>
      </c>
      <c r="DU76" s="59">
        <f t="shared" si="98"/>
        <v>381.14782516862385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42.804984337927863</v>
      </c>
      <c r="EB76" s="21">
        <f>EXP(-LN(2)/25)*EB75+(1-EXP(-LN(2)/25))/(LN(2)/25)*Calculateur!DW76*Calculateur!DY76*VLOOKUP('Données projet'!$B$14,Paramètres!$A$1:$I$89,3,0)*0.475*44/12</f>
        <v>22.045117166716047</v>
      </c>
      <c r="EC76" s="21">
        <f>EXP(-LN(2)/2)*EC75+(1-EXP(-LN(2)/2))/(LN(2)/2)*DW76*DZ76*VLOOKUP('Données projet'!$B$14,Paramètres!$A$1:$I$89,3,0)*0.475*44/12</f>
        <v>0.96455715962007016</v>
      </c>
      <c r="ED76" s="22">
        <f t="shared" si="72"/>
        <v>65.814658664263973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-3.4106051316484809E-13</v>
      </c>
      <c r="EK76" s="17">
        <f>EJ76*VLOOKUP('Données projet'!$B$15,Paramètres!$A$1:$I$89,3,0)*VLOOKUP('Données projet'!$B$15,Paramètres!$A$1:$I$89,5,0)</f>
        <v>-3.0859155231155454E-13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504.37890861635196</v>
      </c>
      <c r="EP76" s="59">
        <f t="shared" si="100"/>
        <v>611.82129317522913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54.057045299702068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54.057045299702068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5</v>
      </c>
      <c r="FE76" s="12">
        <f>IF('Données projet'!$A$218&gt;35,FE75+FD76-FM75,IF(A76&lt;'Données projet'!$A$218,$FB$205^A76,IF(A76='Données projet'!$A$218,'Données projet'!$B$218,FE75+FD76-FM75)))</f>
        <v>173</v>
      </c>
      <c r="FF76" s="17">
        <f>FE76*VLOOKUP('Données projet'!$B$16,Paramètres!$A$1:$I$89,3,0)*VLOOKUP('Données projet'!$B$16,Paramètres!$A$1:$I$89,5,0)</f>
        <v>186.21719999999999</v>
      </c>
      <c r="FG76" s="13">
        <f t="shared" si="101"/>
        <v>46.702653149673253</v>
      </c>
      <c r="FH76" s="20">
        <f t="shared" si="76"/>
        <v>405.66874423568089</v>
      </c>
      <c r="FI76" s="59">
        <f t="shared" si="77"/>
        <v>693.38095675922364</v>
      </c>
      <c r="FJ76" s="59">
        <f ca="1">AVERAGE(OFFSET($FI$3,0,0,'Données projet'!$E$16+1,1))-AVERAGE(OFFSET($H$3,0,0,'Données projet'!$E$16+1,1))</f>
        <v>334.01098870576732</v>
      </c>
      <c r="FK76" s="59">
        <f t="shared" si="102"/>
        <v>171.1802153303471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10.788051396346763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10.788051396346763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3.4</v>
      </c>
      <c r="FZ76" s="12">
        <f>IF('Données projet'!$A$244&gt;35,FZ75+FY76-GH75,IF(A76&lt;'Données projet'!$A$244,$FW$205^A76,IF(A76='Données projet'!$A$244,'Données projet'!$B$244,FZ75+FY76-GH75)))</f>
        <v>263.19999999999982</v>
      </c>
      <c r="GA76" s="17">
        <f>FZ76*VLOOKUP('Données projet'!$B$17,Paramètres!$A$1:$I$89,3,0)*VLOOKUP('Données projet'!$B$17,Paramètres!$A$1:$I$89,5,0)</f>
        <v>229.93151999999986</v>
      </c>
      <c r="GB76" s="13">
        <f t="shared" si="103"/>
        <v>56.26787429746841</v>
      </c>
      <c r="GC76" s="20">
        <f t="shared" si="79"/>
        <v>498.4639450680906</v>
      </c>
      <c r="GD76" s="59">
        <f t="shared" si="80"/>
        <v>786.17615759163334</v>
      </c>
      <c r="GE76" s="59">
        <f ca="1">AVERAGE(OFFSET($GD$3,0,0,'Données projet'!$E$17+1,1))-AVERAGE(OFFSET($H$3,0,0,'Données projet'!$E$17+1,1))</f>
        <v>330.12856974146598</v>
      </c>
      <c r="GF76" s="59">
        <f t="shared" si="104"/>
        <v>321.23368446552286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18.491612427095095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18.491612427095095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68.466967051875301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6.2</v>
      </c>
      <c r="GU76" s="12">
        <f>IF('Données projet'!$A$270&gt;35,GU75+GT76-HC75,IF(A76&lt;'Données projet'!$A$270,$GR$205^A76,IF(A76='Données projet'!$A$270,'Données projet'!$B$270,GU75+GT76-HC75)))</f>
        <v>239.59999999999994</v>
      </c>
      <c r="GV76" s="17">
        <f>GU76*VLOOKUP('Données projet'!$B$18,Paramètres!$A$1:$I$89,3,0)*VLOOKUP('Données projet'!$B$18,Paramètres!$A$1:$I$89,5,0)</f>
        <v>160.72367999999997</v>
      </c>
      <c r="GW76" s="13">
        <f t="shared" si="105"/>
        <v>41.005700554955503</v>
      </c>
      <c r="GX76" s="20">
        <f t="shared" si="82"/>
        <v>351.34533779988072</v>
      </c>
      <c r="GY76" s="59">
        <f t="shared" si="83"/>
        <v>639.05755032342347</v>
      </c>
      <c r="GZ76" s="59">
        <f ca="1">AVERAGE(OFFSET($GY$3,0,0,'Données projet'!$E$18+1,1))-AVERAGE(OFFSET($H$3,0,0,'Données projet'!$E$18+1,1))</f>
        <v>296.67751292332753</v>
      </c>
      <c r="HA76" s="59">
        <f t="shared" si="106"/>
        <v>197.99510031603018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14.368831726165128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14.368831726165128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1.1000000000000001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4.0333333333333341</v>
      </c>
      <c r="H77" s="67">
        <f t="shared" si="56"/>
        <v>240.5333333333333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275.42111999999997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882.44878172233769</v>
      </c>
      <c r="S77" s="59">
        <f ca="1">AVERAGE(OFFSET($R$3,0,0,'Données projet'!$E$9+1,1))-AVERAGE(OFFSET($H$3,0,0,'Données projet'!$E$9+1,1))</f>
        <v>461.20962581398715</v>
      </c>
      <c r="T77" s="59">
        <f t="shared" si="88"/>
        <v>348.44322874953923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304.39999999999998</v>
      </c>
      <c r="AJ77" s="13">
        <f>AI77*VLOOKUP('Données projet'!$B$10,Paramètres!$A$1:$I$89,3,0)*VLOOKUP('Données projet'!$B$10,Paramètres!$A$1:$I$89,5,0)</f>
        <v>308.66159999999996</v>
      </c>
      <c r="AK77" s="13">
        <f t="shared" si="89"/>
        <v>72.98924863505313</v>
      </c>
      <c r="AL77" s="20">
        <f t="shared" si="58"/>
        <v>664.70856137271744</v>
      </c>
      <c r="AM77" s="59">
        <f t="shared" si="59"/>
        <v>952.51828777536662</v>
      </c>
      <c r="AN77" s="59">
        <f ca="1">AVERAGE(OFFSET($AM$3,0,0,'Données projet'!$E$10+1,1))-AVERAGE(OFFSET($H$3,0,0,'Données projet'!$E$10+1,1))</f>
        <v>510.86584023875525</v>
      </c>
      <c r="AO77" s="59">
        <f t="shared" si="90"/>
        <v>384.62921487244125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23.035456616576223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23.035456616576223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4.1677594708744434E-14</v>
      </c>
      <c r="BF77" s="13">
        <f t="shared" si="91"/>
        <v>6.9326303456159188E-13</v>
      </c>
      <c r="BG77" s="20">
        <f t="shared" si="61"/>
        <v>1.2800215959791691E-12</v>
      </c>
      <c r="BH77" s="59">
        <f t="shared" si="62"/>
        <v>287.80972640265048</v>
      </c>
      <c r="BI77" s="59">
        <f ca="1">AVERAGE(OFFSET($BH$3,0,0,'Données projet'!$E$11+1,1))-AVERAGE(OFFSET($H$3,0,0,'Données projet'!$E$11+1,1))</f>
        <v>201.7253431547006</v>
      </c>
      <c r="BJ77" s="59">
        <f t="shared" si="92"/>
        <v>229.70004720044096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36.571572029482994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36.571572029482994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12.6</v>
      </c>
      <c r="BY77" s="12">
        <f>IF('Données projet'!$A$114&gt;35,BY76+BX77-CG76,IF(A77&lt;'Données projet'!$A$114,$BV$205^A77,IF(A77='Données projet'!$A$114,'Données projet'!$B$114,BY76+BX77-CG76)))</f>
        <v>652.4</v>
      </c>
      <c r="BZ77" s="13">
        <f>BY77*VLOOKUP('Données projet'!$B$12,Paramètres!$A$1:$I$89,3,0)*VLOOKUP('Données projet'!$B$12,Paramètres!$A$1:$I$89,5,0)</f>
        <v>364.69159999999999</v>
      </c>
      <c r="CA77" s="13">
        <f t="shared" si="93"/>
        <v>84.580386744525228</v>
      </c>
      <c r="CB77" s="20">
        <f t="shared" si="64"/>
        <v>782.48204358004807</v>
      </c>
      <c r="CC77" s="59">
        <f t="shared" si="65"/>
        <v>1070.2917699826971</v>
      </c>
      <c r="CD77" s="59">
        <f ca="1">AVERAGE(OFFSET($CC$3,0,0,'Données projet'!$E$12+1,1))-AVERAGE(OFFSET($H$3,0,0,'Données projet'!$E$12+1,1))</f>
        <v>462.09240749760784</v>
      </c>
      <c r="CE77" s="59">
        <f t="shared" si="94"/>
        <v>403.52202223463337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91.495583562540389</v>
      </c>
      <c r="CL77" s="21">
        <f>EXP(-LN(2)/25)*CL76+(1-EXP(-LN(2)/25))/(LN(2)/25)*Calculateur!CG77*Calculateur!CI77*VLOOKUP('Données projet'!$B$12,Paramètres!$A$1:$I$89,3,0)*0.475*44/12</f>
        <v>20.148669788686469</v>
      </c>
      <c r="CM77" s="21">
        <f>EXP(-LN(2)/2)*CM76+(1-EXP(-LN(2)/2))/(LN(2)/2)*CG77*CJ77*VLOOKUP('Données projet'!$B$12,Paramètres!$A$1:$I$89,3,0)*0.475*44/12</f>
        <v>0.28927885388064289</v>
      </c>
      <c r="CN77" s="22">
        <f t="shared" si="66"/>
        <v>111.93353220510751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</v>
      </c>
      <c r="CT77" s="12">
        <f>IF('Données projet'!$A$140&gt;35,CT76+CS77-DB76,IF(A77&lt;'Données projet'!$A$140,$CQ$205^A77,IF(A77='Données projet'!$A$140,'Données projet'!$B$140,CT76+CS77-DB76)))</f>
        <v>550</v>
      </c>
      <c r="CU77" s="17">
        <f>CT77*VLOOKUP('Données projet'!$B$13,Paramètres!$A$1:$I$89,3,0)*VLOOKUP('Données projet'!$B$13,Paramètres!$A$1:$I$89,5,0)</f>
        <v>257.40000000000003</v>
      </c>
      <c r="CV77" s="13">
        <f t="shared" si="95"/>
        <v>62.167839264733466</v>
      </c>
      <c r="CW77" s="20">
        <f t="shared" si="67"/>
        <v>556.58065338607753</v>
      </c>
      <c r="CX77" s="59">
        <f t="shared" si="68"/>
        <v>844.3903797887267</v>
      </c>
      <c r="CY77" s="59">
        <f ca="1">AVERAGE(OFFSET($CX$3,0,0,'Données projet'!$E$13+1,1))-AVERAGE(OFFSET($H$3,0,0,'Données projet'!$E$13+1,1))</f>
        <v>319.88925869887464</v>
      </c>
      <c r="CZ77" s="59">
        <f t="shared" si="96"/>
        <v>258.2857172412098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21.03277068999666</v>
      </c>
      <c r="DG77" s="21">
        <f>EXP(-LN(2)/25)*DG76+(1-EXP(-LN(2)/25))/(LN(2)/25)*Calculateur!DB77*Calculateur!DD77*VLOOKUP('Données projet'!$B$13,Paramètres!$A$1:$I$89,3,0)*0.475*44/12</f>
        <v>14.782767362170278</v>
      </c>
      <c r="DH77" s="21">
        <f>EXP(-LN(2)/2)*DH76+(1-EXP(-LN(2)/2))/(LN(2)/2)*DB77*DE77*VLOOKUP('Données projet'!$B$13,Paramètres!$A$1:$I$89,3,0)*0.475*44/12</f>
        <v>0.99196876679967161</v>
      </c>
      <c r="DI77" s="22">
        <f t="shared" si="69"/>
        <v>36.807506818966608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12.888750000000002</v>
      </c>
      <c r="DO77" s="12">
        <f>IF('Données projet'!$A$166&gt;35,DO76+DN77-DW76,IF(A77&lt;'Données projet'!$A$166,$DL$205^A77,IF(A77='Données projet'!$A$166,'Données projet'!$B$166,DO76+DN77-DW76)))</f>
        <v>645.79249999999956</v>
      </c>
      <c r="DP77" s="17">
        <f>DO77*VLOOKUP('Données projet'!$B$14,Paramètres!$A$1:$I$89,3,0)*VLOOKUP('Données projet'!$B$14,Paramètres!$A$1:$I$89,5,0)</f>
        <v>386.18391499999979</v>
      </c>
      <c r="DQ77" s="13">
        <f t="shared" si="97"/>
        <v>88.969961608582523</v>
      </c>
      <c r="DR77" s="20">
        <f t="shared" si="70"/>
        <v>827.55966842661417</v>
      </c>
      <c r="DS77" s="59">
        <f t="shared" si="71"/>
        <v>1115.3693948292635</v>
      </c>
      <c r="DT77" s="59">
        <f ca="1">AVERAGE(OFFSET($DS$3,0,0,'Données projet'!$E$14+1,1))-AVERAGE(OFFSET($H$3,0,0,'Données projet'!$E$14+1,1))</f>
        <v>443.64905827069435</v>
      </c>
      <c r="DU77" s="59">
        <f t="shared" si="98"/>
        <v>381.14782516862385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41.965604703523546</v>
      </c>
      <c r="EB77" s="21">
        <f>EXP(-LN(2)/25)*EB76+(1-EXP(-LN(2)/25))/(LN(2)/25)*Calculateur!DW77*Calculateur!DY77*VLOOKUP('Données projet'!$B$14,Paramètres!$A$1:$I$89,3,0)*0.475*44/12</f>
        <v>21.44229227848987</v>
      </c>
      <c r="EC77" s="21">
        <f>EXP(-LN(2)/2)*EC76+(1-EXP(-LN(2)/2))/(LN(2)/2)*DW77*DZ77*VLOOKUP('Données projet'!$B$14,Paramètres!$A$1:$I$89,3,0)*0.475*44/12</f>
        <v>0.68204490840938681</v>
      </c>
      <c r="ED77" s="22">
        <f t="shared" si="72"/>
        <v>64.089941890422793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-3.4106051316484809E-13</v>
      </c>
      <c r="EK77" s="17">
        <f>EJ77*VLOOKUP('Données projet'!$B$15,Paramètres!$A$1:$I$89,3,0)*VLOOKUP('Données projet'!$B$15,Paramètres!$A$1:$I$89,5,0)</f>
        <v>-3.0859155231155454E-13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504.37890861635196</v>
      </c>
      <c r="EP77" s="59">
        <f t="shared" si="100"/>
        <v>611.82129317522913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52.997019612916873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52.997019612916873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5</v>
      </c>
      <c r="FE77" s="12">
        <f>IF('Données projet'!$A$218&gt;35,FE76+FD77-FM76,IF(A77&lt;'Données projet'!$A$218,$FB$205^A77,IF(A77='Données projet'!$A$218,'Données projet'!$B$218,FE76+FD77-FM76)))</f>
        <v>178</v>
      </c>
      <c r="FF77" s="17">
        <f>FE77*VLOOKUP('Données projet'!$B$16,Paramètres!$A$1:$I$89,3,0)*VLOOKUP('Données projet'!$B$16,Paramètres!$A$1:$I$89,5,0)</f>
        <v>191.5992</v>
      </c>
      <c r="FG77" s="13">
        <f t="shared" si="101"/>
        <v>47.893340610341859</v>
      </c>
      <c r="FH77" s="20">
        <f t="shared" si="76"/>
        <v>417.1161748963454</v>
      </c>
      <c r="FI77" s="59">
        <f t="shared" si="77"/>
        <v>704.92590129899463</v>
      </c>
      <c r="FJ77" s="59">
        <f ca="1">AVERAGE(OFFSET($FI$3,0,0,'Données projet'!$E$16+1,1))-AVERAGE(OFFSET($H$3,0,0,'Données projet'!$E$16+1,1))</f>
        <v>334.01098870576732</v>
      </c>
      <c r="FK77" s="59">
        <f t="shared" si="102"/>
        <v>171.1802153303471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10.576504288526028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10.576504288526028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3.4</v>
      </c>
      <c r="FZ77" s="12">
        <f>IF('Données projet'!$A$244&gt;35,FZ76+FY77-GH76,IF(A77&lt;'Données projet'!$A$244,$FW$205^A77,IF(A77='Données projet'!$A$244,'Données projet'!$B$244,FZ76+FY77-GH76)))</f>
        <v>266.5999999999998</v>
      </c>
      <c r="GA77" s="17">
        <f>FZ77*VLOOKUP('Données projet'!$B$17,Paramètres!$A$1:$I$89,3,0)*VLOOKUP('Données projet'!$B$17,Paramètres!$A$1:$I$89,5,0)</f>
        <v>232.90175999999985</v>
      </c>
      <c r="GB77" s="13">
        <f t="shared" si="103"/>
        <v>56.909651332233778</v>
      </c>
      <c r="GC77" s="20">
        <f t="shared" si="79"/>
        <v>504.75487473697353</v>
      </c>
      <c r="GD77" s="59">
        <f t="shared" si="80"/>
        <v>792.56460113962271</v>
      </c>
      <c r="GE77" s="59">
        <f ca="1">AVERAGE(OFFSET($GD$3,0,0,'Données projet'!$E$17+1,1))-AVERAGE(OFFSET($H$3,0,0,'Données projet'!$E$17+1,1))</f>
        <v>330.12856974146598</v>
      </c>
      <c r="GF77" s="59">
        <f t="shared" si="104"/>
        <v>321.23368446552286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18.129003186169655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18.129003186169655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68.493561746177051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6.2</v>
      </c>
      <c r="GU77" s="12">
        <f>IF('Données projet'!$A$270&gt;35,GU76+GT77-HC76,IF(A77&lt;'Données projet'!$A$270,$GR$205^A77,IF(A77='Données projet'!$A$270,'Données projet'!$B$270,GU76+GT77-HC76)))</f>
        <v>245.79999999999993</v>
      </c>
      <c r="GV77" s="17">
        <f>GU77*VLOOKUP('Données projet'!$B$18,Paramètres!$A$1:$I$89,3,0)*VLOOKUP('Données projet'!$B$18,Paramètres!$A$1:$I$89,5,0)</f>
        <v>164.88263999999995</v>
      </c>
      <c r="GW77" s="13">
        <f t="shared" si="105"/>
        <v>41.941874385207427</v>
      </c>
      <c r="GX77" s="20">
        <f t="shared" si="82"/>
        <v>360.21936255423617</v>
      </c>
      <c r="GY77" s="59">
        <f t="shared" si="83"/>
        <v>648.02908895688529</v>
      </c>
      <c r="GZ77" s="59">
        <f ca="1">AVERAGE(OFFSET($GY$3,0,0,'Données projet'!$E$18+1,1))-AVERAGE(OFFSET($H$3,0,0,'Données projet'!$E$18+1,1))</f>
        <v>296.67751292332753</v>
      </c>
      <c r="HA77" s="59">
        <f t="shared" si="106"/>
        <v>197.99510031603018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14.087067700136998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14.087067700136998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1.1000000000000001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4.0333333333333341</v>
      </c>
      <c r="H78" s="67">
        <f t="shared" si="56"/>
        <v>240.5333333333333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282.29759999999999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897.05333751362195</v>
      </c>
      <c r="S78" s="59">
        <f ca="1">AVERAGE(OFFSET($R$3,0,0,'Données projet'!$E$9+1,1))-AVERAGE(OFFSET($H$3,0,0,'Données projet'!$E$9+1,1))</f>
        <v>461.20962581398715</v>
      </c>
      <c r="T78" s="59">
        <f t="shared" si="88"/>
        <v>348.44322874953923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9">
        <f t="shared" si="59"/>
        <v>968.83650795714266</v>
      </c>
      <c r="AN78" s="59">
        <f ca="1">AVERAGE(OFFSET($AM$3,0,0,'Données projet'!$E$10+1,1))-AVERAGE(OFFSET($H$3,0,0,'Données projet'!$E$10+1,1))</f>
        <v>510.86584023875525</v>
      </c>
      <c r="AO78" s="59">
        <f t="shared" si="90"/>
        <v>384.62921487244125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29.331846090941752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29.331846090941752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4.1677594708744434E-14</v>
      </c>
      <c r="BF78" s="13">
        <f t="shared" si="91"/>
        <v>6.9326303456159188E-13</v>
      </c>
      <c r="BG78" s="20">
        <f t="shared" si="61"/>
        <v>1.2800215959791691E-12</v>
      </c>
      <c r="BH78" s="59">
        <f t="shared" si="62"/>
        <v>287.90554863396278</v>
      </c>
      <c r="BI78" s="59">
        <f ca="1">AVERAGE(OFFSET($BH$3,0,0,'Données projet'!$E$11+1,1))-AVERAGE(OFFSET($H$3,0,0,'Données projet'!$E$11+1,1))</f>
        <v>201.7253431547006</v>
      </c>
      <c r="BJ78" s="59">
        <f t="shared" si="92"/>
        <v>229.70004720044096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35.854425808441192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35.854425808441192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665</v>
      </c>
      <c r="BW78" s="12">
        <f>VLOOKUP(A78,'Données projet'!$A$113:$I$133,9,0)</f>
        <v>12.6</v>
      </c>
      <c r="BX78" s="12">
        <f t="array" ref="BX78">INDEX(BW:BW,MIN(IF(ISNUMBER(BW78:BW274),ROW(BW78:BW274),"")))</f>
        <v>12.6</v>
      </c>
      <c r="BY78" s="12">
        <f>IF('Données projet'!$A$114&gt;35,BY77+BX78-CG77,IF(A78&lt;'Données projet'!$A$114,$BV$205^A78,IF(A78='Données projet'!$A$114,'Données projet'!$B$114,BY77+BX78-CG77)))</f>
        <v>665</v>
      </c>
      <c r="BZ78" s="13">
        <f>BY78*VLOOKUP('Données projet'!$B$12,Paramètres!$A$1:$I$89,3,0)*VLOOKUP('Données projet'!$B$12,Paramètres!$A$1:$I$89,5,0)</f>
        <v>371.73500000000001</v>
      </c>
      <c r="CA78" s="13">
        <f t="shared" si="93"/>
        <v>86.022160138924164</v>
      </c>
      <c r="CB78" s="20">
        <f t="shared" si="64"/>
        <v>797.26038724195962</v>
      </c>
      <c r="CC78" s="59">
        <f t="shared" si="65"/>
        <v>1085.1659358759212</v>
      </c>
      <c r="CD78" s="59">
        <f ca="1">AVERAGE(OFFSET($CC$3,0,0,'Données projet'!$E$12+1,1))-AVERAGE(OFFSET($H$3,0,0,'Données projet'!$E$12+1,1))</f>
        <v>462.09240749760784</v>
      </c>
      <c r="CE78" s="59">
        <f t="shared" si="94"/>
        <v>403.52202223463337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33</v>
      </c>
      <c r="CH78" s="16">
        <f>IF(ISNA(VLOOKUP(A78,'Données projet'!$A$113:$I$133,5,0)),0%,VLOOKUP(A78,'Données projet'!$A$113:$I$133,5,0)*VLOOKUP('Données projet'!$B$12,Paramètres!$A$1:$I$89,7,0))</f>
        <v>0.49500000000000005</v>
      </c>
      <c r="CI78" s="16">
        <f>IF(ISNA(VLOOKUP(A78,'Données projet'!$A$113:$I$133,6,0)),0%,VLOOKUP(A78,'Données projet'!$A$113:$I$133,6,0)*VLOOKUP('Données projet'!$B$12,Paramètres!$A$1:$I$89,7,0))</f>
        <v>3.3000000000000002E-2</v>
      </c>
      <c r="CJ78" s="16">
        <f>IF(ISNA(VLOOKUP(A78,'Données projet'!$A$113:$I$133,7,0)),0%,VLOOKUP(A78,'Données projet'!$A$113:$I$133,7,0))</f>
        <v>0.04</v>
      </c>
      <c r="CK78" s="21">
        <f>EXP(-LN(2)/35)*CK77+(1-EXP(-LN(2)/35))/(LN(2)/35)*CG78*CH78*VLOOKUP('Données projet'!$B$12,Paramètres!$A$1:$I$89,3,0)*0.475*44/12</f>
        <v>101.81462255787361</v>
      </c>
      <c r="CL78" s="21">
        <f>EXP(-LN(2)/25)*CL77+(1-EXP(-LN(2)/25))/(LN(2)/25)*Calculateur!CG78*Calculateur!CI78*VLOOKUP('Données projet'!$B$12,Paramètres!$A$1:$I$89,3,0)*0.475*44/12</f>
        <v>20.402071170589313</v>
      </c>
      <c r="CM78" s="21">
        <f>EXP(-LN(2)/2)*CM77+(1-EXP(-LN(2)/2))/(LN(2)/2)*CG78*CJ78*VLOOKUP('Données projet'!$B$12,Paramètres!$A$1:$I$89,3,0)*0.475*44/12</f>
        <v>1.0400026069317034</v>
      </c>
      <c r="CN78" s="22">
        <f t="shared" si="66"/>
        <v>123.25669633539462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</v>
      </c>
      <c r="CT78" s="12">
        <f>IF('Données projet'!$A$140&gt;35,CT77+CS78-DB77,IF(A78&lt;'Données projet'!$A$140,$CQ$205^A78,IF(A78='Données projet'!$A$140,'Données projet'!$B$140,CT77+CS78-DB77)))</f>
        <v>560</v>
      </c>
      <c r="CU78" s="17">
        <f>CT78*VLOOKUP('Données projet'!$B$13,Paramètres!$A$1:$I$89,3,0)*VLOOKUP('Données projet'!$B$13,Paramètres!$A$1:$I$89,5,0)</f>
        <v>262.08</v>
      </c>
      <c r="CV78" s="13">
        <f t="shared" si="95"/>
        <v>63.165544079460766</v>
      </c>
      <c r="CW78" s="20">
        <f t="shared" si="67"/>
        <v>566.46932260506071</v>
      </c>
      <c r="CX78" s="59">
        <f t="shared" si="68"/>
        <v>854.37487123902224</v>
      </c>
      <c r="CY78" s="59">
        <f ca="1">AVERAGE(OFFSET($CX$3,0,0,'Données projet'!$E$13+1,1))-AVERAGE(OFFSET($H$3,0,0,'Données projet'!$E$13+1,1))</f>
        <v>319.88925869887464</v>
      </c>
      <c r="CZ78" s="59">
        <f t="shared" si="96"/>
        <v>258.2857172412098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20.620330885489214</v>
      </c>
      <c r="DG78" s="21">
        <f>EXP(-LN(2)/25)*DG77+(1-EXP(-LN(2)/25))/(LN(2)/25)*Calculateur!DB78*Calculateur!DD78*VLOOKUP('Données projet'!$B$13,Paramètres!$A$1:$I$89,3,0)*0.475*44/12</f>
        <v>14.378531811259782</v>
      </c>
      <c r="DH78" s="21">
        <f>EXP(-LN(2)/2)*DH77+(1-EXP(-LN(2)/2))/(LN(2)/2)*DB78*DE78*VLOOKUP('Données projet'!$B$13,Paramètres!$A$1:$I$89,3,0)*0.475*44/12</f>
        <v>0.70142784172930484</v>
      </c>
      <c r="DI78" s="22">
        <f t="shared" si="69"/>
        <v>35.700290538478299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12.888750000000002</v>
      </c>
      <c r="DO78" s="12">
        <f>IF('Données projet'!$A$166&gt;35,DO77+DN78-DW77,IF(A78&lt;'Données projet'!$A$166,$DL$205^A78,IF(A78='Données projet'!$A$166,'Données projet'!$B$166,DO77+DN78-DW77)))</f>
        <v>658.68124999999952</v>
      </c>
      <c r="DP78" s="17">
        <f>DO78*VLOOKUP('Données projet'!$B$14,Paramètres!$A$1:$I$89,3,0)*VLOOKUP('Données projet'!$B$14,Paramètres!$A$1:$I$89,5,0)</f>
        <v>393.89138749999972</v>
      </c>
      <c r="DQ78" s="13">
        <f t="shared" si="97"/>
        <v>90.537130758220258</v>
      </c>
      <c r="DR78" s="20">
        <f t="shared" si="70"/>
        <v>843.71300263306648</v>
      </c>
      <c r="DS78" s="59">
        <f t="shared" si="71"/>
        <v>1131.6185512670279</v>
      </c>
      <c r="DT78" s="59">
        <f ca="1">AVERAGE(OFFSET($DS$3,0,0,'Données projet'!$E$14+1,1))-AVERAGE(OFFSET($H$3,0,0,'Données projet'!$E$14+1,1))</f>
        <v>443.64905827069435</v>
      </c>
      <c r="DU78" s="59">
        <f t="shared" si="98"/>
        <v>381.14782516862385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41.142684791778876</v>
      </c>
      <c r="EB78" s="21">
        <f>EXP(-LN(2)/25)*EB77+(1-EXP(-LN(2)/25))/(LN(2)/25)*Calculateur!DW78*Calculateur!DY78*VLOOKUP('Données projet'!$B$14,Paramètres!$A$1:$I$89,3,0)*0.475*44/12</f>
        <v>20.855951668533422</v>
      </c>
      <c r="EC78" s="21">
        <f>EXP(-LN(2)/2)*EC77+(1-EXP(-LN(2)/2))/(LN(2)/2)*DW78*DZ78*VLOOKUP('Données projet'!$B$14,Paramètres!$A$1:$I$89,3,0)*0.475*44/12</f>
        <v>0.48227857981003514</v>
      </c>
      <c r="ED78" s="22">
        <f t="shared" si="72"/>
        <v>62.480915040122333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-3.4106051316484809E-13</v>
      </c>
      <c r="EK78" s="17">
        <f>EJ78*VLOOKUP('Données projet'!$B$15,Paramètres!$A$1:$I$89,3,0)*VLOOKUP('Données projet'!$B$15,Paramètres!$A$1:$I$89,5,0)</f>
        <v>-3.0859155231155454E-13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504.37890861635196</v>
      </c>
      <c r="EP78" s="59">
        <f t="shared" si="100"/>
        <v>611.82129317522913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51.95778038329771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51.95778038329771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183</v>
      </c>
      <c r="FC78" s="12">
        <f>VLOOKUP(A78,'Données projet'!$A$217:$I$237,9,0)</f>
        <v>5</v>
      </c>
      <c r="FD78" s="12">
        <f t="array" ref="FD78">INDEX(FC:FC,MIN(IF(ISNUMBER(FC78:FC274),ROW(FC78:FC274),"")))</f>
        <v>5</v>
      </c>
      <c r="FE78" s="12">
        <f>IF('Données projet'!$A$218&gt;35,FE77+FD78-FM77,IF(A78&lt;'Données projet'!$A$218,$FB$205^A78,IF(A78='Données projet'!$A$218,'Données projet'!$B$218,FE77+FD78-FM77)))</f>
        <v>183</v>
      </c>
      <c r="FF78" s="17">
        <f>FE78*VLOOKUP('Données projet'!$B$16,Paramètres!$A$1:$I$89,3,0)*VLOOKUP('Données projet'!$B$16,Paramètres!$A$1:$I$89,5,0)</f>
        <v>196.9812</v>
      </c>
      <c r="FG78" s="13">
        <f t="shared" si="101"/>
        <v>49.080140741894134</v>
      </c>
      <c r="FH78" s="20">
        <f t="shared" si="76"/>
        <v>428.55683512546557</v>
      </c>
      <c r="FI78" s="59">
        <f t="shared" si="77"/>
        <v>716.46238375942698</v>
      </c>
      <c r="FJ78" s="59">
        <f ca="1">AVERAGE(OFFSET($FI$3,0,0,'Données projet'!$E$16+1,1))-AVERAGE(OFFSET($H$3,0,0,'Données projet'!$E$16+1,1))</f>
        <v>334.01098870576732</v>
      </c>
      <c r="FK78" s="59">
        <f t="shared" si="102"/>
        <v>171.1802153303471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0.215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13.950789723211756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13.950789723211756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270</v>
      </c>
      <c r="FX78" s="12">
        <f>VLOOKUP(A78,'Données projet'!$A$243:$I$263,9,0)</f>
        <v>3.4</v>
      </c>
      <c r="FY78" s="12">
        <f t="array" ref="FY78">INDEX(FX:FX,MIN(IF(ISNUMBER(FX78:FX274),ROW(FX78:FX274),"")))</f>
        <v>3.4</v>
      </c>
      <c r="FZ78" s="12">
        <f>IF('Données projet'!$A$244&gt;35,FZ77+FY78-GH77,IF(A78&lt;'Données projet'!$A$244,$FW$205^A78,IF(A78='Données projet'!$A$244,'Données projet'!$B$244,FZ77+FY78-GH77)))</f>
        <v>269.99999999999977</v>
      </c>
      <c r="GA78" s="17">
        <f>FZ78*VLOOKUP('Données projet'!$B$17,Paramètres!$A$1:$I$89,3,0)*VLOOKUP('Données projet'!$B$17,Paramètres!$A$1:$I$89,5,0)</f>
        <v>235.87199999999982</v>
      </c>
      <c r="GB78" s="13">
        <f t="shared" si="103"/>
        <v>57.55047634701522</v>
      </c>
      <c r="GC78" s="20">
        <f t="shared" si="79"/>
        <v>511.04414630438458</v>
      </c>
      <c r="GD78" s="59">
        <f t="shared" si="80"/>
        <v>798.94969493834606</v>
      </c>
      <c r="GE78" s="59">
        <f ca="1">AVERAGE(OFFSET($GD$3,0,0,'Données projet'!$E$17+1,1))-AVERAGE(OFFSET($H$3,0,0,'Données projet'!$E$17+1,1))</f>
        <v>330.12856974146598</v>
      </c>
      <c r="GF78" s="59">
        <f t="shared" si="104"/>
        <v>321.23368446552286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9</v>
      </c>
      <c r="GI78" s="16">
        <f>IF(ISNA(VLOOKUP(A78,'Données projet'!$A$243:$I$263,5,0)),0%,VLOOKUP(A78,'Données projet'!$A$243:$I$263,5,0)*VLOOKUP('Données projet'!$B$17,Paramètres!$A$1:$I$89,7,0))</f>
        <v>0.318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20.537449290517642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20.537449290517642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68.519695081989497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252</v>
      </c>
      <c r="GS78" s="12">
        <f>VLOOKUP(A78,'Données projet'!$A$269:$I$289,9,0)</f>
        <v>6.2</v>
      </c>
      <c r="GT78" s="12">
        <f t="array" ref="GT78">INDEX(GS:GS,MIN(IF(ISNUMBER(GS78:GS274),ROW(GS78:GS274),"")))</f>
        <v>6.2</v>
      </c>
      <c r="GU78" s="12">
        <f>IF('Données projet'!$A$270&gt;35,GU77+GT78-HC77,IF(A78&lt;'Données projet'!$A$270,$GR$205^A78,IF(A78='Données projet'!$A$270,'Données projet'!$B$270,GU77+GT78-HC77)))</f>
        <v>251.99999999999991</v>
      </c>
      <c r="GV78" s="17">
        <f>GU78*VLOOKUP('Données projet'!$B$18,Paramètres!$A$1:$I$89,3,0)*VLOOKUP('Données projet'!$B$18,Paramètres!$A$1:$I$89,5,0)</f>
        <v>169.04159999999993</v>
      </c>
      <c r="GW78" s="13">
        <f t="shared" si="105"/>
        <v>42.875303289962908</v>
      </c>
      <c r="GX78" s="20">
        <f t="shared" si="82"/>
        <v>369.08860656335196</v>
      </c>
      <c r="GY78" s="59">
        <f t="shared" si="83"/>
        <v>656.99415519731338</v>
      </c>
      <c r="GZ78" s="59">
        <f ca="1">AVERAGE(OFFSET($GY$3,0,0,'Données projet'!$E$18+1,1))-AVERAGE(OFFSET($H$3,0,0,'Données projet'!$E$18+1,1))</f>
        <v>296.67751292332753</v>
      </c>
      <c r="HA78" s="59">
        <f t="shared" si="106"/>
        <v>197.99510031603018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21</v>
      </c>
      <c r="HD78" s="16">
        <f>IF(ISNA(VLOOKUP(A78,'Données projet'!$A$269:$I$289,5,0)),0%,VLOOKUP(A78,'Données projet'!$A$269:$I$289,5,0)*VLOOKUP('Données projet'!$B$18,Paramètres!$A$1:$I$89,7,0))</f>
        <v>0.26500000000000001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17.937552032537457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17.937552032537457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1.1000000000000001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4.0333333333333341</v>
      </c>
      <c r="H79" s="67">
        <f t="shared" si="56"/>
        <v>240.5333333333333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263.47775999999999</v>
      </c>
      <c r="P79" s="13">
        <f t="shared" si="87"/>
        <v>63.46312159763346</v>
      </c>
      <c r="Q79" s="20">
        <f t="shared" si="54"/>
        <v>569.42203544921153</v>
      </c>
      <c r="R79" s="59">
        <f t="shared" si="55"/>
        <v>857.42174401299849</v>
      </c>
      <c r="S79" s="59">
        <f ca="1">AVERAGE(OFFSET($R$3,0,0,'Données projet'!$E$9+1,1))-AVERAGE(OFFSET($H$3,0,0,'Données projet'!$E$9+1,1))</f>
        <v>461.20962581398715</v>
      </c>
      <c r="T79" s="59">
        <f t="shared" si="88"/>
        <v>348.44322874953923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9">
        <f t="shared" si="59"/>
        <v>924.5130170436114</v>
      </c>
      <c r="AN79" s="59">
        <f ca="1">AVERAGE(OFFSET($AM$3,0,0,'Données projet'!$E$10+1,1))-AVERAGE(OFFSET($H$3,0,0,'Données projet'!$E$10+1,1))</f>
        <v>510.86584023875525</v>
      </c>
      <c r="AO79" s="59">
        <f t="shared" si="90"/>
        <v>384.62921487244125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28.756666479757943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28.756666479757943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4.1677594708744434E-14</v>
      </c>
      <c r="BF79" s="13">
        <f t="shared" si="91"/>
        <v>6.9326303456159188E-13</v>
      </c>
      <c r="BG79" s="20">
        <f t="shared" si="61"/>
        <v>1.2800215959791691E-12</v>
      </c>
      <c r="BH79" s="59">
        <f t="shared" si="62"/>
        <v>287.9997085637882</v>
      </c>
      <c r="BI79" s="59">
        <f ca="1">AVERAGE(OFFSET($BH$3,0,0,'Données projet'!$E$11+1,1))-AVERAGE(OFFSET($H$3,0,0,'Données projet'!$E$11+1,1))</f>
        <v>201.7253431547006</v>
      </c>
      <c r="BJ79" s="59">
        <f t="shared" si="92"/>
        <v>229.70004720044096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35.151342387378016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35.151342387378016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10.8</v>
      </c>
      <c r="BY79" s="12">
        <f>IF('Données projet'!$A$114&gt;35,BY78+BX79-CG78,IF(A79&lt;'Données projet'!$A$114,$BV$205^A79,IF(A79='Données projet'!$A$114,'Données projet'!$B$114,BY78+BX79-CG78)))</f>
        <v>642.79999999999995</v>
      </c>
      <c r="BZ79" s="13">
        <f>BY79*VLOOKUP('Données projet'!$B$12,Paramètres!$A$1:$I$89,3,0)*VLOOKUP('Données projet'!$B$12,Paramètres!$A$1:$I$89,5,0)</f>
        <v>359.3252</v>
      </c>
      <c r="CA79" s="13">
        <f t="shared" si="93"/>
        <v>83.479718392707099</v>
      </c>
      <c r="CB79" s="20">
        <f t="shared" si="64"/>
        <v>771.21856620063147</v>
      </c>
      <c r="CC79" s="59">
        <f t="shared" si="65"/>
        <v>1059.2182747644183</v>
      </c>
      <c r="CD79" s="59">
        <f ca="1">AVERAGE(OFFSET($CC$3,0,0,'Données projet'!$E$12+1,1))-AVERAGE(OFFSET($H$3,0,0,'Données projet'!$E$12+1,1))</f>
        <v>462.09240749760784</v>
      </c>
      <c r="CE79" s="59">
        <f t="shared" si="94"/>
        <v>403.52202223463337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99.818099910301527</v>
      </c>
      <c r="CL79" s="21">
        <f>EXP(-LN(2)/25)*CL78+(1-EXP(-LN(2)/25))/(LN(2)/25)*Calculateur!CG79*Calculateur!CI79*VLOOKUP('Données projet'!$B$12,Paramètres!$A$1:$I$89,3,0)*0.475*44/12</f>
        <v>19.844175461531254</v>
      </c>
      <c r="CM79" s="21">
        <f>EXP(-LN(2)/2)*CM78+(1-EXP(-LN(2)/2))/(LN(2)/2)*CG79*CJ79*VLOOKUP('Données projet'!$B$12,Paramètres!$A$1:$I$89,3,0)*0.475*44/12</f>
        <v>0.73539289581309508</v>
      </c>
      <c r="CN79" s="22">
        <f t="shared" si="66"/>
        <v>120.39766826764587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</v>
      </c>
      <c r="CT79" s="12">
        <f>IF('Données projet'!$A$140&gt;35,CT78+CS79-DB78,IF(A79&lt;'Données projet'!$A$140,$CQ$205^A79,IF(A79='Données projet'!$A$140,'Données projet'!$B$140,CT78+CS79-DB78)))</f>
        <v>570</v>
      </c>
      <c r="CU79" s="17">
        <f>CT79*VLOOKUP('Données projet'!$B$13,Paramètres!$A$1:$I$89,3,0)*VLOOKUP('Données projet'!$B$13,Paramètres!$A$1:$I$89,5,0)</f>
        <v>266.76</v>
      </c>
      <c r="CV79" s="13">
        <f t="shared" si="95"/>
        <v>64.161177130842304</v>
      </c>
      <c r="CW79" s="20">
        <f t="shared" si="67"/>
        <v>576.35438350288371</v>
      </c>
      <c r="CX79" s="59">
        <f t="shared" si="68"/>
        <v>864.35409206667055</v>
      </c>
      <c r="CY79" s="59">
        <f ca="1">AVERAGE(OFFSET($CX$3,0,0,'Données projet'!$E$13+1,1))-AVERAGE(OFFSET($H$3,0,0,'Données projet'!$E$13+1,1))</f>
        <v>319.88925869887464</v>
      </c>
      <c r="CZ79" s="59">
        <f t="shared" si="96"/>
        <v>258.2857172412098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20.21597877398472</v>
      </c>
      <c r="DG79" s="21">
        <f>EXP(-LN(2)/25)*DG78+(1-EXP(-LN(2)/25))/(LN(2)/25)*Calculateur!DB79*Calculateur!DD79*VLOOKUP('Données projet'!$B$13,Paramètres!$A$1:$I$89,3,0)*0.475*44/12</f>
        <v>13.985350102746757</v>
      </c>
      <c r="DH79" s="21">
        <f>EXP(-LN(2)/2)*DH78+(1-EXP(-LN(2)/2))/(LN(2)/2)*DB79*DE79*VLOOKUP('Données projet'!$B$13,Paramètres!$A$1:$I$89,3,0)*0.475*44/12</f>
        <v>0.49598438339983586</v>
      </c>
      <c r="DI79" s="22">
        <f t="shared" si="69"/>
        <v>34.697313260131317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>
        <f>VLOOKUP(A79,'Données projet'!$A$165:$I$185,2,0)</f>
        <v>671.57</v>
      </c>
      <c r="DM79" s="12">
        <f>VLOOKUP(A79,'Données projet'!$A$165:$I$185,9,0)</f>
        <v>12.888750000000002</v>
      </c>
      <c r="DN79" s="12">
        <f t="array" ref="DN79">INDEX(DM:DM,MIN(IF(ISNUMBER(DM79:DM275),ROW(DM79:DM275),"")))</f>
        <v>12.888750000000002</v>
      </c>
      <c r="DO79" s="12">
        <f>IF('Données projet'!$A$166&gt;35,DO78+DN79-DW78,IF(A79&lt;'Données projet'!$A$166,$DL$205^A79,IF(A79='Données projet'!$A$166,'Données projet'!$B$166,DO78+DN79-DW78)))</f>
        <v>671.56999999999948</v>
      </c>
      <c r="DP79" s="17">
        <f>DO79*VLOOKUP('Données projet'!$B$14,Paramètres!$A$1:$I$89,3,0)*VLOOKUP('Données projet'!$B$14,Paramètres!$A$1:$I$89,5,0)</f>
        <v>401.59885999999966</v>
      </c>
      <c r="DQ79" s="13">
        <f t="shared" si="97"/>
        <v>92.10073425419408</v>
      </c>
      <c r="DR79" s="20">
        <f t="shared" si="70"/>
        <v>859.86012665938733</v>
      </c>
      <c r="DS79" s="59">
        <f t="shared" si="71"/>
        <v>1147.8598352231743</v>
      </c>
      <c r="DT79" s="59">
        <f ca="1">AVERAGE(OFFSET($DS$3,0,0,'Données projet'!$E$14+1,1))-AVERAGE(OFFSET($H$3,0,0,'Données projet'!$E$14+1,1))</f>
        <v>443.64905827069435</v>
      </c>
      <c r="DU79" s="59">
        <f t="shared" si="98"/>
        <v>381.14782516862385</v>
      </c>
      <c r="DV79" s="15">
        <f>IF(ISNA(VLOOKUP(A79,'Données projet'!$A$165:$I$185,3,0)),0,VLOOKUP(A79,'Données projet'!$A$165:$I$185,3,0))</f>
        <v>15</v>
      </c>
      <c r="DW79" s="15">
        <f>IF(ISNA(VLOOKUP(A79,'Données projet'!$A$165:$I$185,4,0)),0,VLOOKUP(A79,'Données projet'!$A$165:$I$185,4,0))</f>
        <v>671.57</v>
      </c>
      <c r="DX79" s="16">
        <f>IF(ISNA(VLOOKUP(A79,'Données projet'!$A$165:$I$185,5,0)),0%,VLOOKUP(A79,'Données projet'!$A$165:$I$185,5,0)*VLOOKUP('Données projet'!$B$14,Paramètres!$A$1:$I$89,7,0))</f>
        <v>0.36000000000000004</v>
      </c>
      <c r="DY79" s="16">
        <f>IF(ISNA(VLOOKUP(A79,'Données projet'!$A$165:$I$185,6,0)),0%,VLOOKUP(A79,'Données projet'!$A$165:$I$185,6,0)*VLOOKUP('Données projet'!$B$14,Paramètres!$A$1:$I$89,7,0))</f>
        <v>4.9500000000000002E-2</v>
      </c>
      <c r="DZ79" s="16">
        <f>IF(ISNA(VLOOKUP(A79,'Données projet'!$A$165:$I$185,7,0)),0%,VLOOKUP(A79,'Données projet'!$A$165:$I$185,7,0))</f>
        <v>0.09</v>
      </c>
      <c r="EA79" s="21">
        <f>EXP(-LN(2)/35)*EA78+(1-EXP(-LN(2)/35))/(LN(2)/35)*DW79*DX79*VLOOKUP('Données projet'!$B$14,Paramètres!$A$1:$I$89,3,0)*0.475*44/12</f>
        <v>232.12474012514639</v>
      </c>
      <c r="EB79" s="21">
        <f>EXP(-LN(2)/25)*EB78+(1-EXP(-LN(2)/25))/(LN(2)/25)*Calculateur!DW79*Calculateur!DY79*VLOOKUP('Données projet'!$B$14,Paramètres!$A$1:$I$89,3,0)*0.475*44/12</f>
        <v>46.552777299560013</v>
      </c>
      <c r="EC79" s="21">
        <f>EXP(-LN(2)/2)*EC78+(1-EXP(-LN(2)/2))/(LN(2)/2)*DW79*DZ79*VLOOKUP('Données projet'!$B$14,Paramètres!$A$1:$I$89,3,0)*0.475*44/12</f>
        <v>41.264310448967542</v>
      </c>
      <c r="ED79" s="22">
        <f t="shared" si="72"/>
        <v>319.94182787367396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-3.4106051316484809E-13</v>
      </c>
      <c r="EK79" s="17">
        <f>EJ79*VLOOKUP('Données projet'!$B$15,Paramètres!$A$1:$I$89,3,0)*VLOOKUP('Données projet'!$B$15,Paramètres!$A$1:$I$89,5,0)</f>
        <v>-3.0859155231155454E-13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504.37890861635196</v>
      </c>
      <c r="EP79" s="59">
        <f t="shared" si="100"/>
        <v>611.82129317522913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50.93892000109804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50.93892000109804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4.5999999999999996</v>
      </c>
      <c r="FE79" s="12">
        <f>IF('Données projet'!$A$218&gt;35,FE78+FD79-FM78,IF(A79&lt;'Données projet'!$A$218,$FB$205^A79,IF(A79='Données projet'!$A$218,'Données projet'!$B$218,FE78+FD79-FM78)))</f>
        <v>173.6</v>
      </c>
      <c r="FF79" s="17">
        <f>FE79*VLOOKUP('Données projet'!$B$16,Paramètres!$A$1:$I$89,3,0)*VLOOKUP('Données projet'!$B$16,Paramètres!$A$1:$I$89,5,0)</f>
        <v>186.86303999999998</v>
      </c>
      <c r="FG79" s="13">
        <f t="shared" si="101"/>
        <v>46.845744983534466</v>
      </c>
      <c r="FH79" s="20">
        <f t="shared" si="76"/>
        <v>407.04280051298912</v>
      </c>
      <c r="FI79" s="59">
        <f t="shared" si="77"/>
        <v>695.04250907677601</v>
      </c>
      <c r="FJ79" s="59">
        <f ca="1">AVERAGE(OFFSET($FI$3,0,0,'Données projet'!$E$16+1,1))-AVERAGE(OFFSET($H$3,0,0,'Données projet'!$E$16+1,1))</f>
        <v>334.01098870576732</v>
      </c>
      <c r="FK79" s="59">
        <f t="shared" si="102"/>
        <v>171.1802153303471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13.677223245881097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13.677223245881097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2.8</v>
      </c>
      <c r="FZ79" s="12">
        <f>IF('Données projet'!$A$244&gt;35,FZ78+FY79-GH78,IF(A79&lt;'Données projet'!$A$244,$FW$205^A79,IF(A79='Données projet'!$A$244,'Données projet'!$B$244,FZ78+FY79-GH78)))</f>
        <v>263.79999999999978</v>
      </c>
      <c r="GA79" s="17">
        <f>FZ79*VLOOKUP('Données projet'!$B$17,Paramètres!$A$1:$I$89,3,0)*VLOOKUP('Données projet'!$B$17,Paramètres!$A$1:$I$89,5,0)</f>
        <v>230.45567999999983</v>
      </c>
      <c r="GB79" s="13">
        <f t="shared" si="103"/>
        <v>56.381198848277869</v>
      </c>
      <c r="GC79" s="20">
        <f t="shared" si="79"/>
        <v>499.57423066075035</v>
      </c>
      <c r="GD79" s="59">
        <f t="shared" si="80"/>
        <v>787.5739392245373</v>
      </c>
      <c r="GE79" s="59">
        <f ca="1">AVERAGE(OFFSET($GD$3,0,0,'Données projet'!$E$17+1,1))-AVERAGE(OFFSET($H$3,0,0,'Données projet'!$E$17+1,1))</f>
        <v>330.12856974146598</v>
      </c>
      <c r="GF79" s="59">
        <f t="shared" si="104"/>
        <v>321.23368446552286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20.134722436537761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20.134722436537761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68.545375062850965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6</v>
      </c>
      <c r="GU79" s="12">
        <f>IF('Données projet'!$A$270&gt;35,GU78+GT79-HC78,IF(A79&lt;'Données projet'!$A$270,$GR$205^A79,IF(A79='Données projet'!$A$270,'Données projet'!$B$270,GU78+GT79-HC78)))</f>
        <v>236.99999999999989</v>
      </c>
      <c r="GV79" s="17">
        <f>GU79*VLOOKUP('Données projet'!$B$18,Paramètres!$A$1:$I$89,3,0)*VLOOKUP('Données projet'!$B$18,Paramètres!$A$1:$I$89,5,0)</f>
        <v>158.97959999999992</v>
      </c>
      <c r="GW79" s="13">
        <f t="shared" si="105"/>
        <v>40.6122757085909</v>
      </c>
      <c r="GX79" s="20">
        <f t="shared" si="82"/>
        <v>347.62251685912901</v>
      </c>
      <c r="GY79" s="59">
        <f t="shared" si="83"/>
        <v>635.6222254229159</v>
      </c>
      <c r="GZ79" s="59">
        <f ca="1">AVERAGE(OFFSET($GY$3,0,0,'Données projet'!$E$18+1,1))-AVERAGE(OFFSET($H$3,0,0,'Données projet'!$E$18+1,1))</f>
        <v>296.67751292332753</v>
      </c>
      <c r="HA79" s="59">
        <f t="shared" si="106"/>
        <v>197.99510031603018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17.58580757800582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17.58580757800582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1.1000000000000001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4.0333333333333341</v>
      </c>
      <c r="H80" s="67">
        <f t="shared" si="56"/>
        <v>240.5333333333333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871.27183097617183</v>
      </c>
      <c r="S80" s="59">
        <f ca="1">AVERAGE(OFFSET($R$3,0,0,'Données projet'!$E$9+1,1))-AVERAGE(OFFSET($H$3,0,0,'Données projet'!$E$9+1,1))</f>
        <v>461.20962581398715</v>
      </c>
      <c r="T80" s="59">
        <f t="shared" si="88"/>
        <v>348.44322874953923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298.39999999999998</v>
      </c>
      <c r="AJ80" s="13">
        <f>AI80*VLOOKUP('Données projet'!$B$10,Paramètres!$A$1:$I$89,3,0)*VLOOKUP('Données projet'!$B$10,Paramètres!$A$1:$I$89,5,0)</f>
        <v>302.57759999999996</v>
      </c>
      <c r="AK80" s="13">
        <f t="shared" si="89"/>
        <v>71.716558091076294</v>
      </c>
      <c r="AL80" s="20">
        <f t="shared" si="58"/>
        <v>651.89565867529109</v>
      </c>
      <c r="AM80" s="59">
        <f t="shared" si="59"/>
        <v>939.98789370463101</v>
      </c>
      <c r="AN80" s="59">
        <f ca="1">AVERAGE(OFFSET($AM$3,0,0,'Données projet'!$E$10+1,1))-AVERAGE(OFFSET($H$3,0,0,'Données projet'!$E$10+1,1))</f>
        <v>510.86584023875525</v>
      </c>
      <c r="AO80" s="59">
        <f t="shared" si="90"/>
        <v>384.62921487244125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28.192765789924529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28.192765789924529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4.1677594708744434E-14</v>
      </c>
      <c r="BF80" s="13">
        <f t="shared" si="91"/>
        <v>6.9326303456159188E-13</v>
      </c>
      <c r="BG80" s="20">
        <f t="shared" si="61"/>
        <v>1.2800215959791691E-12</v>
      </c>
      <c r="BH80" s="59">
        <f t="shared" si="62"/>
        <v>288.09223502934123</v>
      </c>
      <c r="BI80" s="59">
        <f ca="1">AVERAGE(OFFSET($BH$3,0,0,'Données projet'!$E$11+1,1))-AVERAGE(OFFSET($H$3,0,0,'Données projet'!$E$11+1,1))</f>
        <v>201.7253431547006</v>
      </c>
      <c r="BJ80" s="59">
        <f t="shared" si="92"/>
        <v>229.70004720044096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34.462046003363348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34.462046003363348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10.8</v>
      </c>
      <c r="BY80" s="12">
        <f>IF('Données projet'!$A$114&gt;35,BY79+BX80-CG79,IF(A80&lt;'Données projet'!$A$114,$BV$205^A80,IF(A80='Données projet'!$A$114,'Données projet'!$B$114,BY79+BX80-CG79)))</f>
        <v>653.59999999999991</v>
      </c>
      <c r="BZ80" s="13">
        <f>BY80*VLOOKUP('Données projet'!$B$12,Paramètres!$A$1:$I$89,3,0)*VLOOKUP('Données projet'!$B$12,Paramètres!$A$1:$I$89,5,0)</f>
        <v>365.36239999999992</v>
      </c>
      <c r="CA80" s="13">
        <f t="shared" si="93"/>
        <v>84.717837206926646</v>
      </c>
      <c r="CB80" s="20">
        <f t="shared" si="64"/>
        <v>783.88974646873032</v>
      </c>
      <c r="CC80" s="59">
        <f t="shared" si="65"/>
        <v>1071.9819814980701</v>
      </c>
      <c r="CD80" s="59">
        <f ca="1">AVERAGE(OFFSET($CC$3,0,0,'Données projet'!$E$12+1,1))-AVERAGE(OFFSET($H$3,0,0,'Données projet'!$E$12+1,1))</f>
        <v>462.09240749760784</v>
      </c>
      <c r="CE80" s="59">
        <f t="shared" si="94"/>
        <v>403.52202223463337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97.86072785408976</v>
      </c>
      <c r="CL80" s="21">
        <f>EXP(-LN(2)/25)*CL79+(1-EXP(-LN(2)/25))/(LN(2)/25)*Calculateur!CG80*Calculateur!CI80*VLOOKUP('Données projet'!$B$12,Paramètres!$A$1:$I$89,3,0)*0.475*44/12</f>
        <v>19.301535439975847</v>
      </c>
      <c r="CM80" s="21">
        <f>EXP(-LN(2)/2)*CM79+(1-EXP(-LN(2)/2))/(LN(2)/2)*CG80*CJ80*VLOOKUP('Données projet'!$B$12,Paramètres!$A$1:$I$89,3,0)*0.475*44/12</f>
        <v>0.52000130346585183</v>
      </c>
      <c r="CN80" s="22">
        <f t="shared" si="66"/>
        <v>117.68226459753146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</v>
      </c>
      <c r="CT80" s="12">
        <f>IF('Données projet'!$A$140&gt;35,CT79+CS80-DB79,IF(A80&lt;'Données projet'!$A$140,$CQ$205^A80,IF(A80='Données projet'!$A$140,'Données projet'!$B$140,CT79+CS80-DB79)))</f>
        <v>580</v>
      </c>
      <c r="CU80" s="17">
        <f>CT80*VLOOKUP('Données projet'!$B$13,Paramètres!$A$1:$I$89,3,0)*VLOOKUP('Données projet'!$B$13,Paramètres!$A$1:$I$89,5,0)</f>
        <v>271.44</v>
      </c>
      <c r="CV80" s="13">
        <f t="shared" si="95"/>
        <v>65.154778959151173</v>
      </c>
      <c r="CW80" s="20">
        <f t="shared" si="67"/>
        <v>586.23590668718828</v>
      </c>
      <c r="CX80" s="59">
        <f t="shared" si="68"/>
        <v>874.32814171652819</v>
      </c>
      <c r="CY80" s="59">
        <f ca="1">AVERAGE(OFFSET($CX$3,0,0,'Données projet'!$E$13+1,1))-AVERAGE(OFFSET($H$3,0,0,'Données projet'!$E$13+1,1))</f>
        <v>319.88925869887464</v>
      </c>
      <c r="CZ80" s="59">
        <f t="shared" si="96"/>
        <v>258.2857172412098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19.819555760756394</v>
      </c>
      <c r="DG80" s="21">
        <f>EXP(-LN(2)/25)*DG79+(1-EXP(-LN(2)/25))/(LN(2)/25)*Calculateur!DB80*Calculateur!DD80*VLOOKUP('Données projet'!$B$13,Paramètres!$A$1:$I$89,3,0)*0.475*44/12</f>
        <v>13.60291996872955</v>
      </c>
      <c r="DH80" s="21">
        <f>EXP(-LN(2)/2)*DH79+(1-EXP(-LN(2)/2))/(LN(2)/2)*DB80*DE80*VLOOKUP('Données projet'!$B$13,Paramètres!$A$1:$I$89,3,0)*0.475*44/12</f>
        <v>0.35071392086465247</v>
      </c>
      <c r="DI80" s="22">
        <f t="shared" si="69"/>
        <v>33.773189650350595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-5.6843418860808015E-13</v>
      </c>
      <c r="DP80" s="17">
        <f>DO80*VLOOKUP('Données projet'!$B$14,Paramètres!$A$1:$I$89,3,0)*VLOOKUP('Données projet'!$B$14,Paramètres!$A$1:$I$89,5,0)</f>
        <v>-3.39923644787632E-13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443.64905827069435</v>
      </c>
      <c r="DU80" s="59">
        <f t="shared" si="98"/>
        <v>381.14782516862385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227.57291555340367</v>
      </c>
      <c r="EB80" s="21">
        <f>EXP(-LN(2)/25)*EB79+(1-EXP(-LN(2)/25))/(LN(2)/25)*Calculateur!DW80*Calculateur!DY80*VLOOKUP('Données projet'!$B$14,Paramètres!$A$1:$I$89,3,0)*0.475*44/12</f>
        <v>45.279789156199385</v>
      </c>
      <c r="EC80" s="21">
        <f>EXP(-LN(2)/2)*EC79+(1-EXP(-LN(2)/2))/(LN(2)/2)*DW80*DZ80*VLOOKUP('Données projet'!$B$14,Paramètres!$A$1:$I$89,3,0)*0.475*44/12</f>
        <v>29.178273739451861</v>
      </c>
      <c r="ED80" s="22">
        <f t="shared" si="72"/>
        <v>302.03097844905494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-3.4106051316484809E-13</v>
      </c>
      <c r="EK80" s="17">
        <f>EJ80*VLOOKUP('Données projet'!$B$15,Paramètres!$A$1:$I$89,3,0)*VLOOKUP('Données projet'!$B$15,Paramètres!$A$1:$I$89,5,0)</f>
        <v>-3.0859155231155454E-13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504.37890861635196</v>
      </c>
      <c r="EP80" s="59">
        <f t="shared" si="100"/>
        <v>611.82129317522913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49.940038849549836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49.940038849549836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4.5999999999999996</v>
      </c>
      <c r="FE80" s="12">
        <f>IF('Données projet'!$A$218&gt;35,FE79+FD80-FM79,IF(A80&lt;'Données projet'!$A$218,$FB$205^A80,IF(A80='Données projet'!$A$218,'Données projet'!$B$218,FE79+FD80-FM79)))</f>
        <v>178.2</v>
      </c>
      <c r="FF80" s="17">
        <f>FE80*VLOOKUP('Données projet'!$B$16,Paramètres!$A$1:$I$89,3,0)*VLOOKUP('Données projet'!$B$16,Paramètres!$A$1:$I$89,5,0)</f>
        <v>191.81447999999997</v>
      </c>
      <c r="FG80" s="13">
        <f t="shared" si="101"/>
        <v>47.940886441320977</v>
      </c>
      <c r="FH80" s="20">
        <f t="shared" si="76"/>
        <v>417.57392988530063</v>
      </c>
      <c r="FI80" s="59">
        <f t="shared" si="77"/>
        <v>705.6661649146406</v>
      </c>
      <c r="FJ80" s="59">
        <f ca="1">AVERAGE(OFFSET($FI$3,0,0,'Données projet'!$E$16+1,1))-AVERAGE(OFFSET($H$3,0,0,'Données projet'!$E$16+1,1))</f>
        <v>334.01098870576732</v>
      </c>
      <c r="FK80" s="59">
        <f t="shared" si="102"/>
        <v>171.1802153303471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13.409021240311816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13.409021240311816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2.8</v>
      </c>
      <c r="FZ80" s="12">
        <f>IF('Données projet'!$A$244&gt;35,FZ79+FY80-GH79,IF(A80&lt;'Données projet'!$A$244,$FW$205^A80,IF(A80='Données projet'!$A$244,'Données projet'!$B$244,FZ79+FY80-GH79)))</f>
        <v>266.5999999999998</v>
      </c>
      <c r="GA80" s="17">
        <f>FZ80*VLOOKUP('Données projet'!$B$17,Paramètres!$A$1:$I$89,3,0)*VLOOKUP('Données projet'!$B$17,Paramètres!$A$1:$I$89,5,0)</f>
        <v>232.90175999999985</v>
      </c>
      <c r="GB80" s="13">
        <f t="shared" si="103"/>
        <v>56.909651332233778</v>
      </c>
      <c r="GC80" s="20">
        <f t="shared" si="79"/>
        <v>504.75487473697353</v>
      </c>
      <c r="GD80" s="59">
        <f t="shared" si="80"/>
        <v>792.84710976631345</v>
      </c>
      <c r="GE80" s="59">
        <f ca="1">AVERAGE(OFFSET($GD$3,0,0,'Données projet'!$E$17+1,1))-AVERAGE(OFFSET($H$3,0,0,'Données projet'!$E$17+1,1))</f>
        <v>330.12856974146598</v>
      </c>
      <c r="GF80" s="59">
        <f t="shared" si="104"/>
        <v>321.23368446552286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19.739892810525298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19.739892810525298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68.570609553456336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6</v>
      </c>
      <c r="GU80" s="12">
        <f>IF('Données projet'!$A$270&gt;35,GU79+GT80-HC79,IF(A80&lt;'Données projet'!$A$270,$GR$205^A80,IF(A80='Données projet'!$A$270,'Données projet'!$B$270,GU79+GT80-HC79)))</f>
        <v>242.99999999999989</v>
      </c>
      <c r="GV80" s="17">
        <f>GU80*VLOOKUP('Données projet'!$B$18,Paramètres!$A$1:$I$89,3,0)*VLOOKUP('Données projet'!$B$18,Paramètres!$A$1:$I$89,5,0)</f>
        <v>163.00439999999992</v>
      </c>
      <c r="GW80" s="13">
        <f t="shared" si="105"/>
        <v>41.519430766049126</v>
      </c>
      <c r="GX80" s="20">
        <f t="shared" si="82"/>
        <v>356.21233858420209</v>
      </c>
      <c r="GY80" s="59">
        <f t="shared" si="83"/>
        <v>644.30457361354206</v>
      </c>
      <c r="GZ80" s="59">
        <f ca="1">AVERAGE(OFFSET($GY$3,0,0,'Données projet'!$E$18+1,1))-AVERAGE(OFFSET($H$3,0,0,'Données projet'!$E$18+1,1))</f>
        <v>296.67751292332753</v>
      </c>
      <c r="HA80" s="59">
        <f t="shared" si="106"/>
        <v>197.99510031603018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17.240960617684618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17.240960617684618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1.1000000000000001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4.0333333333333341</v>
      </c>
      <c r="H81" s="67">
        <f t="shared" si="56"/>
        <v>240.5333333333333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885.11354910095179</v>
      </c>
      <c r="S81" s="59">
        <f ca="1">AVERAGE(OFFSET($R$3,0,0,'Données projet'!$E$9+1,1))-AVERAGE(OFFSET($H$3,0,0,'Données projet'!$E$9+1,1))</f>
        <v>461.20962581398715</v>
      </c>
      <c r="T81" s="59">
        <f t="shared" si="88"/>
        <v>348.44322874953923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305.59999999999997</v>
      </c>
      <c r="AJ81" s="13">
        <f>AI81*VLOOKUP('Données projet'!$B$10,Paramètres!$A$1:$I$89,3,0)*VLOOKUP('Données projet'!$B$10,Paramètres!$A$1:$I$89,5,0)</f>
        <v>309.8784</v>
      </c>
      <c r="AK81" s="13">
        <f t="shared" si="89"/>
        <v>73.243434672131556</v>
      </c>
      <c r="AL81" s="20">
        <f t="shared" si="58"/>
        <v>667.27052872062904</v>
      </c>
      <c r="AM81" s="59">
        <f t="shared" si="59"/>
        <v>955.45368508820275</v>
      </c>
      <c r="AN81" s="59">
        <f ca="1">AVERAGE(OFFSET($AM$3,0,0,'Données projet'!$E$10+1,1))-AVERAGE(OFFSET($H$3,0,0,'Données projet'!$E$10+1,1))</f>
        <v>510.86584023875525</v>
      </c>
      <c r="AO81" s="59">
        <f t="shared" si="90"/>
        <v>384.62921487244125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27.639922848673287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27.639922848673287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4.1677594708744434E-14</v>
      </c>
      <c r="BF81" s="13">
        <f t="shared" si="91"/>
        <v>6.9326303456159188E-13</v>
      </c>
      <c r="BG81" s="20">
        <f t="shared" si="61"/>
        <v>1.2800215959791691E-12</v>
      </c>
      <c r="BH81" s="59">
        <f t="shared" si="62"/>
        <v>288.18315636757507</v>
      </c>
      <c r="BI81" s="59">
        <f ca="1">AVERAGE(OFFSET($BH$3,0,0,'Données projet'!$E$11+1,1))-AVERAGE(OFFSET($H$3,0,0,'Données projet'!$E$11+1,1))</f>
        <v>201.7253431547006</v>
      </c>
      <c r="BJ81" s="59">
        <f t="shared" si="92"/>
        <v>229.70004720044096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33.786266301009924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33.786266301009924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10.8</v>
      </c>
      <c r="BY81" s="12">
        <f>IF('Données projet'!$A$114&gt;35,BY80+BX81-CG80,IF(A81&lt;'Données projet'!$A$114,$BV$205^A81,IF(A81='Données projet'!$A$114,'Données projet'!$B$114,BY80+BX81-CG80)))</f>
        <v>664.39999999999986</v>
      </c>
      <c r="BZ81" s="13">
        <f>BY81*VLOOKUP('Données projet'!$B$12,Paramètres!$A$1:$I$89,3,0)*VLOOKUP('Données projet'!$B$12,Paramètres!$A$1:$I$89,5,0)</f>
        <v>371.39959999999996</v>
      </c>
      <c r="CA81" s="13">
        <f t="shared" si="93"/>
        <v>85.953576824597477</v>
      </c>
      <c r="CB81" s="20">
        <f t="shared" si="64"/>
        <v>796.55678296950703</v>
      </c>
      <c r="CC81" s="59">
        <f t="shared" si="65"/>
        <v>1084.7399393370808</v>
      </c>
      <c r="CD81" s="59">
        <f ca="1">AVERAGE(OFFSET($CC$3,0,0,'Données projet'!$E$12+1,1))-AVERAGE(OFFSET($H$3,0,0,'Données projet'!$E$12+1,1))</f>
        <v>462.09240749760784</v>
      </c>
      <c r="CE81" s="59">
        <f t="shared" si="94"/>
        <v>403.52202223463337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95.941738670021238</v>
      </c>
      <c r="CL81" s="21">
        <f>EXP(-LN(2)/25)*CL80+(1-EXP(-LN(2)/25))/(LN(2)/25)*Calculateur!CG81*Calculateur!CI81*VLOOKUP('Données projet'!$B$12,Paramètres!$A$1:$I$89,3,0)*0.475*44/12</f>
        <v>18.773733938346073</v>
      </c>
      <c r="CM81" s="21">
        <f>EXP(-LN(2)/2)*CM80+(1-EXP(-LN(2)/2))/(LN(2)/2)*CG81*CJ81*VLOOKUP('Données projet'!$B$12,Paramètres!$A$1:$I$89,3,0)*0.475*44/12</f>
        <v>0.3676964479065476</v>
      </c>
      <c r="CN81" s="22">
        <f t="shared" si="66"/>
        <v>115.08316905627386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</v>
      </c>
      <c r="CT81" s="12">
        <f>IF('Données projet'!$A$140&gt;35,CT80+CS81-DB80,IF(A81&lt;'Données projet'!$A$140,$CQ$205^A81,IF(A81='Données projet'!$A$140,'Données projet'!$B$140,CT80+CS81-DB80)))</f>
        <v>590</v>
      </c>
      <c r="CU81" s="17">
        <f>CT81*VLOOKUP('Données projet'!$B$13,Paramètres!$A$1:$I$89,3,0)*VLOOKUP('Données projet'!$B$13,Paramètres!$A$1:$I$89,5,0)</f>
        <v>276.12</v>
      </c>
      <c r="CV81" s="13">
        <f t="shared" si="95"/>
        <v>66.146388626624258</v>
      </c>
      <c r="CW81" s="20">
        <f t="shared" si="67"/>
        <v>596.11396019137055</v>
      </c>
      <c r="CX81" s="59">
        <f t="shared" si="68"/>
        <v>884.29711655894425</v>
      </c>
      <c r="CY81" s="59">
        <f ca="1">AVERAGE(OFFSET($CX$3,0,0,'Données projet'!$E$13+1,1))-AVERAGE(OFFSET($H$3,0,0,'Données projet'!$E$13+1,1))</f>
        <v>319.88925869887464</v>
      </c>
      <c r="CZ81" s="59">
        <f t="shared" si="96"/>
        <v>258.2857172412098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19.430906361023311</v>
      </c>
      <c r="DG81" s="21">
        <f>EXP(-LN(2)/25)*DG80+(1-EXP(-LN(2)/25))/(LN(2)/25)*Calculateur!DB81*Calculateur!DD81*VLOOKUP('Données projet'!$B$13,Paramètres!$A$1:$I$89,3,0)*0.475*44/12</f>
        <v>13.230947406838169</v>
      </c>
      <c r="DH81" s="21">
        <f>EXP(-LN(2)/2)*DH80+(1-EXP(-LN(2)/2))/(LN(2)/2)*DB81*DE81*VLOOKUP('Données projet'!$B$13,Paramètres!$A$1:$I$89,3,0)*0.475*44/12</f>
        <v>0.24799219169991799</v>
      </c>
      <c r="DI81" s="22">
        <f t="shared" si="69"/>
        <v>32.909845959561395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-5.6843418860808015E-13</v>
      </c>
      <c r="DP81" s="17">
        <f>DO81*VLOOKUP('Données projet'!$B$14,Paramètres!$A$1:$I$89,3,0)*VLOOKUP('Données projet'!$B$14,Paramètres!$A$1:$I$89,5,0)</f>
        <v>-3.39923644787632E-13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443.64905827069435</v>
      </c>
      <c r="DU81" s="59">
        <f t="shared" si="98"/>
        <v>381.14782516862385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223.110349485174</v>
      </c>
      <c r="EB81" s="21">
        <f>EXP(-LN(2)/25)*EB80+(1-EXP(-LN(2)/25))/(LN(2)/25)*Calculateur!DW81*Calculateur!DY81*VLOOKUP('Données projet'!$B$14,Paramètres!$A$1:$I$89,3,0)*0.475*44/12</f>
        <v>44.041610940562492</v>
      </c>
      <c r="EC81" s="21">
        <f>EXP(-LN(2)/2)*EC80+(1-EXP(-LN(2)/2))/(LN(2)/2)*DW81*DZ81*VLOOKUP('Données projet'!$B$14,Paramètres!$A$1:$I$89,3,0)*0.475*44/12</f>
        <v>20.632155224483775</v>
      </c>
      <c r="ED81" s="22">
        <f t="shared" si="72"/>
        <v>287.78411565022026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-3.4106051316484809E-13</v>
      </c>
      <c r="EK81" s="17">
        <f>EJ81*VLOOKUP('Données projet'!$B$15,Paramètres!$A$1:$I$89,3,0)*VLOOKUP('Données projet'!$B$15,Paramètres!$A$1:$I$89,5,0)</f>
        <v>-3.0859155231155454E-13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504.37890861635196</v>
      </c>
      <c r="EP81" s="59">
        <f t="shared" si="100"/>
        <v>611.82129317522913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48.960745148126144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48.960745148126144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4.5999999999999996</v>
      </c>
      <c r="FE81" s="12">
        <f>IF('Données projet'!$A$218&gt;35,FE80+FD81-FM80,IF(A81&lt;'Données projet'!$A$218,$FB$205^A81,IF(A81='Données projet'!$A$218,'Données projet'!$B$218,FE80+FD81-FM80)))</f>
        <v>182.79999999999998</v>
      </c>
      <c r="FF81" s="17">
        <f>FE81*VLOOKUP('Données projet'!$B$16,Paramètres!$A$1:$I$89,3,0)*VLOOKUP('Données projet'!$B$16,Paramètres!$A$1:$I$89,5,0)</f>
        <v>196.76591999999997</v>
      </c>
      <c r="FG81" s="13">
        <f t="shared" si="101"/>
        <v>49.03274186547759</v>
      </c>
      <c r="FH81" s="20">
        <f t="shared" si="76"/>
        <v>428.09933608237338</v>
      </c>
      <c r="FI81" s="59">
        <f t="shared" si="77"/>
        <v>716.28249244994709</v>
      </c>
      <c r="FJ81" s="59">
        <f ca="1">AVERAGE(OFFSET($FI$3,0,0,'Données projet'!$E$16+1,1))-AVERAGE(OFFSET($H$3,0,0,'Données projet'!$E$16+1,1))</f>
        <v>334.01098870576732</v>
      </c>
      <c r="FK81" s="59">
        <f t="shared" si="102"/>
        <v>171.1802153303471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13.146078512484678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13.146078512484678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2.8</v>
      </c>
      <c r="FZ81" s="12">
        <f>IF('Données projet'!$A$244&gt;35,FZ80+FY81-GH80,IF(A81&lt;'Données projet'!$A$244,$FW$205^A81,IF(A81='Données projet'!$A$244,'Données projet'!$B$244,FZ80+FY81-GH80)))</f>
        <v>269.39999999999981</v>
      </c>
      <c r="GA81" s="17">
        <f>FZ81*VLOOKUP('Données projet'!$B$17,Paramètres!$A$1:$I$89,3,0)*VLOOKUP('Données projet'!$B$17,Paramètres!$A$1:$I$89,5,0)</f>
        <v>235.34783999999988</v>
      </c>
      <c r="GB81" s="13">
        <f t="shared" si="103"/>
        <v>57.437458162232033</v>
      </c>
      <c r="GC81" s="20">
        <f t="shared" si="79"/>
        <v>509.93439429922063</v>
      </c>
      <c r="GD81" s="59">
        <f t="shared" si="80"/>
        <v>798.11755066679439</v>
      </c>
      <c r="GE81" s="59">
        <f ca="1">AVERAGE(OFFSET($GD$3,0,0,'Données projet'!$E$17+1,1))-AVERAGE(OFFSET($H$3,0,0,'Données projet'!$E$17+1,1))</f>
        <v>330.12856974146598</v>
      </c>
      <c r="GF81" s="59">
        <f t="shared" si="104"/>
        <v>321.23368446552286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19.352805552656644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19.352805552656644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68.595406282065568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6</v>
      </c>
      <c r="GU81" s="12">
        <f>IF('Données projet'!$A$270&gt;35,GU80+GT81-HC80,IF(A81&lt;'Données projet'!$A$270,$GR$205^A81,IF(A81='Données projet'!$A$270,'Données projet'!$B$270,GU80+GT81-HC80)))</f>
        <v>248.99999999999989</v>
      </c>
      <c r="GV81" s="17">
        <f>GU81*VLOOKUP('Données projet'!$B$18,Paramètres!$A$1:$I$89,3,0)*VLOOKUP('Données projet'!$B$18,Paramètres!$A$1:$I$89,5,0)</f>
        <v>167.02919999999992</v>
      </c>
      <c r="GW81" s="13">
        <f t="shared" si="105"/>
        <v>42.423982056168619</v>
      </c>
      <c r="GX81" s="20">
        <f t="shared" si="82"/>
        <v>364.7976254144935</v>
      </c>
      <c r="GY81" s="59">
        <f t="shared" si="83"/>
        <v>652.9807817820672</v>
      </c>
      <c r="GZ81" s="59">
        <f ca="1">AVERAGE(OFFSET($GY$3,0,0,'Données projet'!$E$18+1,1))-AVERAGE(OFFSET($H$3,0,0,'Données projet'!$E$18+1,1))</f>
        <v>296.67751292332753</v>
      </c>
      <c r="HA81" s="59">
        <f t="shared" si="106"/>
        <v>197.99510031603018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16.902875895919436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16.902875895919436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1.1000000000000001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4.0333333333333341</v>
      </c>
      <c r="H82" s="67">
        <f t="shared" si="56"/>
        <v>240.5333333333333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283.02143999999993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898.94710392553043</v>
      </c>
      <c r="S82" s="59">
        <f ca="1">AVERAGE(OFFSET($R$3,0,0,'Données projet'!$E$9+1,1))-AVERAGE(OFFSET($H$3,0,0,'Données projet'!$E$9+1,1))</f>
        <v>461.20962581398715</v>
      </c>
      <c r="T82" s="59">
        <f t="shared" si="88"/>
        <v>348.44322874953923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312.79999999999995</v>
      </c>
      <c r="AJ82" s="13">
        <f>AI82*VLOOKUP('Données projet'!$B$10,Paramètres!$A$1:$I$89,3,0)*VLOOKUP('Données projet'!$B$10,Paramètres!$A$1:$I$89,5,0)</f>
        <v>317.17919999999998</v>
      </c>
      <c r="AK82" s="13">
        <f t="shared" si="89"/>
        <v>74.766129261581426</v>
      </c>
      <c r="AL82" s="20">
        <f t="shared" si="58"/>
        <v>682.63811513058749</v>
      </c>
      <c r="AM82" s="59">
        <f t="shared" si="59"/>
        <v>970.91061555444639</v>
      </c>
      <c r="AN82" s="59">
        <f ca="1">AVERAGE(OFFSET($AM$3,0,0,'Données projet'!$E$10+1,1))-AVERAGE(OFFSET($H$3,0,0,'Données projet'!$E$10+1,1))</f>
        <v>510.86584023875525</v>
      </c>
      <c r="AO82" s="59">
        <f t="shared" si="90"/>
        <v>384.62921487244125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27.097920820299084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27.097920820299084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4.1677594708744434E-14</v>
      </c>
      <c r="BF82" s="13">
        <f t="shared" si="91"/>
        <v>6.9326303456159188E-13</v>
      </c>
      <c r="BG82" s="20">
        <f t="shared" si="61"/>
        <v>1.2800215959791691E-12</v>
      </c>
      <c r="BH82" s="59">
        <f t="shared" si="62"/>
        <v>288.27250042386027</v>
      </c>
      <c r="BI82" s="59">
        <f ca="1">AVERAGE(OFFSET($BH$3,0,0,'Données projet'!$E$11+1,1))-AVERAGE(OFFSET($H$3,0,0,'Données projet'!$E$11+1,1))</f>
        <v>201.7253431547006</v>
      </c>
      <c r="BJ82" s="59">
        <f t="shared" si="92"/>
        <v>229.70004720044096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33.123738226434732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33.123738226434732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10.8</v>
      </c>
      <c r="BY82" s="12">
        <f>IF('Données projet'!$A$114&gt;35,BY81+BX82-CG81,IF(A82&lt;'Données projet'!$A$114,$BV$205^A82,IF(A82='Données projet'!$A$114,'Données projet'!$B$114,BY81+BX82-CG81)))</f>
        <v>675.19999999999982</v>
      </c>
      <c r="BZ82" s="13">
        <f>BY82*VLOOKUP('Données projet'!$B$12,Paramètres!$A$1:$I$89,3,0)*VLOOKUP('Données projet'!$B$12,Paramètres!$A$1:$I$89,5,0)</f>
        <v>377.43679999999989</v>
      </c>
      <c r="CA82" s="13">
        <f t="shared" si="93"/>
        <v>87.18698038491209</v>
      </c>
      <c r="CB82" s="20">
        <f t="shared" si="64"/>
        <v>809.21975083705502</v>
      </c>
      <c r="CC82" s="59">
        <f t="shared" si="65"/>
        <v>1097.4922512609139</v>
      </c>
      <c r="CD82" s="59">
        <f ca="1">AVERAGE(OFFSET($CC$3,0,0,'Données projet'!$E$12+1,1))-AVERAGE(OFFSET($H$3,0,0,'Données projet'!$E$12+1,1))</f>
        <v>462.09240749760784</v>
      </c>
      <c r="CE82" s="59">
        <f t="shared" si="94"/>
        <v>403.52202223463337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94.060379693384476</v>
      </c>
      <c r="CL82" s="21">
        <f>EXP(-LN(2)/25)*CL81+(1-EXP(-LN(2)/25))/(LN(2)/25)*Calculateur!CG82*Calculateur!CI82*VLOOKUP('Données projet'!$B$12,Paramètres!$A$1:$I$89,3,0)*0.475*44/12</f>
        <v>18.260365196534238</v>
      </c>
      <c r="CM82" s="21">
        <f>EXP(-LN(2)/2)*CM81+(1-EXP(-LN(2)/2))/(LN(2)/2)*CG82*CJ82*VLOOKUP('Données projet'!$B$12,Paramètres!$A$1:$I$89,3,0)*0.475*44/12</f>
        <v>0.26000065173292591</v>
      </c>
      <c r="CN82" s="22">
        <f t="shared" si="66"/>
        <v>112.58074554165164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</v>
      </c>
      <c r="CT82" s="12">
        <f>IF('Données projet'!$A$140&gt;35,CT81+CS82-DB81,IF(A82&lt;'Données projet'!$A$140,$CQ$205^A82,IF(A82='Données projet'!$A$140,'Données projet'!$B$140,CT81+CS82-DB81)))</f>
        <v>600</v>
      </c>
      <c r="CU82" s="17">
        <f>CT82*VLOOKUP('Données projet'!$B$13,Paramètres!$A$1:$I$89,3,0)*VLOOKUP('Données projet'!$B$13,Paramètres!$A$1:$I$89,5,0)</f>
        <v>280.8</v>
      </c>
      <c r="CV82" s="13">
        <f t="shared" si="95"/>
        <v>67.136043795470286</v>
      </c>
      <c r="CW82" s="20">
        <f t="shared" si="67"/>
        <v>605.98860961044409</v>
      </c>
      <c r="CX82" s="59">
        <f t="shared" si="68"/>
        <v>894.2611100343031</v>
      </c>
      <c r="CY82" s="59">
        <f ca="1">AVERAGE(OFFSET($CX$3,0,0,'Données projet'!$E$13+1,1))-AVERAGE(OFFSET($H$3,0,0,'Données projet'!$E$13+1,1))</f>
        <v>319.88925869887464</v>
      </c>
      <c r="CZ82" s="59">
        <f t="shared" si="96"/>
        <v>258.2857172412098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19.049878138966267</v>
      </c>
      <c r="DG82" s="21">
        <f>EXP(-LN(2)/25)*DG81+(1-EXP(-LN(2)/25))/(LN(2)/25)*Calculateur!DB82*Calculateur!DD82*VLOOKUP('Données projet'!$B$13,Paramètres!$A$1:$I$89,3,0)*0.475*44/12</f>
        <v>12.869146454212895</v>
      </c>
      <c r="DH82" s="21">
        <f>EXP(-LN(2)/2)*DH81+(1-EXP(-LN(2)/2))/(LN(2)/2)*DB82*DE82*VLOOKUP('Données projet'!$B$13,Paramètres!$A$1:$I$89,3,0)*0.475*44/12</f>
        <v>0.17535696043232626</v>
      </c>
      <c r="DI82" s="22">
        <f t="shared" si="69"/>
        <v>32.094381553611491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-5.6843418860808015E-13</v>
      </c>
      <c r="DP82" s="17">
        <f>DO82*VLOOKUP('Données projet'!$B$14,Paramètres!$A$1:$I$89,3,0)*VLOOKUP('Données projet'!$B$14,Paramètres!$A$1:$I$89,5,0)</f>
        <v>-3.39923644787632E-13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443.64905827069435</v>
      </c>
      <c r="DU82" s="59">
        <f t="shared" si="98"/>
        <v>381.14782516862385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218.73529161564576</v>
      </c>
      <c r="EB82" s="21">
        <f>EXP(-LN(2)/25)*EB81+(1-EXP(-LN(2)/25))/(LN(2)/25)*Calculateur!DW82*Calculateur!DY82*VLOOKUP('Données projet'!$B$14,Paramètres!$A$1:$I$89,3,0)*0.475*44/12</f>
        <v>42.837290773345153</v>
      </c>
      <c r="EC82" s="21">
        <f>EXP(-LN(2)/2)*EC81+(1-EXP(-LN(2)/2))/(LN(2)/2)*DW82*DZ82*VLOOKUP('Données projet'!$B$14,Paramètres!$A$1:$I$89,3,0)*0.475*44/12</f>
        <v>14.589136869725932</v>
      </c>
      <c r="ED82" s="22">
        <f t="shared" si="72"/>
        <v>276.1617192587168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-3.4106051316484809E-13</v>
      </c>
      <c r="EK82" s="17">
        <f>EJ82*VLOOKUP('Données projet'!$B$15,Paramètres!$A$1:$I$89,3,0)*VLOOKUP('Données projet'!$B$15,Paramètres!$A$1:$I$89,5,0)</f>
        <v>-3.0859155231155454E-13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504.37890861635196</v>
      </c>
      <c r="EP82" s="59">
        <f t="shared" si="100"/>
        <v>611.82129317522913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48.000654798877193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48.000654798877193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4.5999999999999996</v>
      </c>
      <c r="FE82" s="12">
        <f>IF('Données projet'!$A$218&gt;35,FE81+FD82-FM81,IF(A82&lt;'Données projet'!$A$218,$FB$205^A82,IF(A82='Données projet'!$A$218,'Données projet'!$B$218,FE81+FD82-FM81)))</f>
        <v>187.39999999999998</v>
      </c>
      <c r="FF82" s="17">
        <f>FE82*VLOOKUP('Données projet'!$B$16,Paramètres!$A$1:$I$89,3,0)*VLOOKUP('Données projet'!$B$16,Paramètres!$A$1:$I$89,5,0)</f>
        <v>201.71735999999999</v>
      </c>
      <c r="FG82" s="13">
        <f t="shared" si="101"/>
        <v>50.121403455877136</v>
      </c>
      <c r="FH82" s="20">
        <f t="shared" si="76"/>
        <v>438.61917968565263</v>
      </c>
      <c r="FI82" s="59">
        <f t="shared" si="77"/>
        <v>726.89168010951153</v>
      </c>
      <c r="FJ82" s="59">
        <f ca="1">AVERAGE(OFFSET($FI$3,0,0,'Données projet'!$E$16+1,1))-AVERAGE(OFFSET($H$3,0,0,'Données projet'!$E$16+1,1))</f>
        <v>334.01098870576732</v>
      </c>
      <c r="FK82" s="59">
        <f t="shared" si="102"/>
        <v>171.1802153303471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12.888291931171002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12.888291931171002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2.8</v>
      </c>
      <c r="FZ82" s="12">
        <f>IF('Données projet'!$A$244&gt;35,FZ81+FY82-GH81,IF(A82&lt;'Données projet'!$A$244,$FW$205^A82,IF(A82='Données projet'!$A$244,'Données projet'!$B$244,FZ81+FY82-GH81)))</f>
        <v>272.19999999999982</v>
      </c>
      <c r="GA82" s="17">
        <f>FZ82*VLOOKUP('Données projet'!$B$17,Paramètres!$A$1:$I$89,3,0)*VLOOKUP('Données projet'!$B$17,Paramètres!$A$1:$I$89,5,0)</f>
        <v>237.79391999999984</v>
      </c>
      <c r="GB82" s="13">
        <f t="shared" si="103"/>
        <v>57.96462682570845</v>
      </c>
      <c r="GC82" s="20">
        <f t="shared" si="79"/>
        <v>515.11280238810866</v>
      </c>
      <c r="GD82" s="59">
        <f t="shared" si="80"/>
        <v>803.38530281196768</v>
      </c>
      <c r="GE82" s="59">
        <f ca="1">AVERAGE(OFFSET($GD$3,0,0,'Données projet'!$E$17+1,1))-AVERAGE(OFFSET($H$3,0,0,'Données projet'!$E$17+1,1))</f>
        <v>330.12856974146598</v>
      </c>
      <c r="GF82" s="59">
        <f t="shared" si="104"/>
        <v>321.23368446552286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18.97330883981488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18.97330883981488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68.619772842870617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6</v>
      </c>
      <c r="GU82" s="12">
        <f>IF('Données projet'!$A$270&gt;35,GU81+GT82-HC81,IF(A82&lt;'Données projet'!$A$270,$GR$205^A82,IF(A82='Données projet'!$A$270,'Données projet'!$B$270,GU81+GT82-HC81)))</f>
        <v>254.99999999999989</v>
      </c>
      <c r="GV82" s="17">
        <f>GU82*VLOOKUP('Données projet'!$B$18,Paramètres!$A$1:$I$89,3,0)*VLOOKUP('Données projet'!$B$18,Paramètres!$A$1:$I$89,5,0)</f>
        <v>171.05399999999992</v>
      </c>
      <c r="GW82" s="13">
        <f t="shared" si="105"/>
        <v>43.325999538979005</v>
      </c>
      <c r="GX82" s="20">
        <f t="shared" si="82"/>
        <v>373.37849919705491</v>
      </c>
      <c r="GY82" s="59">
        <f t="shared" si="83"/>
        <v>661.65099962091381</v>
      </c>
      <c r="GZ82" s="59">
        <f ca="1">AVERAGE(OFFSET($GY$3,0,0,'Données projet'!$E$18+1,1))-AVERAGE(OFFSET($H$3,0,0,'Données projet'!$E$18+1,1))</f>
        <v>296.67751292332753</v>
      </c>
      <c r="HA82" s="59">
        <f t="shared" si="106"/>
        <v>197.99510031603018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16.57142080933675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16.57142080933675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1.1000000000000001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4.0333333333333341</v>
      </c>
      <c r="H83" s="67">
        <f t="shared" si="56"/>
        <v>240.5333333333333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289.53599999999994</v>
      </c>
      <c r="P83" s="13">
        <f t="shared" si="87"/>
        <v>68.97829509904436</v>
      </c>
      <c r="Q83" s="20">
        <f t="shared" si="54"/>
        <v>624.41239729750214</v>
      </c>
      <c r="R83" s="59">
        <f t="shared" si="55"/>
        <v>912.7726918580131</v>
      </c>
      <c r="S83" s="59">
        <f ca="1">AVERAGE(OFFSET($R$3,0,0,'Données projet'!$E$9+1,1))-AVERAGE(OFFSET($H$3,0,0,'Données projet'!$E$9+1,1))</f>
        <v>461.20962581398715</v>
      </c>
      <c r="T83" s="59">
        <f t="shared" si="88"/>
        <v>348.44322874953923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319.99999999999994</v>
      </c>
      <c r="AJ83" s="13">
        <f>AI83*VLOOKUP('Données projet'!$B$10,Paramètres!$A$1:$I$89,3,0)*VLOOKUP('Données projet'!$B$10,Paramètres!$A$1:$I$89,5,0)</f>
        <v>324.47999999999996</v>
      </c>
      <c r="AK83" s="13">
        <f t="shared" si="89"/>
        <v>76.284749200165507</v>
      </c>
      <c r="AL83" s="20">
        <f t="shared" si="58"/>
        <v>697.99860485695478</v>
      </c>
      <c r="AM83" s="59">
        <f t="shared" si="59"/>
        <v>986.35889941746575</v>
      </c>
      <c r="AN83" s="59">
        <f ca="1">AVERAGE(OFFSET($AM$3,0,0,'Données projet'!$E$10+1,1))-AVERAGE(OFFSET($H$3,0,0,'Données projet'!$E$10+1,1))</f>
        <v>510.86584023875525</v>
      </c>
      <c r="AO83" s="59">
        <f t="shared" si="90"/>
        <v>384.62921487244125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34.664267995163186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34.664267995163186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4.1677594708744434E-14</v>
      </c>
      <c r="BF83" s="13">
        <f t="shared" si="91"/>
        <v>6.9326303456159188E-13</v>
      </c>
      <c r="BG83" s="20">
        <f t="shared" si="61"/>
        <v>1.2800215959791691E-12</v>
      </c>
      <c r="BH83" s="59">
        <f t="shared" si="62"/>
        <v>288.36029456051227</v>
      </c>
      <c r="BI83" s="59">
        <f ca="1">AVERAGE(OFFSET($BH$3,0,0,'Données projet'!$E$11+1,1))-AVERAGE(OFFSET($H$3,0,0,'Données projet'!$E$11+1,1))</f>
        <v>201.7253431547006</v>
      </c>
      <c r="BJ83" s="59">
        <f t="shared" si="92"/>
        <v>229.70004720044096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32.474201923299738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32.474201923299738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686</v>
      </c>
      <c r="BW83" s="12">
        <f>VLOOKUP(A83,'Données projet'!$A$113:$I$133,9,0)</f>
        <v>10.8</v>
      </c>
      <c r="BX83" s="12">
        <f t="array" ref="BX83">INDEX(BW:BW,MIN(IF(ISNUMBER(BW83:BW279),ROW(BW83:BW279),"")))</f>
        <v>10.8</v>
      </c>
      <c r="BY83" s="12">
        <f>IF('Données projet'!$A$114&gt;35,BY82+BX83-CG82,IF(A83&lt;'Données projet'!$A$114,$BV$205^A83,IF(A83='Données projet'!$A$114,'Données projet'!$B$114,BY82+BX83-CG82)))</f>
        <v>685.99999999999977</v>
      </c>
      <c r="BZ83" s="13">
        <f>BY83*VLOOKUP('Données projet'!$B$12,Paramètres!$A$1:$I$89,3,0)*VLOOKUP('Données projet'!$B$12,Paramètres!$A$1:$I$89,5,0)</f>
        <v>383.47399999999988</v>
      </c>
      <c r="CA83" s="13">
        <f t="shared" si="93"/>
        <v>88.418089567872116</v>
      </c>
      <c r="CB83" s="20">
        <f t="shared" si="64"/>
        <v>821.87872266404372</v>
      </c>
      <c r="CC83" s="59">
        <f t="shared" si="65"/>
        <v>1110.2390172245546</v>
      </c>
      <c r="CD83" s="59">
        <f ca="1">AVERAGE(OFFSET($CC$3,0,0,'Données projet'!$E$12+1,1))-AVERAGE(OFFSET($H$3,0,0,'Données projet'!$E$12+1,1))</f>
        <v>462.09240749760784</v>
      </c>
      <c r="CE83" s="59">
        <f t="shared" si="94"/>
        <v>403.52202223463337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686</v>
      </c>
      <c r="CH83" s="16">
        <f>IF(ISNA(VLOOKUP(A83,'Données projet'!$A$113:$I$133,5,0)),0%,VLOOKUP(A83,'Données projet'!$A$113:$I$133,5,0)*VLOOKUP('Données projet'!$B$12,Paramètres!$A$1:$I$89,7,0))</f>
        <v>0.49500000000000005</v>
      </c>
      <c r="CI83" s="16">
        <f>IF(ISNA(VLOOKUP(A83,'Données projet'!$A$113:$I$133,6,0)),0%,VLOOKUP(A83,'Données projet'!$A$113:$I$133,6,0)*VLOOKUP('Données projet'!$B$12,Paramètres!$A$1:$I$89,7,0))</f>
        <v>3.3000000000000002E-2</v>
      </c>
      <c r="CJ83" s="16">
        <f>IF(ISNA(VLOOKUP(A83,'Données projet'!$A$113:$I$133,7,0)),0%,VLOOKUP(A83,'Données projet'!$A$113:$I$133,7,0))</f>
        <v>0.04</v>
      </c>
      <c r="CK83" s="21">
        <f>EXP(-LN(2)/35)*CK82+(1-EXP(-LN(2)/35))/(LN(2)/35)*CG83*CH83*VLOOKUP('Données projet'!$B$12,Paramètres!$A$1:$I$89,3,0)*0.475*44/12</f>
        <v>344.02388712144892</v>
      </c>
      <c r="CL83" s="21">
        <f>EXP(-LN(2)/25)*CL82+(1-EXP(-LN(2)/25))/(LN(2)/25)*Calculateur!CG83*Calculateur!CI83*VLOOKUP('Données projet'!$B$12,Paramètres!$A$1:$I$89,3,0)*0.475*44/12</f>
        <v>34.482135227449639</v>
      </c>
      <c r="CM83" s="21">
        <f>EXP(-LN(2)/2)*CM82+(1-EXP(-LN(2)/2))/(LN(2)/2)*CG83*CJ83*VLOOKUP('Données projet'!$B$12,Paramètres!$A$1:$I$89,3,0)*0.475*44/12</f>
        <v>17.551114146419835</v>
      </c>
      <c r="CN83" s="22">
        <f t="shared" si="66"/>
        <v>396.05713649531839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610</v>
      </c>
      <c r="CR83" s="12">
        <f>VLOOKUP(A83,'Données projet'!$A$139:$I$159,9,0)</f>
        <v>10</v>
      </c>
      <c r="CS83" s="12">
        <f t="array" ref="CS83">INDEX(CR:CR,MIN(IF(ISNUMBER(CR83:CR279),ROW(CR83:CR279),"")))</f>
        <v>10</v>
      </c>
      <c r="CT83" s="12">
        <f>IF('Données projet'!$A$140&gt;35,CT82+CS83-DB82,IF(A83&lt;'Données projet'!$A$140,$CQ$205^A83,IF(A83='Données projet'!$A$140,'Données projet'!$B$140,CT82+CS83-DB82)))</f>
        <v>610</v>
      </c>
      <c r="CU83" s="17">
        <f>CT83*VLOOKUP('Données projet'!$B$13,Paramètres!$A$1:$I$89,3,0)*VLOOKUP('Données projet'!$B$13,Paramètres!$A$1:$I$89,5,0)</f>
        <v>285.48</v>
      </c>
      <c r="CV83" s="13">
        <f t="shared" si="95"/>
        <v>68.123780800530767</v>
      </c>
      <c r="CW83" s="20">
        <f t="shared" si="67"/>
        <v>615.85991822759104</v>
      </c>
      <c r="CX83" s="59">
        <f t="shared" si="68"/>
        <v>904.220212788102</v>
      </c>
      <c r="CY83" s="59">
        <f ca="1">AVERAGE(OFFSET($CX$3,0,0,'Données projet'!$E$13+1,1))-AVERAGE(OFFSET($H$3,0,0,'Données projet'!$E$13+1,1))</f>
        <v>319.88925869887464</v>
      </c>
      <c r="CZ83" s="59">
        <f t="shared" si="96"/>
        <v>258.2857172412098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610</v>
      </c>
      <c r="DC83" s="16">
        <f>IF(ISNA(VLOOKUP(A83,'Données projet'!$A$139:$I$159,5,0)),0%,VLOOKUP(A83,'Données projet'!$A$139:$I$159,5,0)*VLOOKUP('Données projet'!$B$13,Paramètres!$A$1:$I$89,7,0))</f>
        <v>0.38500000000000001</v>
      </c>
      <c r="DD83" s="16">
        <f>IF(ISNA(VLOOKUP(A83,'Données projet'!$A$139:$I$159,6,0)),0%,VLOOKUP(A83,'Données projet'!$A$139:$I$159,6,0)*VLOOKUP('Données projet'!$B$13,Paramètres!$A$1:$I$89,7,0))</f>
        <v>9.3500000000000014E-2</v>
      </c>
      <c r="DE83" s="16">
        <f>IF(ISNA(VLOOKUP(A83,'Données projet'!$A$139:$I$159,7,0)),0%,VLOOKUP(A83,'Données projet'!$A$139:$I$159,7,0))</f>
        <v>0.13</v>
      </c>
      <c r="DF83" s="21">
        <f>EXP(-LN(2)/35)*DF82+(1-EXP(-LN(2)/35))/(LN(2)/35)*DB83*DC83*VLOOKUP('Données projet'!$B$13,Paramètres!$A$1:$I$89,3,0)*0.475*44/12</f>
        <v>164.47875563240825</v>
      </c>
      <c r="DG83" s="21">
        <f>EXP(-LN(2)/25)*DG82+(1-EXP(-LN(2)/25))/(LN(2)/25)*Calculateur!DB83*Calculateur!DD83*VLOOKUP('Données projet'!$B$13,Paramètres!$A$1:$I$89,3,0)*0.475*44/12</f>
        <v>47.786982141883662</v>
      </c>
      <c r="DH83" s="21">
        <f>EXP(-LN(2)/2)*DH82+(1-EXP(-LN(2)/2))/(LN(2)/2)*DB83*DE83*VLOOKUP('Données projet'!$B$13,Paramètres!$A$1:$I$89,3,0)*0.475*44/12</f>
        <v>42.143854014571161</v>
      </c>
      <c r="DI83" s="22">
        <f t="shared" si="69"/>
        <v>254.40959178886308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-5.6843418860808015E-13</v>
      </c>
      <c r="DP83" s="17">
        <f>DO83*VLOOKUP('Données projet'!$B$14,Paramètres!$A$1:$I$89,3,0)*VLOOKUP('Données projet'!$B$14,Paramètres!$A$1:$I$89,5,0)</f>
        <v>-3.39923644787632E-13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443.64905827069435</v>
      </c>
      <c r="DU83" s="59">
        <f t="shared" si="98"/>
        <v>381.14782516862385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214.44602596241717</v>
      </c>
      <c r="EB83" s="21">
        <f>EXP(-LN(2)/25)*EB82+(1-EXP(-LN(2)/25))/(LN(2)/25)*Calculateur!DW83*Calculateur!DY83*VLOOKUP('Données projet'!$B$14,Paramètres!$A$1:$I$89,3,0)*0.475*44/12</f>
        <v>41.665902804432811</v>
      </c>
      <c r="EC83" s="21">
        <f>EXP(-LN(2)/2)*EC82+(1-EXP(-LN(2)/2))/(LN(2)/2)*DW83*DZ83*VLOOKUP('Données projet'!$B$14,Paramètres!$A$1:$I$89,3,0)*0.475*44/12</f>
        <v>10.316077612241887</v>
      </c>
      <c r="ED83" s="22">
        <f t="shared" si="72"/>
        <v>266.42800637909187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-3.4106051316484809E-13</v>
      </c>
      <c r="EK83" s="17">
        <f>EJ83*VLOOKUP('Données projet'!$B$15,Paramètres!$A$1:$I$89,3,0)*VLOOKUP('Données projet'!$B$15,Paramètres!$A$1:$I$89,5,0)</f>
        <v>-3.0859155231155454E-13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504.37890861635196</v>
      </c>
      <c r="EP83" s="59">
        <f t="shared" si="100"/>
        <v>611.82129317522913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47.059391235779728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47.059391235779728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192</v>
      </c>
      <c r="FC83" s="12">
        <f>VLOOKUP(A83,'Données projet'!$A$217:$I$237,9,0)</f>
        <v>4.5999999999999996</v>
      </c>
      <c r="FD83" s="12">
        <f t="array" ref="FD83">INDEX(FC:FC,MIN(IF(ISNUMBER(FC83:FC279),ROW(FC83:FC279),"")))</f>
        <v>4.5999999999999996</v>
      </c>
      <c r="FE83" s="12">
        <f>IF('Données projet'!$A$218&gt;35,FE82+FD83-FM82,IF(A83&lt;'Données projet'!$A$218,$FB$205^A83,IF(A83='Données projet'!$A$218,'Données projet'!$B$218,FE82+FD83-FM82)))</f>
        <v>191.99999999999997</v>
      </c>
      <c r="FF83" s="17">
        <f>FE83*VLOOKUP('Données projet'!$B$16,Paramètres!$A$1:$I$89,3,0)*VLOOKUP('Données projet'!$B$16,Paramètres!$A$1:$I$89,5,0)</f>
        <v>206.66879999999995</v>
      </c>
      <c r="FG83" s="13">
        <f t="shared" si="101"/>
        <v>51.206958627992705</v>
      </c>
      <c r="FH83" s="20">
        <f t="shared" si="76"/>
        <v>449.1336129437538</v>
      </c>
      <c r="FI83" s="59">
        <f t="shared" si="77"/>
        <v>737.49390750426483</v>
      </c>
      <c r="FJ83" s="59">
        <f ca="1">AVERAGE(OFFSET($FI$3,0,0,'Données projet'!$E$16+1,1))-AVERAGE(OFFSET($H$3,0,0,'Données projet'!$E$16+1,1))</f>
        <v>334.01098870576732</v>
      </c>
      <c r="FK83" s="59">
        <f t="shared" si="102"/>
        <v>171.1802153303471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14</v>
      </c>
      <c r="FN83" s="16">
        <f>IF(ISNA(VLOOKUP(A83,'Données projet'!$A$217:$I$237,5,0)),0%,VLOOKUP(A83,'Données projet'!$A$217:$I$237,5,0)*VLOOKUP('Données projet'!$B$16,Paramètres!$A$1:$I$89,7,0))</f>
        <v>0.215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16.217244620235693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16.217244620235693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275</v>
      </c>
      <c r="FX83" s="12">
        <f>VLOOKUP(A83,'Données projet'!$A$243:$I$263,9,0)</f>
        <v>2.8</v>
      </c>
      <c r="FY83" s="12">
        <f t="array" ref="FY83">INDEX(FX:FX,MIN(IF(ISNUMBER(FX83:FX279),ROW(FX83:FX279),"")))</f>
        <v>2.8</v>
      </c>
      <c r="FZ83" s="12">
        <f>IF('Données projet'!$A$244&gt;35,FZ82+FY83-GH82,IF(A83&lt;'Données projet'!$A$244,$FW$205^A83,IF(A83='Données projet'!$A$244,'Données projet'!$B$244,FZ82+FY83-GH82)))</f>
        <v>274.99999999999983</v>
      </c>
      <c r="GA83" s="17">
        <f>FZ83*VLOOKUP('Données projet'!$B$17,Paramètres!$A$1:$I$89,3,0)*VLOOKUP('Données projet'!$B$17,Paramètres!$A$1:$I$89,5,0)</f>
        <v>240.23999999999987</v>
      </c>
      <c r="GB83" s="13">
        <f t="shared" si="103"/>
        <v>58.491164647183084</v>
      </c>
      <c r="GC83" s="20">
        <f t="shared" si="79"/>
        <v>520.29011176051029</v>
      </c>
      <c r="GD83" s="59">
        <f t="shared" si="80"/>
        <v>808.65040632102125</v>
      </c>
      <c r="GE83" s="59">
        <f ca="1">AVERAGE(OFFSET($GD$3,0,0,'Données projet'!$E$17+1,1))-AVERAGE(OFFSET($H$3,0,0,'Données projet'!$E$17+1,1))</f>
        <v>330.12856974146598</v>
      </c>
      <c r="GF83" s="59">
        <f t="shared" si="104"/>
        <v>321.23368446552286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275</v>
      </c>
      <c r="GI83" s="16">
        <f>IF(ISNA(VLOOKUP(A83,'Données projet'!$A$243:$I$263,5,0)),0%,VLOOKUP(A83,'Données projet'!$A$243:$I$263,5,0)*VLOOKUP('Données projet'!$B$17,Paramètres!$A$1:$I$89,7,0))</f>
        <v>0.371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117.13076750224931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117.13076750224931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68.643716698321171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261</v>
      </c>
      <c r="GS83" s="12">
        <f>VLOOKUP(A83,'Données projet'!$A$269:$I$289,9,0)</f>
        <v>6</v>
      </c>
      <c r="GT83" s="12">
        <f t="array" ref="GT83">INDEX(GS:GS,MIN(IF(ISNUMBER(GS83:GS279),ROW(GS83:GS279),"")))</f>
        <v>6</v>
      </c>
      <c r="GU83" s="12">
        <f>IF('Données projet'!$A$270&gt;35,GU82+GT83-HC82,IF(A83&lt;'Données projet'!$A$270,$GR$205^A83,IF(A83='Données projet'!$A$270,'Données projet'!$B$270,GU82+GT83-HC82)))</f>
        <v>260.99999999999989</v>
      </c>
      <c r="GV83" s="17">
        <f>GU83*VLOOKUP('Données projet'!$B$18,Paramètres!$A$1:$I$89,3,0)*VLOOKUP('Données projet'!$B$18,Paramètres!$A$1:$I$89,5,0)</f>
        <v>175.07879999999992</v>
      </c>
      <c r="GW83" s="13">
        <f t="shared" si="105"/>
        <v>44.225549694464867</v>
      </c>
      <c r="GX83" s="20">
        <f t="shared" si="82"/>
        <v>381.95507571785947</v>
      </c>
      <c r="GY83" s="59">
        <f t="shared" si="83"/>
        <v>670.31537027837044</v>
      </c>
      <c r="GZ83" s="59">
        <f ca="1">AVERAGE(OFFSET($GY$3,0,0,'Données projet'!$E$18+1,1))-AVERAGE(OFFSET($H$3,0,0,'Données projet'!$E$18+1,1))</f>
        <v>296.67751292332753</v>
      </c>
      <c r="HA83" s="59">
        <f t="shared" si="106"/>
        <v>197.99510031603018</v>
      </c>
      <c r="HB83" s="15">
        <f>IF(ISNA(VLOOKUP(A83,'Données projet'!$A$269:$I$289,3,0)),0,VLOOKUP(A83,'Données projet'!$A$269:$I$289,3,0))</f>
        <v>13</v>
      </c>
      <c r="HC83" s="15">
        <f>IF(ISNA(VLOOKUP(A83,'Données projet'!$A$269:$I$289,4,0)),0,VLOOKUP(A83,'Données projet'!$A$269:$I$289,4,0))</f>
        <v>21</v>
      </c>
      <c r="HD83" s="16">
        <f>IF(ISNA(VLOOKUP(A83,'Données projet'!$A$269:$I$289,5,0)),0%,VLOOKUP(A83,'Données projet'!$A$269:$I$289,5,0)*VLOOKUP('Données projet'!$B$18,Paramètres!$A$1:$I$89,7,0))</f>
        <v>0.318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21.198533120119023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21.198533120119023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1.1000000000000001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4.0333333333333341</v>
      </c>
      <c r="H84" s="67">
        <f t="shared" si="56"/>
        <v>240.5333333333333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298.79999999999995</v>
      </c>
      <c r="O84" s="13">
        <f>N84*VLOOKUP('Données projet'!$B$9,Paramètres!$A$1:$I$89,3,0)*VLOOKUP('Données projet'!$B$9,Paramètres!$A$1:$I$89,5,0)</f>
        <v>270.35423999999995</v>
      </c>
      <c r="P84" s="13">
        <f t="shared" si="87"/>
        <v>64.924442218534367</v>
      </c>
      <c r="Q84" s="20">
        <f t="shared" si="54"/>
        <v>583.94370486394712</v>
      </c>
      <c r="R84" s="59">
        <f t="shared" si="55"/>
        <v>872.3902705291174</v>
      </c>
      <c r="S84" s="59">
        <f ca="1">AVERAGE(OFFSET($R$3,0,0,'Données projet'!$E$9+1,1))-AVERAGE(OFFSET($H$3,0,0,'Données projet'!$E$9+1,1))</f>
        <v>461.20962581398715</v>
      </c>
      <c r="T84" s="59">
        <f t="shared" si="88"/>
        <v>348.44322874953923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298.79999999999995</v>
      </c>
      <c r="AJ84" s="13">
        <f>AI84*VLOOKUP('Données projet'!$B$10,Paramètres!$A$1:$I$89,3,0)*VLOOKUP('Données projet'!$B$10,Paramètres!$A$1:$I$89,5,0)</f>
        <v>302.98319999999995</v>
      </c>
      <c r="AK84" s="13">
        <f t="shared" si="89"/>
        <v>71.801496173397709</v>
      </c>
      <c r="AL84" s="20">
        <f t="shared" si="58"/>
        <v>652.75001250200091</v>
      </c>
      <c r="AM84" s="59">
        <f t="shared" si="59"/>
        <v>941.1965781671712</v>
      </c>
      <c r="AN84" s="59">
        <f ca="1">AVERAGE(OFFSET($AM$3,0,0,'Données projet'!$E$10+1,1))-AVERAGE(OFFSET($H$3,0,0,'Données projet'!$E$10+1,1))</f>
        <v>510.86584023875525</v>
      </c>
      <c r="AO84" s="59">
        <f t="shared" si="90"/>
        <v>384.62921487244125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33.984522842893803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33.984522842893803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4.1677594708744434E-14</v>
      </c>
      <c r="BF84" s="13">
        <f t="shared" si="91"/>
        <v>6.9326303456159188E-13</v>
      </c>
      <c r="BG84" s="20">
        <f t="shared" si="61"/>
        <v>1.2800215959791691E-12</v>
      </c>
      <c r="BH84" s="59">
        <f t="shared" si="62"/>
        <v>288.44656566517159</v>
      </c>
      <c r="BI84" s="59">
        <f ca="1">AVERAGE(OFFSET($BH$3,0,0,'Données projet'!$E$11+1,1))-AVERAGE(OFFSET($H$3,0,0,'Données projet'!$E$11+1,1))</f>
        <v>201.7253431547006</v>
      </c>
      <c r="BJ84" s="59">
        <f t="shared" si="92"/>
        <v>229.70004720044096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31.837402630891194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31.837402630891194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-1.2710188457276673E-13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462.09240749760784</v>
      </c>
      <c r="CE84" s="59">
        <f t="shared" si="94"/>
        <v>403.52202223463337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337.2777885288491</v>
      </c>
      <c r="CL84" s="21">
        <f>EXP(-LN(2)/25)*CL83+(1-EXP(-LN(2)/25))/(LN(2)/25)*Calculateur!CG84*Calculateur!CI84*VLOOKUP('Données projet'!$B$12,Paramètres!$A$1:$I$89,3,0)*0.475*44/12</f>
        <v>33.539219426318347</v>
      </c>
      <c r="CM84" s="21">
        <f>EXP(-LN(2)/2)*CM83+(1-EXP(-LN(2)/2))/(LN(2)/2)*CG84*CJ84*VLOOKUP('Données projet'!$B$12,Paramètres!$A$1:$I$89,3,0)*0.475*44/12</f>
        <v>12.410511830312609</v>
      </c>
      <c r="CN84" s="22">
        <f t="shared" si="66"/>
        <v>383.22751978548007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319.88925869887464</v>
      </c>
      <c r="CZ84" s="59">
        <f t="shared" si="96"/>
        <v>258.2857172412098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161.25342755659167</v>
      </c>
      <c r="DG84" s="21">
        <f>EXP(-LN(2)/25)*DG83+(1-EXP(-LN(2)/25))/(LN(2)/25)*Calculateur!DB84*Calculateur!DD84*VLOOKUP('Données projet'!$B$13,Paramètres!$A$1:$I$89,3,0)*0.475*44/12</f>
        <v>46.48024460220568</v>
      </c>
      <c r="DH84" s="21">
        <f>EXP(-LN(2)/2)*DH83+(1-EXP(-LN(2)/2))/(LN(2)/2)*DB84*DE84*VLOOKUP('Données projet'!$B$13,Paramètres!$A$1:$I$89,3,0)*0.475*44/12</f>
        <v>29.800204959039174</v>
      </c>
      <c r="DI84" s="22">
        <f t="shared" si="69"/>
        <v>237.53387711783654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-5.6843418860808015E-13</v>
      </c>
      <c r="DP84" s="17">
        <f>DO84*VLOOKUP('Données projet'!$B$14,Paramètres!$A$1:$I$89,3,0)*VLOOKUP('Données projet'!$B$14,Paramètres!$A$1:$I$89,5,0)</f>
        <v>-3.39923644787632E-13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443.64905827069435</v>
      </c>
      <c r="DU84" s="59">
        <f t="shared" si="98"/>
        <v>381.14782516862385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210.24087019245465</v>
      </c>
      <c r="EB84" s="21">
        <f>EXP(-LN(2)/25)*EB83+(1-EXP(-LN(2)/25))/(LN(2)/25)*Calculateur!DW84*Calculateur!DY84*VLOOKUP('Données projet'!$B$14,Paramètres!$A$1:$I$89,3,0)*0.475*44/12</f>
        <v>40.526546501130994</v>
      </c>
      <c r="EC84" s="21">
        <f>EXP(-LN(2)/2)*EC83+(1-EXP(-LN(2)/2))/(LN(2)/2)*DW84*DZ84*VLOOKUP('Données projet'!$B$14,Paramètres!$A$1:$I$89,3,0)*0.475*44/12</f>
        <v>7.294568434862966</v>
      </c>
      <c r="ED84" s="22">
        <f t="shared" si="72"/>
        <v>258.06198512844861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-3.4106051316484809E-13</v>
      </c>
      <c r="EK84" s="17">
        <f>EJ84*VLOOKUP('Données projet'!$B$15,Paramètres!$A$1:$I$89,3,0)*VLOOKUP('Données projet'!$B$15,Paramètres!$A$1:$I$89,5,0)</f>
        <v>-3.0859155231155454E-13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504.37890861635196</v>
      </c>
      <c r="EP84" s="59">
        <f t="shared" si="100"/>
        <v>611.82129317522913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46.136585277040517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46.136585277040517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4.4000000000000004</v>
      </c>
      <c r="FE84" s="12">
        <f>IF('Données projet'!$A$218&gt;35,FE83+FD84-FM83,IF(A84&lt;'Données projet'!$A$218,$FB$205^A84,IF(A84='Données projet'!$A$218,'Données projet'!$B$218,FE83+FD84-FM83)))</f>
        <v>182.39999999999998</v>
      </c>
      <c r="FF84" s="17">
        <f>FE84*VLOOKUP('Données projet'!$B$16,Paramètres!$A$1:$I$89,3,0)*VLOOKUP('Données projet'!$B$16,Paramètres!$A$1:$I$89,5,0)</f>
        <v>196.33535999999998</v>
      </c>
      <c r="FG84" s="13">
        <f t="shared" si="101"/>
        <v>48.937925995037986</v>
      </c>
      <c r="FH84" s="20">
        <f t="shared" si="76"/>
        <v>427.18430644135782</v>
      </c>
      <c r="FI84" s="59">
        <f t="shared" si="77"/>
        <v>715.63087210652816</v>
      </c>
      <c r="FJ84" s="59">
        <f ca="1">AVERAGE(OFFSET($FI$3,0,0,'Données projet'!$E$16+1,1))-AVERAGE(OFFSET($H$3,0,0,'Données projet'!$E$16+1,1))</f>
        <v>334.01098870576732</v>
      </c>
      <c r="FK84" s="59">
        <f t="shared" si="102"/>
        <v>171.1802153303471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15.899234344775381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15.899234344775381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-1.7053025658242404E-13</v>
      </c>
      <c r="GA84" s="17">
        <f>FZ84*VLOOKUP('Données projet'!$B$17,Paramètres!$A$1:$I$89,3,0)*VLOOKUP('Données projet'!$B$17,Paramètres!$A$1:$I$89,5,0)</f>
        <v>-1.4897523215040567E-13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330.12856974146598</v>
      </c>
      <c r="GF84" s="59">
        <f t="shared" si="104"/>
        <v>321.23368446552286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114.833904594244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114.833904594244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68.667245181410081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5.8</v>
      </c>
      <c r="GU84" s="12">
        <f>IF('Données projet'!$A$270&gt;35,GU83+GT84-HC83,IF(A84&lt;'Données projet'!$A$270,$GR$205^A84,IF(A84='Données projet'!$A$270,'Données projet'!$B$270,GU83+GT84-HC83)))</f>
        <v>245.7999999999999</v>
      </c>
      <c r="GV84" s="17">
        <f>GU84*VLOOKUP('Données projet'!$B$18,Paramètres!$A$1:$I$89,3,0)*VLOOKUP('Données projet'!$B$18,Paramètres!$A$1:$I$89,5,0)</f>
        <v>164.88263999999995</v>
      </c>
      <c r="GW84" s="13">
        <f t="shared" si="105"/>
        <v>41.941874385207427</v>
      </c>
      <c r="GX84" s="20">
        <f t="shared" si="82"/>
        <v>360.21936255423617</v>
      </c>
      <c r="GY84" s="59">
        <f t="shared" si="83"/>
        <v>648.6659282194064</v>
      </c>
      <c r="GZ84" s="59">
        <f ca="1">AVERAGE(OFFSET($GY$3,0,0,'Données projet'!$E$18+1,1))-AVERAGE(OFFSET($H$3,0,0,'Données projet'!$E$18+1,1))</f>
        <v>296.67751292332753</v>
      </c>
      <c r="HA84" s="59">
        <f t="shared" si="106"/>
        <v>197.99510031603018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20.782842815461979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20.782842815461979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1.1000000000000001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4.0333333333333341</v>
      </c>
      <c r="H85" s="67">
        <f t="shared" si="56"/>
        <v>240.5333333333333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305.59999999999997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9">
        <f t="shared" si="55"/>
        <v>885.46173289241517</v>
      </c>
      <c r="S85" s="59">
        <f ca="1">AVERAGE(OFFSET($R$3,0,0,'Données projet'!$E$9+1,1))-AVERAGE(OFFSET($H$3,0,0,'Données projet'!$E$9+1,1))</f>
        <v>461.20962581398715</v>
      </c>
      <c r="T85" s="59">
        <f t="shared" si="88"/>
        <v>348.44322874953923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305.59999999999997</v>
      </c>
      <c r="AJ85" s="13">
        <f>AI85*VLOOKUP('Données projet'!$B$10,Paramètres!$A$1:$I$89,3,0)*VLOOKUP('Données projet'!$B$10,Paramètres!$A$1:$I$89,5,0)</f>
        <v>309.8784</v>
      </c>
      <c r="AK85" s="13">
        <f t="shared" si="89"/>
        <v>73.243434672131556</v>
      </c>
      <c r="AL85" s="20">
        <f t="shared" si="58"/>
        <v>667.27052872062904</v>
      </c>
      <c r="AM85" s="59">
        <f t="shared" si="59"/>
        <v>955.80186887966624</v>
      </c>
      <c r="AN85" s="59">
        <f ca="1">AVERAGE(OFFSET($AM$3,0,0,'Données projet'!$E$10+1,1))-AVERAGE(OFFSET($H$3,0,0,'Données projet'!$E$10+1,1))</f>
        <v>510.86584023875525</v>
      </c>
      <c r="AO85" s="59">
        <f t="shared" si="90"/>
        <v>384.62921487244125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33.318107078456819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33.318107078456819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4.1677594708744434E-14</v>
      </c>
      <c r="BF85" s="13">
        <f t="shared" si="91"/>
        <v>6.9326303456159188E-13</v>
      </c>
      <c r="BG85" s="20">
        <f t="shared" si="61"/>
        <v>1.2800215959791691E-12</v>
      </c>
      <c r="BH85" s="59">
        <f t="shared" si="62"/>
        <v>288.53134015903851</v>
      </c>
      <c r="BI85" s="59">
        <f ca="1">AVERAGE(OFFSET($BH$3,0,0,'Données projet'!$E$11+1,1))-AVERAGE(OFFSET($H$3,0,0,'Données projet'!$E$11+1,1))</f>
        <v>201.7253431547006</v>
      </c>
      <c r="BJ85" s="59">
        <f t="shared" si="92"/>
        <v>229.70004720044096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31.213090584197566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31.213090584197566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-1.2710188457276673E-13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462.09240749760784</v>
      </c>
      <c r="CE85" s="59">
        <f t="shared" si="94"/>
        <v>403.52202223463337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330.66397681493629</v>
      </c>
      <c r="CL85" s="21">
        <f>EXP(-LN(2)/25)*CL84+(1-EXP(-LN(2)/25))/(LN(2)/25)*Calculateur!CG85*Calculateur!CI85*VLOOKUP('Données projet'!$B$12,Paramètres!$A$1:$I$89,3,0)*0.475*44/12</f>
        <v>32.62208770735478</v>
      </c>
      <c r="CM85" s="21">
        <f>EXP(-LN(2)/2)*CM84+(1-EXP(-LN(2)/2))/(LN(2)/2)*CG85*CJ85*VLOOKUP('Données projet'!$B$12,Paramètres!$A$1:$I$89,3,0)*0.475*44/12</f>
        <v>8.7755570732099191</v>
      </c>
      <c r="CN85" s="22">
        <f t="shared" si="66"/>
        <v>372.06162159550104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319.88925869887464</v>
      </c>
      <c r="CZ85" s="59">
        <f t="shared" si="96"/>
        <v>258.2857172412098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158.09134619708598</v>
      </c>
      <c r="DG85" s="21">
        <f>EXP(-LN(2)/25)*DG84+(1-EXP(-LN(2)/25))/(LN(2)/25)*Calculateur!DB85*Calculateur!DD85*VLOOKUP('Données projet'!$B$13,Paramètres!$A$1:$I$89,3,0)*0.475*44/12</f>
        <v>45.209239869268536</v>
      </c>
      <c r="DH85" s="21">
        <f>EXP(-LN(2)/2)*DH84+(1-EXP(-LN(2)/2))/(LN(2)/2)*DB85*DE85*VLOOKUP('Données projet'!$B$13,Paramètres!$A$1:$I$89,3,0)*0.475*44/12</f>
        <v>21.071927007285584</v>
      </c>
      <c r="DI85" s="22">
        <f t="shared" si="69"/>
        <v>224.37251307364011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-5.6843418860808015E-13</v>
      </c>
      <c r="DP85" s="17">
        <f>DO85*VLOOKUP('Données projet'!$B$14,Paramètres!$A$1:$I$89,3,0)*VLOOKUP('Données projet'!$B$14,Paramètres!$A$1:$I$89,5,0)</f>
        <v>-3.39923644787632E-13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443.64905827069435</v>
      </c>
      <c r="DU85" s="59">
        <f t="shared" si="98"/>
        <v>381.14782516862385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206.11817496224936</v>
      </c>
      <c r="EB85" s="21">
        <f>EXP(-LN(2)/25)*EB84+(1-EXP(-LN(2)/25))/(LN(2)/25)*Calculateur!DW85*Calculateur!DY85*VLOOKUP('Données projet'!$B$14,Paramètres!$A$1:$I$89,3,0)*0.475*44/12</f>
        <v>39.41834595585911</v>
      </c>
      <c r="EC85" s="21">
        <f>EXP(-LN(2)/2)*EC84+(1-EXP(-LN(2)/2))/(LN(2)/2)*DW85*DZ85*VLOOKUP('Données projet'!$B$14,Paramètres!$A$1:$I$89,3,0)*0.475*44/12</f>
        <v>5.1580388061209437</v>
      </c>
      <c r="ED85" s="22">
        <f t="shared" si="72"/>
        <v>250.69455972422941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-3.4106051316484809E-13</v>
      </c>
      <c r="EK85" s="17">
        <f>EJ85*VLOOKUP('Données projet'!$B$15,Paramètres!$A$1:$I$89,3,0)*VLOOKUP('Données projet'!$B$15,Paramètres!$A$1:$I$89,5,0)</f>
        <v>-3.0859155231155454E-13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504.37890861635196</v>
      </c>
      <c r="EP85" s="59">
        <f t="shared" si="100"/>
        <v>611.82129317522913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45.231874980296126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45.231874980296126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4.4000000000000004</v>
      </c>
      <c r="FE85" s="12">
        <f>IF('Données projet'!$A$218&gt;35,FE84+FD85-FM84,IF(A85&lt;'Données projet'!$A$218,$FB$205^A85,IF(A85='Données projet'!$A$218,'Données projet'!$B$218,FE84+FD85-FM84)))</f>
        <v>186.79999999999998</v>
      </c>
      <c r="FF85" s="17">
        <f>FE85*VLOOKUP('Données projet'!$B$16,Paramètres!$A$1:$I$89,3,0)*VLOOKUP('Données projet'!$B$16,Paramètres!$A$1:$I$89,5,0)</f>
        <v>201.07151999999996</v>
      </c>
      <c r="FG85" s="13">
        <f t="shared" si="101"/>
        <v>49.97958210772665</v>
      </c>
      <c r="FH85" s="20">
        <f t="shared" si="76"/>
        <v>437.24733617095717</v>
      </c>
      <c r="FI85" s="59">
        <f t="shared" si="77"/>
        <v>725.77867632999437</v>
      </c>
      <c r="FJ85" s="59">
        <f ca="1">AVERAGE(OFFSET($FI$3,0,0,'Données projet'!$E$16+1,1))-AVERAGE(OFFSET($H$3,0,0,'Données projet'!$E$16+1,1))</f>
        <v>334.01098870576732</v>
      </c>
      <c r="FK85" s="59">
        <f t="shared" si="102"/>
        <v>171.1802153303471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15.58746005684973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15.58746005684973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-1.7053025658242404E-13</v>
      </c>
      <c r="GA85" s="17">
        <f>FZ85*VLOOKUP('Données projet'!$B$17,Paramètres!$A$1:$I$89,3,0)*VLOOKUP('Données projet'!$B$17,Paramètres!$A$1:$I$89,5,0)</f>
        <v>-1.4897523215040567E-13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330.12856974146598</v>
      </c>
      <c r="GF85" s="59">
        <f t="shared" si="104"/>
        <v>321.23368446552286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112.58208176691663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112.58208176691663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68.690365497919231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5.8</v>
      </c>
      <c r="GU85" s="12">
        <f>IF('Données projet'!$A$270&gt;35,GU84+GT85-HC84,IF(A85&lt;'Données projet'!$A$270,$GR$205^A85,IF(A85='Données projet'!$A$270,'Données projet'!$B$270,GU84+GT85-HC84)))</f>
        <v>251.59999999999991</v>
      </c>
      <c r="GV85" s="17">
        <f>GU85*VLOOKUP('Données projet'!$B$18,Paramètres!$A$1:$I$89,3,0)*VLOOKUP('Données projet'!$B$18,Paramètres!$A$1:$I$89,5,0)</f>
        <v>168.77327999999994</v>
      </c>
      <c r="GW85" s="13">
        <f t="shared" si="105"/>
        <v>42.815163417148412</v>
      </c>
      <c r="GX85" s="20">
        <f t="shared" si="82"/>
        <v>368.51653895153339</v>
      </c>
      <c r="GY85" s="59">
        <f t="shared" si="83"/>
        <v>657.04787911057065</v>
      </c>
      <c r="GZ85" s="59">
        <f ca="1">AVERAGE(OFFSET($GY$3,0,0,'Données projet'!$E$18+1,1))-AVERAGE(OFFSET($H$3,0,0,'Données projet'!$E$18+1,1))</f>
        <v>296.67751292332753</v>
      </c>
      <c r="HA85" s="59">
        <f t="shared" si="106"/>
        <v>197.99510031603018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20.375303944133208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20.375303944133208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1.1000000000000001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4.0333333333333341</v>
      </c>
      <c r="H86" s="67">
        <f t="shared" si="56"/>
        <v>240.5333333333333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312.39999999999998</v>
      </c>
      <c r="O86" s="13">
        <f>N86*VLOOKUP('Données projet'!$B$9,Paramètres!$A$1:$I$89,3,0)*VLOOKUP('Données projet'!$B$9,Paramètres!$A$1:$I$89,5,0)</f>
        <v>282.65951999999999</v>
      </c>
      <c r="P86" s="13">
        <f t="shared" si="87"/>
        <v>67.528732309967324</v>
      </c>
      <c r="Q86" s="20">
        <f t="shared" si="54"/>
        <v>609.91120610652638</v>
      </c>
      <c r="R86" s="59">
        <f t="shared" si="55"/>
        <v>898.52585011148915</v>
      </c>
      <c r="S86" s="59">
        <f ca="1">AVERAGE(OFFSET($R$3,0,0,'Données projet'!$E$9+1,1))-AVERAGE(OFFSET($H$3,0,0,'Données projet'!$E$9+1,1))</f>
        <v>461.20962581398715</v>
      </c>
      <c r="T86" s="59">
        <f t="shared" si="88"/>
        <v>348.44322874953923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312.39999999999998</v>
      </c>
      <c r="AJ86" s="13">
        <f>AI86*VLOOKUP('Données projet'!$B$10,Paramètres!$A$1:$I$89,3,0)*VLOOKUP('Données projet'!$B$10,Paramètres!$A$1:$I$89,5,0)</f>
        <v>316.77359999999999</v>
      </c>
      <c r="AK86" s="13">
        <f t="shared" si="89"/>
        <v>74.681642981668006</v>
      </c>
      <c r="AL86" s="20">
        <f t="shared" si="58"/>
        <v>681.78454819307171</v>
      </c>
      <c r="AM86" s="59">
        <f t="shared" si="59"/>
        <v>970.39919219803448</v>
      </c>
      <c r="AN86" s="59">
        <f ca="1">AVERAGE(OFFSET($AM$3,0,0,'Données projet'!$E$10+1,1))-AVERAGE(OFFSET($H$3,0,0,'Données projet'!$E$10+1,1))</f>
        <v>510.86584023875525</v>
      </c>
      <c r="AO86" s="59">
        <f t="shared" si="90"/>
        <v>384.62921487244125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32.664759320686962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32.664759320686962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4.1677594708744434E-14</v>
      </c>
      <c r="BF86" s="13">
        <f t="shared" si="91"/>
        <v>6.9326303456159188E-13</v>
      </c>
      <c r="BG86" s="20">
        <f t="shared" si="61"/>
        <v>1.2800215959791691E-12</v>
      </c>
      <c r="BH86" s="59">
        <f t="shared" si="62"/>
        <v>288.61464400496408</v>
      </c>
      <c r="BI86" s="59">
        <f ca="1">AVERAGE(OFFSET($BH$3,0,0,'Données projet'!$E$11+1,1))-AVERAGE(OFFSET($H$3,0,0,'Données projet'!$E$11+1,1))</f>
        <v>201.7253431547006</v>
      </c>
      <c r="BJ86" s="59">
        <f t="shared" si="92"/>
        <v>229.70004720044096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30.601020915946851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30.601020915946851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-1.2710188457276673E-13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462.09240749760784</v>
      </c>
      <c r="CE86" s="59">
        <f t="shared" si="94"/>
        <v>403.52202223463337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324.17985791470647</v>
      </c>
      <c r="CL86" s="21">
        <f>EXP(-LN(2)/25)*CL85+(1-EXP(-LN(2)/25))/(LN(2)/25)*Calculateur!CG86*Calculateur!CI86*VLOOKUP('Données projet'!$B$12,Paramètres!$A$1:$I$89,3,0)*0.475*44/12</f>
        <v>31.730035003476129</v>
      </c>
      <c r="CM86" s="21">
        <f>EXP(-LN(2)/2)*CM85+(1-EXP(-LN(2)/2))/(LN(2)/2)*CG86*CJ86*VLOOKUP('Données projet'!$B$12,Paramètres!$A$1:$I$89,3,0)*0.475*44/12</f>
        <v>6.2052559151563065</v>
      </c>
      <c r="CN86" s="22">
        <f t="shared" si="66"/>
        <v>362.11514883333894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319.88925869887464</v>
      </c>
      <c r="CZ86" s="59">
        <f t="shared" si="96"/>
        <v>258.2857172412098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154.99127132436101</v>
      </c>
      <c r="DG86" s="21">
        <f>EXP(-LN(2)/25)*DG85+(1-EXP(-LN(2)/25))/(LN(2)/25)*Calculateur!DB86*Calculateur!DD86*VLOOKUP('Données projet'!$B$13,Paramètres!$A$1:$I$89,3,0)*0.475*44/12</f>
        <v>43.972990827592788</v>
      </c>
      <c r="DH86" s="21">
        <f>EXP(-LN(2)/2)*DH85+(1-EXP(-LN(2)/2))/(LN(2)/2)*DB86*DE86*VLOOKUP('Données projet'!$B$13,Paramètres!$A$1:$I$89,3,0)*0.475*44/12</f>
        <v>14.900102479519591</v>
      </c>
      <c r="DI86" s="22">
        <f t="shared" si="69"/>
        <v>213.86436463147339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-5.6843418860808015E-13</v>
      </c>
      <c r="DP86" s="17">
        <f>DO86*VLOOKUP('Données projet'!$B$14,Paramètres!$A$1:$I$89,3,0)*VLOOKUP('Données projet'!$B$14,Paramètres!$A$1:$I$89,5,0)</f>
        <v>-3.39923644787632E-13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443.64905827069435</v>
      </c>
      <c r="DU86" s="59">
        <f t="shared" si="98"/>
        <v>381.14782516862385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202.07632327091258</v>
      </c>
      <c r="EB86" s="21">
        <f>EXP(-LN(2)/25)*EB85+(1-EXP(-LN(2)/25))/(LN(2)/25)*Calculateur!DW86*Calculateur!DY86*VLOOKUP('Données projet'!$B$14,Paramètres!$A$1:$I$89,3,0)*0.475*44/12</f>
        <v>38.340449212775418</v>
      </c>
      <c r="EC86" s="21">
        <f>EXP(-LN(2)/2)*EC85+(1-EXP(-LN(2)/2))/(LN(2)/2)*DW86*DZ86*VLOOKUP('Données projet'!$B$14,Paramètres!$A$1:$I$89,3,0)*0.475*44/12</f>
        <v>3.647284217431483</v>
      </c>
      <c r="ED86" s="22">
        <f t="shared" si="72"/>
        <v>244.06405670111948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-3.4106051316484809E-13</v>
      </c>
      <c r="EK86" s="17">
        <f>EJ86*VLOOKUP('Données projet'!$B$15,Paramètres!$A$1:$I$89,3,0)*VLOOKUP('Données projet'!$B$15,Paramètres!$A$1:$I$89,5,0)</f>
        <v>-3.0859155231155454E-13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504.37890861635196</v>
      </c>
      <c r="EP86" s="59">
        <f t="shared" si="100"/>
        <v>611.82129317522913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44.344905500652096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44.344905500652096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4.4000000000000004</v>
      </c>
      <c r="FE86" s="12">
        <f>IF('Données projet'!$A$218&gt;35,FE85+FD86-FM85,IF(A86&lt;'Données projet'!$A$218,$FB$205^A86,IF(A86='Données projet'!$A$218,'Données projet'!$B$218,FE85+FD86-FM85)))</f>
        <v>191.2</v>
      </c>
      <c r="FF86" s="17">
        <f>FE86*VLOOKUP('Données projet'!$B$16,Paramètres!$A$1:$I$89,3,0)*VLOOKUP('Données projet'!$B$16,Paramètres!$A$1:$I$89,5,0)</f>
        <v>205.80767999999995</v>
      </c>
      <c r="FG86" s="13">
        <f t="shared" si="101"/>
        <v>51.018385886479962</v>
      </c>
      <c r="FH86" s="20">
        <f t="shared" si="76"/>
        <v>447.30539808561917</v>
      </c>
      <c r="FI86" s="59">
        <f t="shared" si="77"/>
        <v>735.920042090582</v>
      </c>
      <c r="FJ86" s="59">
        <f ca="1">AVERAGE(OFFSET($FI$3,0,0,'Données projet'!$E$16+1,1))-AVERAGE(OFFSET($H$3,0,0,'Données projet'!$E$16+1,1))</f>
        <v>334.01098870576732</v>
      </c>
      <c r="FK86" s="59">
        <f t="shared" si="102"/>
        <v>171.1802153303471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15.281799472546762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15.281799472546762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-1.7053025658242404E-13</v>
      </c>
      <c r="GA86" s="17">
        <f>FZ86*VLOOKUP('Données projet'!$B$17,Paramètres!$A$1:$I$89,3,0)*VLOOKUP('Données projet'!$B$17,Paramètres!$A$1:$I$89,5,0)</f>
        <v>-1.4897523215040567E-13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330.12856974146598</v>
      </c>
      <c r="GF86" s="59">
        <f t="shared" si="104"/>
        <v>321.23368446552286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110.37441581175685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110.37441581175685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68.713084728626214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5.8</v>
      </c>
      <c r="GU86" s="12">
        <f>IF('Données projet'!$A$270&gt;35,GU85+GT86-HC85,IF(A86&lt;'Données projet'!$A$270,$GR$205^A86,IF(A86='Données projet'!$A$270,'Données projet'!$B$270,GU85+GT86-HC85)))</f>
        <v>257.39999999999992</v>
      </c>
      <c r="GV86" s="17">
        <f>GU86*VLOOKUP('Données projet'!$B$18,Paramètres!$A$1:$I$89,3,0)*VLOOKUP('Données projet'!$B$18,Paramètres!$A$1:$I$89,5,0)</f>
        <v>172.66391999999993</v>
      </c>
      <c r="GW86" s="13">
        <f t="shared" si="105"/>
        <v>43.686112068665423</v>
      </c>
      <c r="GX86" s="20">
        <f t="shared" si="82"/>
        <v>376.80963918625883</v>
      </c>
      <c r="GY86" s="59">
        <f t="shared" si="83"/>
        <v>665.42428319122155</v>
      </c>
      <c r="GZ86" s="59">
        <f ca="1">AVERAGE(OFFSET($GY$3,0,0,'Données projet'!$E$18+1,1))-AVERAGE(OFFSET($H$3,0,0,'Données projet'!$E$18+1,1))</f>
        <v>296.67751292332753</v>
      </c>
      <c r="HA86" s="59">
        <f t="shared" si="106"/>
        <v>197.99510031603018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19.975756661497027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19.975756661497027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1.1000000000000001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4.0333333333333341</v>
      </c>
      <c r="H87" s="67">
        <f t="shared" si="56"/>
        <v>240.5333333333333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</v>
      </c>
      <c r="O87" s="13">
        <f>N87*VLOOKUP('Données projet'!$B$9,Paramètres!$A$1:$I$89,3,0)*VLOOKUP('Données projet'!$B$9,Paramètres!$A$1:$I$89,5,0)</f>
        <v>288.81215999999995</v>
      </c>
      <c r="P87" s="13">
        <f t="shared" si="87"/>
        <v>68.825899854238159</v>
      </c>
      <c r="Q87" s="20">
        <f t="shared" si="54"/>
        <v>622.88628757946469</v>
      </c>
      <c r="R87" s="59">
        <f t="shared" si="55"/>
        <v>911.58279029486584</v>
      </c>
      <c r="S87" s="59">
        <f ca="1">AVERAGE(OFFSET($R$3,0,0,'Données projet'!$E$9+1,1))-AVERAGE(OFFSET($H$3,0,0,'Données projet'!$E$9+1,1))</f>
        <v>461.20962581398715</v>
      </c>
      <c r="T87" s="59">
        <f t="shared" si="88"/>
        <v>348.44322874953923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</v>
      </c>
      <c r="AJ87" s="13">
        <f>AI87*VLOOKUP('Données projet'!$B$10,Paramètres!$A$1:$I$89,3,0)*VLOOKUP('Données projet'!$B$10,Paramètres!$A$1:$I$89,5,0)</f>
        <v>323.66879999999998</v>
      </c>
      <c r="AK87" s="13">
        <f t="shared" si="89"/>
        <v>76.11621164769852</v>
      </c>
      <c r="AL87" s="20">
        <f t="shared" si="58"/>
        <v>696.29222861974165</v>
      </c>
      <c r="AM87" s="59">
        <f t="shared" si="59"/>
        <v>984.9887313351428</v>
      </c>
      <c r="AN87" s="59">
        <f ca="1">AVERAGE(OFFSET($AM$3,0,0,'Données projet'!$E$10+1,1))-AVERAGE(OFFSET($H$3,0,0,'Données projet'!$E$10+1,1))</f>
        <v>510.86584023875525</v>
      </c>
      <c r="AO87" s="59">
        <f t="shared" si="90"/>
        <v>384.62921487244125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32.024223313944191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32.024223313944191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4.1677594708744434E-14</v>
      </c>
      <c r="BF87" s="13">
        <f t="shared" si="91"/>
        <v>6.9326303456159188E-13</v>
      </c>
      <c r="BG87" s="20">
        <f t="shared" si="61"/>
        <v>1.2800215959791691E-12</v>
      </c>
      <c r="BH87" s="59">
        <f t="shared" si="62"/>
        <v>288.6965027154024</v>
      </c>
      <c r="BI87" s="59">
        <f ca="1">AVERAGE(OFFSET($BH$3,0,0,'Données projet'!$E$11+1,1))-AVERAGE(OFFSET($H$3,0,0,'Données projet'!$E$11+1,1))</f>
        <v>201.7253431547006</v>
      </c>
      <c r="BJ87" s="59">
        <f t="shared" si="92"/>
        <v>229.70004720044096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30.000953560564898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30.000953560564898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-1.2710188457276673E-13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462.09240749760784</v>
      </c>
      <c r="CE87" s="59">
        <f t="shared" si="94"/>
        <v>403.52202223463337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317.82288863118816</v>
      </c>
      <c r="CL87" s="21">
        <f>EXP(-LN(2)/25)*CL86+(1-EXP(-LN(2)/25))/(LN(2)/25)*Calculateur!CG87*Calculateur!CI87*VLOOKUP('Données projet'!$B$12,Paramètres!$A$1:$I$89,3,0)*0.475*44/12</f>
        <v>30.862375527696052</v>
      </c>
      <c r="CM87" s="21">
        <f>EXP(-LN(2)/2)*CM86+(1-EXP(-LN(2)/2))/(LN(2)/2)*CG87*CJ87*VLOOKUP('Données projet'!$B$12,Paramètres!$A$1:$I$89,3,0)*0.475*44/12</f>
        <v>4.3877785366049604</v>
      </c>
      <c r="CN87" s="22">
        <f t="shared" si="66"/>
        <v>353.07304269548916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319.88925869887464</v>
      </c>
      <c r="CZ87" s="59">
        <f t="shared" si="96"/>
        <v>258.2857172412098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151.95198702903122</v>
      </c>
      <c r="DG87" s="21">
        <f>EXP(-LN(2)/25)*DG86+(1-EXP(-LN(2)/25))/(LN(2)/25)*Calculateur!DB87*Calculateur!DD87*VLOOKUP('Données projet'!$B$13,Paramètres!$A$1:$I$89,3,0)*0.475*44/12</f>
        <v>42.770547080973181</v>
      </c>
      <c r="DH87" s="21">
        <f>EXP(-LN(2)/2)*DH86+(1-EXP(-LN(2)/2))/(LN(2)/2)*DB87*DE87*VLOOKUP('Données projet'!$B$13,Paramètres!$A$1:$I$89,3,0)*0.475*44/12</f>
        <v>10.535963503642794</v>
      </c>
      <c r="DI87" s="22">
        <f t="shared" si="69"/>
        <v>205.25849761364719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-5.6843418860808015E-13</v>
      </c>
      <c r="DP87" s="17">
        <f>DO87*VLOOKUP('Données projet'!$B$14,Paramètres!$A$1:$I$89,3,0)*VLOOKUP('Données projet'!$B$14,Paramètres!$A$1:$I$89,5,0)</f>
        <v>-3.39923644787632E-13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443.64905827069435</v>
      </c>
      <c r="DU87" s="59">
        <f t="shared" si="98"/>
        <v>381.14782516862385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198.11372982595682</v>
      </c>
      <c r="EB87" s="21">
        <f>EXP(-LN(2)/25)*EB86+(1-EXP(-LN(2)/25))/(LN(2)/25)*Calculateur!DW87*Calculateur!DY87*VLOOKUP('Données projet'!$B$14,Paramètres!$A$1:$I$89,3,0)*0.475*44/12</f>
        <v>37.292027612815481</v>
      </c>
      <c r="EC87" s="21">
        <f>EXP(-LN(2)/2)*EC86+(1-EXP(-LN(2)/2))/(LN(2)/2)*DW87*DZ87*VLOOKUP('Données projet'!$B$14,Paramètres!$A$1:$I$89,3,0)*0.475*44/12</f>
        <v>2.5790194030604718</v>
      </c>
      <c r="ED87" s="22">
        <f t="shared" si="72"/>
        <v>237.98477684183277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-3.4106051316484809E-13</v>
      </c>
      <c r="EK87" s="17">
        <f>EJ87*VLOOKUP('Données projet'!$B$15,Paramètres!$A$1:$I$89,3,0)*VLOOKUP('Données projet'!$B$15,Paramètres!$A$1:$I$89,5,0)</f>
        <v>-3.0859155231155454E-13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504.37890861635196</v>
      </c>
      <c r="EP87" s="59">
        <f t="shared" si="100"/>
        <v>611.82129317522913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43.475328951505922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43.475328951505922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4.4000000000000004</v>
      </c>
      <c r="FE87" s="12">
        <f>IF('Données projet'!$A$218&gt;35,FE86+FD87-FM86,IF(A87&lt;'Données projet'!$A$218,$FB$205^A87,IF(A87='Données projet'!$A$218,'Données projet'!$B$218,FE86+FD87-FM86)))</f>
        <v>195.6</v>
      </c>
      <c r="FF87" s="17">
        <f>FE87*VLOOKUP('Données projet'!$B$16,Paramètres!$A$1:$I$89,3,0)*VLOOKUP('Données projet'!$B$16,Paramètres!$A$1:$I$89,5,0)</f>
        <v>210.54384000000002</v>
      </c>
      <c r="FG87" s="13">
        <f t="shared" si="101"/>
        <v>52.054410526216479</v>
      </c>
      <c r="FH87" s="20">
        <f t="shared" si="76"/>
        <v>457.35861966649367</v>
      </c>
      <c r="FI87" s="59">
        <f t="shared" si="77"/>
        <v>746.05512238189476</v>
      </c>
      <c r="FJ87" s="59">
        <f ca="1">AVERAGE(OFFSET($FI$3,0,0,'Données projet'!$E$16+1,1))-AVERAGE(OFFSET($H$3,0,0,'Données projet'!$E$16+1,1))</f>
        <v>334.01098870576732</v>
      </c>
      <c r="FK87" s="59">
        <f t="shared" si="102"/>
        <v>171.1802153303471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14.982132705867429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14.982132705867429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-1.7053025658242404E-13</v>
      </c>
      <c r="GA87" s="17">
        <f>FZ87*VLOOKUP('Données projet'!$B$17,Paramètres!$A$1:$I$89,3,0)*VLOOKUP('Données projet'!$B$17,Paramètres!$A$1:$I$89,5,0)</f>
        <v>-1.4897523215040567E-13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330.12856974146598</v>
      </c>
      <c r="GF87" s="59">
        <f t="shared" si="104"/>
        <v>321.23368446552286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108.21004083943447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108.21004083943447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68.735409831473021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5.8</v>
      </c>
      <c r="GU87" s="12">
        <f>IF('Données projet'!$A$270&gt;35,GU86+GT87-HC86,IF(A87&lt;'Données projet'!$A$270,$GR$205^A87,IF(A87='Données projet'!$A$270,'Données projet'!$B$270,GU86+GT87-HC86)))</f>
        <v>263.19999999999993</v>
      </c>
      <c r="GV87" s="17">
        <f>GU87*VLOOKUP('Données projet'!$B$18,Paramètres!$A$1:$I$89,3,0)*VLOOKUP('Données projet'!$B$18,Paramètres!$A$1:$I$89,5,0)</f>
        <v>176.55455999999995</v>
      </c>
      <c r="GW87" s="13">
        <f t="shared" si="105"/>
        <v>44.554779146969786</v>
      </c>
      <c r="GX87" s="20">
        <f t="shared" si="82"/>
        <v>385.09876568097229</v>
      </c>
      <c r="GY87" s="59">
        <f t="shared" si="83"/>
        <v>673.79526839637333</v>
      </c>
      <c r="GZ87" s="59">
        <f ca="1">AVERAGE(OFFSET($GY$3,0,0,'Données projet'!$E$18+1,1))-AVERAGE(OFFSET($H$3,0,0,'Données projet'!$E$18+1,1))</f>
        <v>296.67751292332753</v>
      </c>
      <c r="HA87" s="59">
        <f t="shared" si="106"/>
        <v>197.99510031603018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19.584044257373563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19.584044257373563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1.1000000000000001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4.0333333333333341</v>
      </c>
      <c r="H88" s="67">
        <f t="shared" si="56"/>
        <v>240.5333333333333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</v>
      </c>
      <c r="O88" s="13">
        <f>N88*VLOOKUP('Données projet'!$B$9,Paramètres!$A$1:$I$89,3,0)*VLOOKUP('Données projet'!$B$9,Paramètres!$A$1:$I$89,5,0)</f>
        <v>294.96479999999997</v>
      </c>
      <c r="P88" s="13">
        <f t="shared" si="87"/>
        <v>70.119854541045001</v>
      </c>
      <c r="Q88" s="20">
        <f t="shared" si="54"/>
        <v>635.85577332565333</v>
      </c>
      <c r="R88" s="59">
        <f t="shared" si="55"/>
        <v>924.63271468587527</v>
      </c>
      <c r="S88" s="59">
        <f ca="1">AVERAGE(OFFSET($R$3,0,0,'Données projet'!$E$9+1,1))-AVERAGE(OFFSET($H$3,0,0,'Données projet'!$E$9+1,1))</f>
        <v>461.20962581398715</v>
      </c>
      <c r="T88" s="59">
        <f t="shared" si="88"/>
        <v>348.44322874953923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35.240772072246642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35.240772072246642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</v>
      </c>
      <c r="AJ88" s="13">
        <f>AI88*VLOOKUP('Données projet'!$B$10,Paramètres!$A$1:$I$89,3,0)*VLOOKUP('Données projet'!$B$10,Paramètres!$A$1:$I$89,5,0)</f>
        <v>330.56400000000002</v>
      </c>
      <c r="AK88" s="13">
        <f t="shared" si="89"/>
        <v>77.547227137682853</v>
      </c>
      <c r="AL88" s="20">
        <f t="shared" si="58"/>
        <v>710.79372059813102</v>
      </c>
      <c r="AM88" s="59">
        <f t="shared" si="59"/>
        <v>999.57066195835296</v>
      </c>
      <c r="AN88" s="59">
        <f ca="1">AVERAGE(OFFSET($AM$3,0,0,'Données projet'!$E$10+1,1))-AVERAGE(OFFSET($H$3,0,0,'Données projet'!$E$10+1,1))</f>
        <v>510.86584023875525</v>
      </c>
      <c r="AO88" s="59">
        <f t="shared" si="90"/>
        <v>384.62921487244125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39.493968701655731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39.493968701655731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4.1677594708744434E-14</v>
      </c>
      <c r="BF88" s="13">
        <f t="shared" si="91"/>
        <v>6.9326303456159188E-13</v>
      </c>
      <c r="BG88" s="20">
        <f t="shared" si="61"/>
        <v>1.2800215959791691E-12</v>
      </c>
      <c r="BH88" s="59">
        <f t="shared" si="62"/>
        <v>288.77694136022325</v>
      </c>
      <c r="BI88" s="59">
        <f ca="1">AVERAGE(OFFSET($BH$3,0,0,'Données projet'!$E$11+1,1))-AVERAGE(OFFSET($H$3,0,0,'Données projet'!$E$11+1,1))</f>
        <v>201.7253431547006</v>
      </c>
      <c r="BJ88" s="59">
        <f t="shared" si="92"/>
        <v>229.70004720044096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29.41265316001704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29.41265316001704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-1.2710188457276673E-13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462.09240749760784</v>
      </c>
      <c r="CE88" s="59">
        <f t="shared" si="94"/>
        <v>403.52202223463337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311.59057563795125</v>
      </c>
      <c r="CL88" s="21">
        <f>EXP(-LN(2)/25)*CL87+(1-EXP(-LN(2)/25))/(LN(2)/25)*Calculateur!CG88*Calculateur!CI88*VLOOKUP('Données projet'!$B$12,Paramètres!$A$1:$I$89,3,0)*0.475*44/12</f>
        <v>30.018442245909412</v>
      </c>
      <c r="CM88" s="21">
        <f>EXP(-LN(2)/2)*CM87+(1-EXP(-LN(2)/2))/(LN(2)/2)*CG88*CJ88*VLOOKUP('Données projet'!$B$12,Paramètres!$A$1:$I$89,3,0)*0.475*44/12</f>
        <v>3.1026279575781537</v>
      </c>
      <c r="CN88" s="22">
        <f t="shared" si="66"/>
        <v>344.71164584143878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319.88925869887464</v>
      </c>
      <c r="CZ88" s="59">
        <f t="shared" si="96"/>
        <v>258.2857172412098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148.97230124495246</v>
      </c>
      <c r="DG88" s="21">
        <f>EXP(-LN(2)/25)*DG87+(1-EXP(-LN(2)/25))/(LN(2)/25)*Calculateur!DB88*Calculateur!DD88*VLOOKUP('Données projet'!$B$13,Paramètres!$A$1:$I$89,3,0)*0.475*44/12</f>
        <v>41.600984221838651</v>
      </c>
      <c r="DH88" s="21">
        <f>EXP(-LN(2)/2)*DH87+(1-EXP(-LN(2)/2))/(LN(2)/2)*DB88*DE88*VLOOKUP('Données projet'!$B$13,Paramètres!$A$1:$I$89,3,0)*0.475*44/12</f>
        <v>7.4500512397597962</v>
      </c>
      <c r="DI88" s="22">
        <f t="shared" si="69"/>
        <v>198.02333670655091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-5.6843418860808015E-13</v>
      </c>
      <c r="DP88" s="17">
        <f>DO88*VLOOKUP('Données projet'!$B$14,Paramètres!$A$1:$I$89,3,0)*VLOOKUP('Données projet'!$B$14,Paramètres!$A$1:$I$89,5,0)</f>
        <v>-3.39923644787632E-13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443.64905827069435</v>
      </c>
      <c r="DU88" s="59">
        <f t="shared" si="98"/>
        <v>381.14782516862385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194.2288404215133</v>
      </c>
      <c r="EB88" s="21">
        <f>EXP(-LN(2)/25)*EB87+(1-EXP(-LN(2)/25))/(LN(2)/25)*Calculateur!DW88*Calculateur!DY88*VLOOKUP('Données projet'!$B$14,Paramètres!$A$1:$I$89,3,0)*0.475*44/12</f>
        <v>36.272275156640539</v>
      </c>
      <c r="EC88" s="21">
        <f>EXP(-LN(2)/2)*EC87+(1-EXP(-LN(2)/2))/(LN(2)/2)*DW88*DZ88*VLOOKUP('Données projet'!$B$14,Paramètres!$A$1:$I$89,3,0)*0.475*44/12</f>
        <v>1.8236421087157415</v>
      </c>
      <c r="ED88" s="22">
        <f t="shared" si="72"/>
        <v>232.32475768686959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-3.4106051316484809E-13</v>
      </c>
      <c r="EK88" s="17">
        <f>EJ88*VLOOKUP('Données projet'!$B$15,Paramètres!$A$1:$I$89,3,0)*VLOOKUP('Données projet'!$B$15,Paramètres!$A$1:$I$89,5,0)</f>
        <v>-3.0859155231155454E-13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504.37890861635196</v>
      </c>
      <c r="EP88" s="59">
        <f t="shared" si="100"/>
        <v>611.82129317522913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42.622804268099181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42.622804268099181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200</v>
      </c>
      <c r="FC88" s="12">
        <f>VLOOKUP(A88,'Données projet'!$A$217:$I$237,9,0)</f>
        <v>4.4000000000000004</v>
      </c>
      <c r="FD88" s="12">
        <f t="array" ref="FD88">INDEX(FC:FC,MIN(IF(ISNUMBER(FC88:FC284),ROW(FC88:FC284),"")))</f>
        <v>4.4000000000000004</v>
      </c>
      <c r="FE88" s="12">
        <f>IF('Données projet'!$A$218&gt;35,FE87+FD88-FM87,IF(A88&lt;'Données projet'!$A$218,$FB$205^A88,IF(A88='Données projet'!$A$218,'Données projet'!$B$218,FE87+FD88-FM87)))</f>
        <v>200</v>
      </c>
      <c r="FF88" s="17">
        <f>FE88*VLOOKUP('Données projet'!$B$16,Paramètres!$A$1:$I$89,3,0)*VLOOKUP('Données projet'!$B$16,Paramètres!$A$1:$I$89,5,0)</f>
        <v>215.28</v>
      </c>
      <c r="FG88" s="13">
        <f t="shared" si="101"/>
        <v>53.087725740853138</v>
      </c>
      <c r="FH88" s="20">
        <f t="shared" si="76"/>
        <v>467.40712233198587</v>
      </c>
      <c r="FI88" s="59">
        <f t="shared" si="77"/>
        <v>756.18406369220781</v>
      </c>
      <c r="FJ88" s="59">
        <f ca="1">AVERAGE(OFFSET($FI$3,0,0,'Données projet'!$E$16+1,1))-AVERAGE(OFFSET($H$3,0,0,'Données projet'!$E$16+1,1))</f>
        <v>334.01098870576732</v>
      </c>
      <c r="FK88" s="59">
        <f t="shared" si="102"/>
        <v>171.1802153303471</v>
      </c>
      <c r="FL88" s="15">
        <f>IF(ISNA(VLOOKUP(A88,'Données projet'!$A$217:$I$237,3,0)),0,VLOOKUP(A88,'Données projet'!$A$217:$I$237,3,0))</f>
        <v>13</v>
      </c>
      <c r="FM88" s="15">
        <f>IF(ISNA(VLOOKUP(A88,'Données projet'!$A$217:$I$237,4,0)),0,VLOOKUP(A88,'Données projet'!$A$217:$I$237,4,0))</f>
        <v>14</v>
      </c>
      <c r="FN88" s="16">
        <f>IF(ISNA(VLOOKUP(A88,'Données projet'!$A$217:$I$237,5,0)),0%,VLOOKUP(A88,'Données projet'!$A$217:$I$237,5,0)*VLOOKUP('Données projet'!$B$16,Paramètres!$A$1:$I$89,7,0))</f>
        <v>0.25800000000000001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18.98636330100771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18.98636330100771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-1.7053025658242404E-13</v>
      </c>
      <c r="GA88" s="17">
        <f>FZ88*VLOOKUP('Données projet'!$B$17,Paramètres!$A$1:$I$89,3,0)*VLOOKUP('Données projet'!$B$17,Paramètres!$A$1:$I$89,5,0)</f>
        <v>-1.4897523215040567E-13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330.12856974146598</v>
      </c>
      <c r="GF88" s="59">
        <f t="shared" si="104"/>
        <v>321.23368446552286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106.08810794018095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106.08810794018095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68.757347643696889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>
        <f>VLOOKUP(A88,'Données projet'!$A$269:$I$289,2,0)</f>
        <v>269</v>
      </c>
      <c r="GS88" s="12">
        <f>VLOOKUP(A88,'Données projet'!$A$269:$I$289,9,0)</f>
        <v>5.8</v>
      </c>
      <c r="GT88" s="12">
        <f t="array" ref="GT88">INDEX(GS:GS,MIN(IF(ISNUMBER(GS88:GS284),ROW(GS88:GS284),"")))</f>
        <v>5.8</v>
      </c>
      <c r="GU88" s="12">
        <f>IF('Données projet'!$A$270&gt;35,GU87+GT88-HC87,IF(A88&lt;'Données projet'!$A$270,$GR$205^A88,IF(A88='Données projet'!$A$270,'Données projet'!$B$270,GU87+GT88-HC87)))</f>
        <v>268.99999999999994</v>
      </c>
      <c r="GV88" s="17">
        <f>GU88*VLOOKUP('Données projet'!$B$18,Paramètres!$A$1:$I$89,3,0)*VLOOKUP('Données projet'!$B$18,Paramètres!$A$1:$I$89,5,0)</f>
        <v>180.44519999999997</v>
      </c>
      <c r="GW88" s="13">
        <f t="shared" si="105"/>
        <v>45.421220719470305</v>
      </c>
      <c r="GX88" s="20">
        <f t="shared" si="82"/>
        <v>393.38401608641078</v>
      </c>
      <c r="GY88" s="59">
        <f t="shared" si="83"/>
        <v>682.16095744663266</v>
      </c>
      <c r="GZ88" s="59">
        <f ca="1">AVERAGE(OFFSET($GY$3,0,0,'Données projet'!$E$18+1,1))-AVERAGE(OFFSET($H$3,0,0,'Données projet'!$E$18+1,1))</f>
        <v>296.67751292332753</v>
      </c>
      <c r="HA88" s="59">
        <f t="shared" si="106"/>
        <v>197.99510031603018</v>
      </c>
      <c r="HB88" s="15">
        <f>IF(ISNA(VLOOKUP(A88,'Données projet'!$A$269:$I$289,3,0)),0,VLOOKUP(A88,'Données projet'!$A$269:$I$289,3,0))</f>
        <v>14</v>
      </c>
      <c r="HC88" s="15">
        <f>IF(ISNA(VLOOKUP(A88,'Données projet'!$A$269:$I$289,4,0)),0,VLOOKUP(A88,'Données projet'!$A$269:$I$289,4,0))</f>
        <v>21</v>
      </c>
      <c r="HD88" s="16">
        <f>IF(ISNA(VLOOKUP(A88,'Données projet'!$A$269:$I$289,5,0)),0%,VLOOKUP(A88,'Données projet'!$A$269:$I$289,5,0)*VLOOKUP('Données projet'!$B$18,Paramètres!$A$1:$I$89,7,0))</f>
        <v>0.318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24.1520808598587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24.1520808598587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1.1000000000000001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4.0333333333333341</v>
      </c>
      <c r="H89" s="67">
        <f t="shared" si="56"/>
        <v>240.5333333333333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304.39999999999998</v>
      </c>
      <c r="O89" s="13">
        <f>N89*VLOOKUP('Données projet'!$B$9,Paramètres!$A$1:$I$89,3,0)*VLOOKUP('Données projet'!$B$9,Paramètres!$A$1:$I$89,5,0)</f>
        <v>275.42111999999997</v>
      </c>
      <c r="P89" s="13">
        <f t="shared" si="87"/>
        <v>65.998433293601067</v>
      </c>
      <c r="Q89" s="20">
        <f t="shared" si="54"/>
        <v>594.63905531968851</v>
      </c>
      <c r="R89" s="59">
        <f t="shared" si="55"/>
        <v>883.49503989407754</v>
      </c>
      <c r="S89" s="59">
        <f ca="1">AVERAGE(OFFSET($R$3,0,0,'Données projet'!$E$9+1,1))-AVERAGE(OFFSET($H$3,0,0,'Données projet'!$E$9+1,1))</f>
        <v>461.20962581398715</v>
      </c>
      <c r="T89" s="59">
        <f t="shared" si="88"/>
        <v>348.44322874953923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34.549722026658422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34.549722026658422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304.39999999999998</v>
      </c>
      <c r="AJ89" s="13">
        <f>AI89*VLOOKUP('Données projet'!$B$10,Paramètres!$A$1:$I$89,3,0)*VLOOKUP('Données projet'!$B$10,Paramètres!$A$1:$I$89,5,0)</f>
        <v>308.66159999999996</v>
      </c>
      <c r="AK89" s="13">
        <f t="shared" si="89"/>
        <v>72.98924863505313</v>
      </c>
      <c r="AL89" s="20">
        <f t="shared" si="58"/>
        <v>664.70856137271744</v>
      </c>
      <c r="AM89" s="59">
        <f t="shared" si="59"/>
        <v>953.56454594710647</v>
      </c>
      <c r="AN89" s="59">
        <f ca="1">AVERAGE(OFFSET($AM$3,0,0,'Données projet'!$E$10+1,1))-AVERAGE(OFFSET($H$3,0,0,'Données projet'!$E$10+1,1))</f>
        <v>510.86584023875525</v>
      </c>
      <c r="AO89" s="59">
        <f t="shared" si="90"/>
        <v>384.62921487244125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38.719516064358587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38.719516064358587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4.1677594708744434E-14</v>
      </c>
      <c r="BF89" s="13">
        <f t="shared" si="91"/>
        <v>6.9326303456159188E-13</v>
      </c>
      <c r="BG89" s="20">
        <f t="shared" si="61"/>
        <v>1.2800215959791691E-12</v>
      </c>
      <c r="BH89" s="59">
        <f t="shared" si="62"/>
        <v>288.85598457439033</v>
      </c>
      <c r="BI89" s="59">
        <f ca="1">AVERAGE(OFFSET($BH$3,0,0,'Données projet'!$E$11+1,1))-AVERAGE(OFFSET($H$3,0,0,'Données projet'!$E$11+1,1))</f>
        <v>201.7253431547006</v>
      </c>
      <c r="BJ89" s="59">
        <f t="shared" si="92"/>
        <v>229.70004720044096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28.835888971496111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28.835888971496111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-1.2710188457276673E-13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462.09240749760784</v>
      </c>
      <c r="CE89" s="59">
        <f t="shared" si="94"/>
        <v>403.52202223463337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305.48047450117616</v>
      </c>
      <c r="CL89" s="21">
        <f>EXP(-LN(2)/25)*CL88+(1-EXP(-LN(2)/25))/(LN(2)/25)*Calculateur!CG89*Calculateur!CI89*VLOOKUP('Données projet'!$B$12,Paramètres!$A$1:$I$89,3,0)*0.475*44/12</f>
        <v>29.197586364093748</v>
      </c>
      <c r="CM89" s="21">
        <f>EXP(-LN(2)/2)*CM88+(1-EXP(-LN(2)/2))/(LN(2)/2)*CG89*CJ89*VLOOKUP('Données projet'!$B$12,Paramètres!$A$1:$I$89,3,0)*0.475*44/12</f>
        <v>2.1938892683024807</v>
      </c>
      <c r="CN89" s="22">
        <f t="shared" si="66"/>
        <v>336.8719501335724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319.88925869887464</v>
      </c>
      <c r="CZ89" s="59">
        <f t="shared" si="96"/>
        <v>258.2857172412098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146.05104528167061</v>
      </c>
      <c r="DG89" s="21">
        <f>EXP(-LN(2)/25)*DG88+(1-EXP(-LN(2)/25))/(LN(2)/25)*Calculateur!DB89*Calculateur!DD89*VLOOKUP('Données projet'!$B$13,Paramètres!$A$1:$I$89,3,0)*0.475*44/12</f>
        <v>40.463403120591792</v>
      </c>
      <c r="DH89" s="21">
        <f>EXP(-LN(2)/2)*DH88+(1-EXP(-LN(2)/2))/(LN(2)/2)*DB89*DE89*VLOOKUP('Données projet'!$B$13,Paramètres!$A$1:$I$89,3,0)*0.475*44/12</f>
        <v>5.2679817518213978</v>
      </c>
      <c r="DI89" s="22">
        <f t="shared" si="69"/>
        <v>191.78243015408381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-5.6843418860808015E-13</v>
      </c>
      <c r="DP89" s="17">
        <f>DO89*VLOOKUP('Données projet'!$B$14,Paramètres!$A$1:$I$89,3,0)*VLOOKUP('Données projet'!$B$14,Paramètres!$A$1:$I$89,5,0)</f>
        <v>-3.39923644787632E-13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443.64905827069435</v>
      </c>
      <c r="DU89" s="59">
        <f t="shared" si="98"/>
        <v>381.14782516862385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190.42013132874234</v>
      </c>
      <c r="EB89" s="21">
        <f>EXP(-LN(2)/25)*EB88+(1-EXP(-LN(2)/25))/(LN(2)/25)*Calculateur!DW89*Calculateur!DY89*VLOOKUP('Données projet'!$B$14,Paramètres!$A$1:$I$89,3,0)*0.475*44/12</f>
        <v>35.280407885006156</v>
      </c>
      <c r="EC89" s="21">
        <f>EXP(-LN(2)/2)*EC88+(1-EXP(-LN(2)/2))/(LN(2)/2)*DW89*DZ89*VLOOKUP('Données projet'!$B$14,Paramètres!$A$1:$I$89,3,0)*0.475*44/12</f>
        <v>1.2895097015302359</v>
      </c>
      <c r="ED89" s="22">
        <f t="shared" si="72"/>
        <v>226.99004891527875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-3.4106051316484809E-13</v>
      </c>
      <c r="EK89" s="17">
        <f>EJ89*VLOOKUP('Données projet'!$B$15,Paramètres!$A$1:$I$89,3,0)*VLOOKUP('Données projet'!$B$15,Paramètres!$A$1:$I$89,5,0)</f>
        <v>-3.0859155231155454E-13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504.37890861635196</v>
      </c>
      <c r="EP89" s="59">
        <f t="shared" si="100"/>
        <v>611.82129317522913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41.786997073745333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41.786997073745333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4.2</v>
      </c>
      <c r="FE89" s="12">
        <f>IF('Données projet'!$A$218&gt;35,FE88+FD89-FM88,IF(A89&lt;'Données projet'!$A$218,$FB$205^A89,IF(A89='Données projet'!$A$218,'Données projet'!$B$218,FE88+FD89-FM88)))</f>
        <v>190.2</v>
      </c>
      <c r="FF89" s="17">
        <f>FE89*VLOOKUP('Données projet'!$B$16,Paramètres!$A$1:$I$89,3,0)*VLOOKUP('Données projet'!$B$16,Paramètres!$A$1:$I$89,5,0)</f>
        <v>204.73127999999997</v>
      </c>
      <c r="FG89" s="13">
        <f t="shared" si="101"/>
        <v>50.782540726679308</v>
      </c>
      <c r="FH89" s="20">
        <f t="shared" si="76"/>
        <v>445.01990443229971</v>
      </c>
      <c r="FI89" s="59">
        <f t="shared" si="77"/>
        <v>733.87588900668879</v>
      </c>
      <c r="FJ89" s="59">
        <f ca="1">AVERAGE(OFFSET($FI$3,0,0,'Données projet'!$E$16+1,1))-AVERAGE(OFFSET($H$3,0,0,'Données projet'!$E$16+1,1))</f>
        <v>334.01098870576732</v>
      </c>
      <c r="FK89" s="59">
        <f t="shared" si="102"/>
        <v>171.1802153303471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18.614052297213078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18.614052297213078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-1.7053025658242404E-13</v>
      </c>
      <c r="GA89" s="17">
        <f>FZ89*VLOOKUP('Données projet'!$B$17,Paramètres!$A$1:$I$89,3,0)*VLOOKUP('Données projet'!$B$17,Paramètres!$A$1:$I$89,5,0)</f>
        <v>-1.4897523215040567E-13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330.12856974146598</v>
      </c>
      <c r="GF89" s="59">
        <f t="shared" si="104"/>
        <v>321.23368446552286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104.00778485083052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104.00778485083052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68.778904883924284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5.4</v>
      </c>
      <c r="GU89" s="12">
        <f>IF('Données projet'!$A$270&gt;35,GU88+GT89-HC88,IF(A89&lt;'Données projet'!$A$270,$GR$205^A89,IF(A89='Données projet'!$A$270,'Données projet'!$B$270,GU88+GT89-HC88)))</f>
        <v>253.39999999999992</v>
      </c>
      <c r="GV89" s="17">
        <f>GU89*VLOOKUP('Données projet'!$B$18,Paramètres!$A$1:$I$89,3,0)*VLOOKUP('Données projet'!$B$18,Paramètres!$A$1:$I$89,5,0)</f>
        <v>169.98071999999993</v>
      </c>
      <c r="GW89" s="13">
        <f t="shared" si="105"/>
        <v>43.085705478170858</v>
      </c>
      <c r="GX89" s="20">
        <f t="shared" si="82"/>
        <v>371.09069104114747</v>
      </c>
      <c r="GY89" s="59">
        <f t="shared" si="83"/>
        <v>659.94667561553649</v>
      </c>
      <c r="GZ89" s="59">
        <f ca="1">AVERAGE(OFFSET($GY$3,0,0,'Données projet'!$E$18+1,1))-AVERAGE(OFFSET($H$3,0,0,'Données projet'!$E$18+1,1))</f>
        <v>296.67751292332753</v>
      </c>
      <c r="HA89" s="59">
        <f t="shared" si="106"/>
        <v>197.99510031603018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23.678473285511597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23.678473285511597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1.1000000000000001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4.0333333333333341</v>
      </c>
      <c r="H90" s="67">
        <f t="shared" si="56"/>
        <v>240.5333333333333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310.79999999999995</v>
      </c>
      <c r="O90" s="13">
        <f>N90*VLOOKUP('Données projet'!$B$9,Paramètres!$A$1:$I$89,3,0)*VLOOKUP('Données projet'!$B$9,Paramètres!$A$1:$I$89,5,0)</f>
        <v>281.21183999999994</v>
      </c>
      <c r="P90" s="13">
        <f t="shared" si="87"/>
        <v>67.22304110496664</v>
      </c>
      <c r="Q90" s="20">
        <f t="shared" si="54"/>
        <v>606.85741792448346</v>
      </c>
      <c r="R90" s="59">
        <f t="shared" si="55"/>
        <v>895.79107448998798</v>
      </c>
      <c r="S90" s="59">
        <f ca="1">AVERAGE(OFFSET($R$3,0,0,'Données projet'!$E$9+1,1))-AVERAGE(OFFSET($H$3,0,0,'Données projet'!$E$9+1,1))</f>
        <v>461.20962581398715</v>
      </c>
      <c r="T90" s="59">
        <f t="shared" si="88"/>
        <v>348.44322874953923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33.872223050965275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33.872223050965275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310.79999999999995</v>
      </c>
      <c r="AJ90" s="13">
        <f>AI90*VLOOKUP('Données projet'!$B$10,Paramètres!$A$1:$I$89,3,0)*VLOOKUP('Données projet'!$B$10,Paramètres!$A$1:$I$89,5,0)</f>
        <v>315.15119999999996</v>
      </c>
      <c r="AK90" s="13">
        <f t="shared" si="89"/>
        <v>74.343571754005879</v>
      </c>
      <c r="AL90" s="20">
        <f t="shared" si="58"/>
        <v>678.37006080489357</v>
      </c>
      <c r="AM90" s="59">
        <f t="shared" si="59"/>
        <v>967.30371737039809</v>
      </c>
      <c r="AN90" s="59">
        <f ca="1">AVERAGE(OFFSET($AM$3,0,0,'Données projet'!$E$10+1,1))-AVERAGE(OFFSET($H$3,0,0,'Données projet'!$E$10+1,1))</f>
        <v>510.86584023875525</v>
      </c>
      <c r="AO90" s="59">
        <f t="shared" si="90"/>
        <v>384.62921487244125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37.960249970909373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37.960249970909373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4.1677594708744434E-14</v>
      </c>
      <c r="BF90" s="13">
        <f t="shared" si="91"/>
        <v>6.9326303456159188E-13</v>
      </c>
      <c r="BG90" s="20">
        <f t="shared" si="61"/>
        <v>1.2800215959791691E-12</v>
      </c>
      <c r="BH90" s="59">
        <f t="shared" si="62"/>
        <v>288.93365656550577</v>
      </c>
      <c r="BI90" s="59">
        <f ca="1">AVERAGE(OFFSET($BH$3,0,0,'Données projet'!$E$11+1,1))-AVERAGE(OFFSET($H$3,0,0,'Données projet'!$E$11+1,1))</f>
        <v>201.7253431547006</v>
      </c>
      <c r="BJ90" s="59">
        <f t="shared" si="92"/>
        <v>229.70004720044096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28.270434776920659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28.270434776920659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-1.2710188457276673E-13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462.09240749760784</v>
      </c>
      <c r="CE90" s="59">
        <f t="shared" si="94"/>
        <v>403.52202223463337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299.49018872089948</v>
      </c>
      <c r="CL90" s="21">
        <f>EXP(-LN(2)/25)*CL89+(1-EXP(-LN(2)/25))/(LN(2)/25)*Calculateur!CG90*Calculateur!CI90*VLOOKUP('Données projet'!$B$12,Paramètres!$A$1:$I$89,3,0)*0.475*44/12</f>
        <v>28.399176829533271</v>
      </c>
      <c r="CM90" s="21">
        <f>EXP(-LN(2)/2)*CM89+(1-EXP(-LN(2)/2))/(LN(2)/2)*CG90*CJ90*VLOOKUP('Données projet'!$B$12,Paramètres!$A$1:$I$89,3,0)*0.475*44/12</f>
        <v>1.5513139787890771</v>
      </c>
      <c r="CN90" s="22">
        <f t="shared" si="66"/>
        <v>329.44067952922182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319.88925869887464</v>
      </c>
      <c r="CZ90" s="59">
        <f t="shared" si="96"/>
        <v>258.2857172412098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143.18707336603853</v>
      </c>
      <c r="DG90" s="21">
        <f>EXP(-LN(2)/25)*DG89+(1-EXP(-LN(2)/25))/(LN(2)/25)*Calculateur!DB90*Calculateur!DD90*VLOOKUP('Données projet'!$B$13,Paramètres!$A$1:$I$89,3,0)*0.475*44/12</f>
        <v>39.356929234381319</v>
      </c>
      <c r="DH90" s="21">
        <f>EXP(-LN(2)/2)*DH89+(1-EXP(-LN(2)/2))/(LN(2)/2)*DB90*DE90*VLOOKUP('Données projet'!$B$13,Paramètres!$A$1:$I$89,3,0)*0.475*44/12</f>
        <v>3.7250256198798986</v>
      </c>
      <c r="DI90" s="22">
        <f t="shared" si="69"/>
        <v>186.26902822029973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-5.6843418860808015E-13</v>
      </c>
      <c r="DP90" s="17">
        <f>DO90*VLOOKUP('Données projet'!$B$14,Paramètres!$A$1:$I$89,3,0)*VLOOKUP('Données projet'!$B$14,Paramètres!$A$1:$I$89,5,0)</f>
        <v>-3.39923644787632E-13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443.64905827069435</v>
      </c>
      <c r="DU90" s="59">
        <f t="shared" si="98"/>
        <v>381.14782516862385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186.68610869819747</v>
      </c>
      <c r="EB90" s="21">
        <f>EXP(-LN(2)/25)*EB89+(1-EXP(-LN(2)/25))/(LN(2)/25)*Calculateur!DW90*Calculateur!DY90*VLOOKUP('Données projet'!$B$14,Paramètres!$A$1:$I$89,3,0)*0.475*44/12</f>
        <v>34.315663276074645</v>
      </c>
      <c r="EC90" s="21">
        <f>EXP(-LN(2)/2)*EC89+(1-EXP(-LN(2)/2))/(LN(2)/2)*DW90*DZ90*VLOOKUP('Données projet'!$B$14,Paramètres!$A$1:$I$89,3,0)*0.475*44/12</f>
        <v>0.91182105435787075</v>
      </c>
      <c r="ED90" s="22">
        <f t="shared" si="72"/>
        <v>221.91359302862998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-3.4106051316484809E-13</v>
      </c>
      <c r="EK90" s="17">
        <f>EJ90*VLOOKUP('Données projet'!$B$15,Paramètres!$A$1:$I$89,3,0)*VLOOKUP('Données projet'!$B$15,Paramètres!$A$1:$I$89,5,0)</f>
        <v>-3.0859155231155454E-13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504.37890861635196</v>
      </c>
      <c r="EP90" s="59">
        <f t="shared" si="100"/>
        <v>611.82129317522913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40.967579548680717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40.967579548680717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4.2</v>
      </c>
      <c r="FE90" s="12">
        <f>IF('Données projet'!$A$218&gt;35,FE89+FD90-FM89,IF(A90&lt;'Données projet'!$A$218,$FB$205^A90,IF(A90='Données projet'!$A$218,'Données projet'!$B$218,FE89+FD90-FM89)))</f>
        <v>194.39999999999998</v>
      </c>
      <c r="FF90" s="17">
        <f>FE90*VLOOKUP('Données projet'!$B$16,Paramètres!$A$1:$I$89,3,0)*VLOOKUP('Données projet'!$B$16,Paramètres!$A$1:$I$89,5,0)</f>
        <v>209.25215999999995</v>
      </c>
      <c r="FG90" s="13">
        <f t="shared" si="101"/>
        <v>51.772129927379012</v>
      </c>
      <c r="FH90" s="20">
        <f t="shared" si="76"/>
        <v>454.61730495685168</v>
      </c>
      <c r="FI90" s="59">
        <f t="shared" si="77"/>
        <v>743.55096152235615</v>
      </c>
      <c r="FJ90" s="59">
        <f ca="1">AVERAGE(OFFSET($FI$3,0,0,'Données projet'!$E$16+1,1))-AVERAGE(OFFSET($H$3,0,0,'Données projet'!$E$16+1,1))</f>
        <v>334.01098870576732</v>
      </c>
      <c r="FK90" s="59">
        <f t="shared" si="102"/>
        <v>171.1802153303471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18.249042085115573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18.249042085115573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-1.7053025658242404E-13</v>
      </c>
      <c r="GA90" s="17">
        <f>FZ90*VLOOKUP('Données projet'!$B$17,Paramètres!$A$1:$I$89,3,0)*VLOOKUP('Données projet'!$B$17,Paramètres!$A$1:$I$89,5,0)</f>
        <v>-1.4897523215040567E-13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330.12856974146598</v>
      </c>
      <c r="GF90" s="59">
        <f t="shared" si="104"/>
        <v>321.23368446552286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101.96825562839047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101.96825562839047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68.80008815422849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5.4</v>
      </c>
      <c r="GU90" s="12">
        <f>IF('Données projet'!$A$270&gt;35,GU89+GT90-HC89,IF(A90&lt;'Données projet'!$A$270,$GR$205^A90,IF(A90='Données projet'!$A$270,'Données projet'!$B$270,GU89+GT90-HC89)))</f>
        <v>258.7999999999999</v>
      </c>
      <c r="GV90" s="17">
        <f>GU90*VLOOKUP('Données projet'!$B$18,Paramètres!$A$1:$I$89,3,0)*VLOOKUP('Données projet'!$B$18,Paramètres!$A$1:$I$89,5,0)</f>
        <v>173.60303999999994</v>
      </c>
      <c r="GW90" s="13">
        <f t="shared" si="105"/>
        <v>43.895997056101073</v>
      </c>
      <c r="GX90" s="20">
        <f t="shared" si="82"/>
        <v>378.81082287270925</v>
      </c>
      <c r="GY90" s="59">
        <f t="shared" si="83"/>
        <v>667.74447943821372</v>
      </c>
      <c r="GZ90" s="59">
        <f ca="1">AVERAGE(OFFSET($GY$3,0,0,'Données projet'!$E$18+1,1))-AVERAGE(OFFSET($H$3,0,0,'Données projet'!$E$18+1,1))</f>
        <v>296.67751292332753</v>
      </c>
      <c r="HA90" s="59">
        <f t="shared" si="106"/>
        <v>197.99510031603018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23.214152866825344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23.214152866825344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1.1000000000000001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4.0333333333333341</v>
      </c>
      <c r="H91" s="67">
        <f t="shared" si="56"/>
        <v>240.5333333333333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317.19999999999993</v>
      </c>
      <c r="O91" s="13">
        <f>N91*VLOOKUP('Données projet'!$B$9,Paramètres!$A$1:$I$89,3,0)*VLOOKUP('Données projet'!$B$9,Paramètres!$A$1:$I$89,5,0)</f>
        <v>287.0025599999999</v>
      </c>
      <c r="P91" s="13">
        <f t="shared" si="87"/>
        <v>68.444716936118553</v>
      </c>
      <c r="Q91" s="20">
        <f t="shared" si="54"/>
        <v>619.07067399707296</v>
      </c>
      <c r="R91" s="59">
        <f t="shared" si="55"/>
        <v>908.08065511829568</v>
      </c>
      <c r="S91" s="59">
        <f ca="1">AVERAGE(OFFSET($R$3,0,0,'Données projet'!$E$9+1,1))-AVERAGE(OFFSET($H$3,0,0,'Données projet'!$E$9+1,1))</f>
        <v>461.20962581398715</v>
      </c>
      <c r="T91" s="59">
        <f t="shared" si="88"/>
        <v>348.44322874953923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33.208009416951903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33.208009416951903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317.19999999999993</v>
      </c>
      <c r="AJ91" s="13">
        <f>AI91*VLOOKUP('Données projet'!$B$10,Paramètres!$A$1:$I$89,3,0)*VLOOKUP('Données projet'!$B$10,Paramètres!$A$1:$I$89,5,0)</f>
        <v>321.64079999999996</v>
      </c>
      <c r="AK91" s="13">
        <f t="shared" si="89"/>
        <v>75.694652325793228</v>
      </c>
      <c r="AL91" s="20">
        <f t="shared" si="58"/>
        <v>692.02591280075649</v>
      </c>
      <c r="AM91" s="59">
        <f t="shared" si="59"/>
        <v>981.0358939219791</v>
      </c>
      <c r="AN91" s="59">
        <f ca="1">AVERAGE(OFFSET($AM$3,0,0,'Données projet'!$E$10+1,1))-AVERAGE(OFFSET($H$3,0,0,'Données projet'!$E$10+1,1))</f>
        <v>510.86584023875525</v>
      </c>
      <c r="AO91" s="59">
        <f t="shared" si="90"/>
        <v>384.62921487244125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37.215872622446106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37.215872622446106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4.1677594708744434E-14</v>
      </c>
      <c r="BF91" s="13">
        <f t="shared" si="91"/>
        <v>6.9326303456159188E-13</v>
      </c>
      <c r="BG91" s="20">
        <f t="shared" si="61"/>
        <v>1.2800215959791691E-12</v>
      </c>
      <c r="BH91" s="59">
        <f t="shared" si="62"/>
        <v>289.00998112122397</v>
      </c>
      <c r="BI91" s="59">
        <f ca="1">AVERAGE(OFFSET($BH$3,0,0,'Données projet'!$E$11+1,1))-AVERAGE(OFFSET($H$3,0,0,'Données projet'!$E$11+1,1))</f>
        <v>201.7253431547006</v>
      </c>
      <c r="BJ91" s="59">
        <f t="shared" si="92"/>
        <v>229.70004720044096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27.716068794207828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27.716068794207828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-1.2710188457276673E-13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462.09240749760784</v>
      </c>
      <c r="CE91" s="59">
        <f t="shared" si="94"/>
        <v>403.52202223463337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293.61736879106053</v>
      </c>
      <c r="CL91" s="21">
        <f>EXP(-LN(2)/25)*CL90+(1-EXP(-LN(2)/25))/(LN(2)/25)*Calculateur!CG91*Calculateur!CI91*VLOOKUP('Données projet'!$B$12,Paramètres!$A$1:$I$89,3,0)*0.475*44/12</f>
        <v>27.622599845681883</v>
      </c>
      <c r="CM91" s="21">
        <f>EXP(-LN(2)/2)*CM90+(1-EXP(-LN(2)/2))/(LN(2)/2)*CG91*CJ91*VLOOKUP('Données projet'!$B$12,Paramètres!$A$1:$I$89,3,0)*0.475*44/12</f>
        <v>1.0969446341512403</v>
      </c>
      <c r="CN91" s="22">
        <f t="shared" si="66"/>
        <v>322.3369132708936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319.88925869887464</v>
      </c>
      <c r="CZ91" s="59">
        <f t="shared" si="96"/>
        <v>258.2857172412098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140.37926219282161</v>
      </c>
      <c r="DG91" s="21">
        <f>EXP(-LN(2)/25)*DG90+(1-EXP(-LN(2)/25))/(LN(2)/25)*Calculateur!DB91*Calculateur!DD91*VLOOKUP('Données projet'!$B$13,Paramètres!$A$1:$I$89,3,0)*0.475*44/12</f>
        <v>38.280711934776207</v>
      </c>
      <c r="DH91" s="21">
        <f>EXP(-LN(2)/2)*DH90+(1-EXP(-LN(2)/2))/(LN(2)/2)*DB91*DE91*VLOOKUP('Données projet'!$B$13,Paramètres!$A$1:$I$89,3,0)*0.475*44/12</f>
        <v>2.6339908759106994</v>
      </c>
      <c r="DI91" s="22">
        <f t="shared" si="69"/>
        <v>181.29396500350853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-5.6843418860808015E-13</v>
      </c>
      <c r="DP91" s="17">
        <f>DO91*VLOOKUP('Données projet'!$B$14,Paramètres!$A$1:$I$89,3,0)*VLOOKUP('Données projet'!$B$14,Paramètres!$A$1:$I$89,5,0)</f>
        <v>-3.39923644787632E-13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443.64905827069435</v>
      </c>
      <c r="DU91" s="59">
        <f t="shared" si="98"/>
        <v>381.14782516862385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183.02530797390867</v>
      </c>
      <c r="EB91" s="21">
        <f>EXP(-LN(2)/25)*EB90+(1-EXP(-LN(2)/25))/(LN(2)/25)*Calculateur!DW91*Calculateur!DY91*VLOOKUP('Données projet'!$B$14,Paramètres!$A$1:$I$89,3,0)*0.475*44/12</f>
        <v>33.377299659208084</v>
      </c>
      <c r="EC91" s="21">
        <f>EXP(-LN(2)/2)*EC90+(1-EXP(-LN(2)/2))/(LN(2)/2)*DW91*DZ91*VLOOKUP('Données projet'!$B$14,Paramètres!$A$1:$I$89,3,0)*0.475*44/12</f>
        <v>0.64475485076511796</v>
      </c>
      <c r="ED91" s="22">
        <f t="shared" si="72"/>
        <v>217.04736248388187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-3.4106051316484809E-13</v>
      </c>
      <c r="EK91" s="17">
        <f>EJ91*VLOOKUP('Données projet'!$B$15,Paramètres!$A$1:$I$89,3,0)*VLOOKUP('Données projet'!$B$15,Paramètres!$A$1:$I$89,5,0)</f>
        <v>-3.0859155231155454E-13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504.37890861635196</v>
      </c>
      <c r="EP91" s="59">
        <f t="shared" si="100"/>
        <v>611.82129317522913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40.164230301487279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40.164230301487279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4.2</v>
      </c>
      <c r="FE91" s="12">
        <f>IF('Données projet'!$A$218&gt;35,FE90+FD91-FM90,IF(A91&lt;'Données projet'!$A$218,$FB$205^A91,IF(A91='Données projet'!$A$218,'Données projet'!$B$218,FE90+FD91-FM90)))</f>
        <v>198.59999999999997</v>
      </c>
      <c r="FF91" s="17">
        <f>FE91*VLOOKUP('Données projet'!$B$16,Paramètres!$A$1:$I$89,3,0)*VLOOKUP('Données projet'!$B$16,Paramètres!$A$1:$I$89,5,0)</f>
        <v>213.77303999999995</v>
      </c>
      <c r="FG91" s="13">
        <f t="shared" si="101"/>
        <v>52.759233416703239</v>
      </c>
      <c r="FH91" s="20">
        <f t="shared" si="76"/>
        <v>464.21037620075805</v>
      </c>
      <c r="FI91" s="59">
        <f t="shared" si="77"/>
        <v>753.22035732198071</v>
      </c>
      <c r="FJ91" s="59">
        <f ca="1">AVERAGE(OFFSET($FI$3,0,0,'Données projet'!$E$16+1,1))-AVERAGE(OFFSET($H$3,0,0,'Données projet'!$E$16+1,1))</f>
        <v>334.01098870576732</v>
      </c>
      <c r="FK91" s="59">
        <f t="shared" si="102"/>
        <v>171.1802153303471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17.891189500643051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17.891189500643051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-1.7053025658242404E-13</v>
      </c>
      <c r="GA91" s="17">
        <f>FZ91*VLOOKUP('Données projet'!$B$17,Paramètres!$A$1:$I$89,3,0)*VLOOKUP('Données projet'!$B$17,Paramètres!$A$1:$I$89,5,0)</f>
        <v>-1.4897523215040567E-13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330.12856974146598</v>
      </c>
      <c r="GF91" s="59">
        <f t="shared" si="104"/>
        <v>321.23368446552286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99.968720330012459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99.968720330012459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68.820903942151631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5.4</v>
      </c>
      <c r="GU91" s="12">
        <f>IF('Données projet'!$A$270&gt;35,GU90+GT91-HC90,IF(A91&lt;'Données projet'!$A$270,$GR$205^A91,IF(A91='Données projet'!$A$270,'Données projet'!$B$270,GU90+GT91-HC90)))</f>
        <v>264.19999999999987</v>
      </c>
      <c r="GV91" s="17">
        <f>GU91*VLOOKUP('Données projet'!$B$18,Paramètres!$A$1:$I$89,3,0)*VLOOKUP('Données projet'!$B$18,Paramètres!$A$1:$I$89,5,0)</f>
        <v>177.22535999999991</v>
      </c>
      <c r="GW91" s="13">
        <f t="shared" si="105"/>
        <v>44.70432287710112</v>
      </c>
      <c r="GX91" s="20">
        <f t="shared" si="82"/>
        <v>386.5275310109509</v>
      </c>
      <c r="GY91" s="59">
        <f t="shared" si="83"/>
        <v>675.53751213217356</v>
      </c>
      <c r="GZ91" s="59">
        <f ca="1">AVERAGE(OFFSET($GY$3,0,0,'Données projet'!$E$18+1,1))-AVERAGE(OFFSET($H$3,0,0,'Données projet'!$E$18+1,1))</f>
        <v>296.67751292332753</v>
      </c>
      <c r="HA91" s="59">
        <f t="shared" si="106"/>
        <v>197.99510031603018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22.758937488342038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22.758937488342038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1.1000000000000001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4.0333333333333341</v>
      </c>
      <c r="H92" s="67">
        <f t="shared" si="56"/>
        <v>240.5333333333333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323.59999999999991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9">
        <f t="shared" si="55"/>
        <v>920.36392005988387</v>
      </c>
      <c r="S92" s="59">
        <f ca="1">AVERAGE(OFFSET($R$3,0,0,'Données projet'!$E$9+1,1))-AVERAGE(OFFSET($H$3,0,0,'Données projet'!$E$9+1,1))</f>
        <v>461.20962581398715</v>
      </c>
      <c r="T92" s="59">
        <f t="shared" si="88"/>
        <v>348.44322874953923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32.556820607171218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32.556820607171218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323.59999999999991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9">
        <f t="shared" si="59"/>
        <v>994.76122605401974</v>
      </c>
      <c r="AN92" s="59">
        <f ca="1">AVERAGE(OFFSET($AM$3,0,0,'Données projet'!$E$10+1,1))-AVERAGE(OFFSET($H$3,0,0,'Données projet'!$E$10+1,1))</f>
        <v>510.86584023875525</v>
      </c>
      <c r="AO92" s="59">
        <f t="shared" si="90"/>
        <v>384.62921487244125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36.486092059760857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36.486092059760857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4.1677594708744434E-14</v>
      </c>
      <c r="BF92" s="13">
        <f t="shared" si="91"/>
        <v>6.9326303456159188E-13</v>
      </c>
      <c r="BG92" s="20">
        <f t="shared" si="61"/>
        <v>1.2800215959791691E-12</v>
      </c>
      <c r="BH92" s="59">
        <f t="shared" si="62"/>
        <v>289.08498161653654</v>
      </c>
      <c r="BI92" s="59">
        <f ca="1">AVERAGE(OFFSET($BH$3,0,0,'Données projet'!$E$11+1,1))-AVERAGE(OFFSET($H$3,0,0,'Données projet'!$E$11+1,1))</f>
        <v>201.7253431547006</v>
      </c>
      <c r="BJ92" s="59">
        <f t="shared" si="92"/>
        <v>229.70004720044096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27.172573590286135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27.172573590286135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-1.2710188457276673E-13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462.09240749760784</v>
      </c>
      <c r="CE92" s="59">
        <f t="shared" si="94"/>
        <v>403.52202223463337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287.85971127797922</v>
      </c>
      <c r="CL92" s="21">
        <f>EXP(-LN(2)/25)*CL91+(1-EXP(-LN(2)/25))/(LN(2)/25)*Calculateur!CG92*Calculateur!CI92*VLOOKUP('Données projet'!$B$12,Paramètres!$A$1:$I$89,3,0)*0.475*44/12</f>
        <v>26.867258400292318</v>
      </c>
      <c r="CM92" s="21">
        <f>EXP(-LN(2)/2)*CM91+(1-EXP(-LN(2)/2))/(LN(2)/2)*CG92*CJ92*VLOOKUP('Données projet'!$B$12,Paramètres!$A$1:$I$89,3,0)*0.475*44/12</f>
        <v>0.77565698939453853</v>
      </c>
      <c r="CN92" s="22">
        <f t="shared" si="66"/>
        <v>315.50262666766605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319.88925869887464</v>
      </c>
      <c r="CZ92" s="59">
        <f t="shared" si="96"/>
        <v>258.2857172412098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137.62651048411576</v>
      </c>
      <c r="DG92" s="21">
        <f>EXP(-LN(2)/25)*DG91+(1-EXP(-LN(2)/25))/(LN(2)/25)*Calculateur!DB92*Calculateur!DD92*VLOOKUP('Données projet'!$B$13,Paramètres!$A$1:$I$89,3,0)*0.475*44/12</f>
        <v>37.233923853824599</v>
      </c>
      <c r="DH92" s="21">
        <f>EXP(-LN(2)/2)*DH91+(1-EXP(-LN(2)/2))/(LN(2)/2)*DB92*DE92*VLOOKUP('Données projet'!$B$13,Paramètres!$A$1:$I$89,3,0)*0.475*44/12</f>
        <v>1.8625128099399497</v>
      </c>
      <c r="DI92" s="22">
        <f t="shared" si="69"/>
        <v>176.72294714788029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-5.6843418860808015E-13</v>
      </c>
      <c r="DP92" s="17">
        <f>DO92*VLOOKUP('Données projet'!$B$14,Paramètres!$A$1:$I$89,3,0)*VLOOKUP('Données projet'!$B$14,Paramètres!$A$1:$I$89,5,0)</f>
        <v>-3.39923644787632E-13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443.64905827069435</v>
      </c>
      <c r="DU92" s="59">
        <f t="shared" si="98"/>
        <v>381.14782516862385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179.43629331895519</v>
      </c>
      <c r="EB92" s="21">
        <f>EXP(-LN(2)/25)*EB91+(1-EXP(-LN(2)/25))/(LN(2)/25)*Calculateur!DW92*Calculateur!DY92*VLOOKUP('Données projet'!$B$14,Paramètres!$A$1:$I$89,3,0)*0.475*44/12</f>
        <v>32.464595644791132</v>
      </c>
      <c r="EC92" s="21">
        <f>EXP(-LN(2)/2)*EC91+(1-EXP(-LN(2)/2))/(LN(2)/2)*DW92*DZ92*VLOOKUP('Données projet'!$B$14,Paramètres!$A$1:$I$89,3,0)*0.475*44/12</f>
        <v>0.45591052717893538</v>
      </c>
      <c r="ED92" s="22">
        <f t="shared" si="72"/>
        <v>212.35679949092525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-3.4106051316484809E-13</v>
      </c>
      <c r="EK92" s="17">
        <f>EJ92*VLOOKUP('Données projet'!$B$15,Paramètres!$A$1:$I$89,3,0)*VLOOKUP('Données projet'!$B$15,Paramètres!$A$1:$I$89,5,0)</f>
        <v>-3.0859155231155454E-13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504.37890861635196</v>
      </c>
      <c r="EP92" s="59">
        <f t="shared" si="100"/>
        <v>611.82129317522913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39.376634243036648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39.376634243036648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4.2</v>
      </c>
      <c r="FE92" s="12">
        <f>IF('Données projet'!$A$218&gt;35,FE91+FD92-FM91,IF(A92&lt;'Données projet'!$A$218,$FB$205^A92,IF(A92='Données projet'!$A$218,'Données projet'!$B$218,FE91+FD92-FM91)))</f>
        <v>202.79999999999995</v>
      </c>
      <c r="FF92" s="17">
        <f>FE92*VLOOKUP('Données projet'!$B$16,Paramètres!$A$1:$I$89,3,0)*VLOOKUP('Données projet'!$B$16,Paramètres!$A$1:$I$89,5,0)</f>
        <v>218.29391999999996</v>
      </c>
      <c r="FG92" s="13">
        <f t="shared" si="101"/>
        <v>53.743909818122162</v>
      </c>
      <c r="FH92" s="20">
        <f t="shared" si="76"/>
        <v>473.79922026656277</v>
      </c>
      <c r="FI92" s="59">
        <f t="shared" si="77"/>
        <v>762.88420188309806</v>
      </c>
      <c r="FJ92" s="59">
        <f ca="1">AVERAGE(OFFSET($FI$3,0,0,'Données projet'!$E$16+1,1))-AVERAGE(OFFSET($H$3,0,0,'Données projet'!$E$16+1,1))</f>
        <v>334.01098870576732</v>
      </c>
      <c r="FK92" s="59">
        <f t="shared" si="102"/>
        <v>171.1802153303471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17.540354187083512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17.540354187083512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-1.7053025658242404E-13</v>
      </c>
      <c r="GA92" s="17">
        <f>FZ92*VLOOKUP('Données projet'!$B$17,Paramètres!$A$1:$I$89,3,0)*VLOOKUP('Données projet'!$B$17,Paramètres!$A$1:$I$89,5,0)</f>
        <v>-1.4897523215040567E-13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330.12856974146598</v>
      </c>
      <c r="GF92" s="59">
        <f t="shared" si="104"/>
        <v>321.23368446552286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98.008394699239545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98.008394699239545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68.841358622691416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5.4</v>
      </c>
      <c r="GU92" s="12">
        <f>IF('Données projet'!$A$270&gt;35,GU91+GT92-HC91,IF(A92&lt;'Données projet'!$A$270,$GR$205^A92,IF(A92='Données projet'!$A$270,'Données projet'!$B$270,GU91+GT92-HC91)))</f>
        <v>269.59999999999985</v>
      </c>
      <c r="GV92" s="17">
        <f>GU92*VLOOKUP('Données projet'!$B$18,Paramètres!$A$1:$I$89,3,0)*VLOOKUP('Données projet'!$B$18,Paramètres!$A$1:$I$89,5,0)</f>
        <v>180.84767999999991</v>
      </c>
      <c r="GW92" s="13">
        <f t="shared" si="105"/>
        <v>45.510727749125792</v>
      </c>
      <c r="GX92" s="20">
        <f t="shared" si="82"/>
        <v>394.24089349639394</v>
      </c>
      <c r="GY92" s="59">
        <f t="shared" si="83"/>
        <v>683.32587511292922</v>
      </c>
      <c r="GZ92" s="59">
        <f ca="1">AVERAGE(OFFSET($GY$3,0,0,'Données projet'!$E$18+1,1))-AVERAGE(OFFSET($H$3,0,0,'Données projet'!$E$18+1,1))</f>
        <v>296.67751292332753</v>
      </c>
      <c r="HA92" s="59">
        <f t="shared" si="106"/>
        <v>197.99510031603018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22.312648605776825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22.312648605776825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1.1000000000000001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4.0333333333333341</v>
      </c>
      <c r="H93" s="67">
        <f t="shared" si="56"/>
        <v>240.5333333333333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329.99999999999989</v>
      </c>
      <c r="O93" s="13">
        <f>N93*VLOOKUP('Données projet'!$B$9,Paramètres!$A$1:$I$89,3,0)*VLOOKUP('Données projet'!$B$9,Paramètres!$A$1:$I$89,5,0)</f>
        <v>298.58399999999989</v>
      </c>
      <c r="P93" s="13">
        <f t="shared" si="87"/>
        <v>70.879533797607607</v>
      </c>
      <c r="Q93" s="20">
        <f t="shared" si="54"/>
        <v>643.4823213641663</v>
      </c>
      <c r="R93" s="59">
        <f t="shared" si="55"/>
        <v>932.64100238509639</v>
      </c>
      <c r="S93" s="59">
        <f ca="1">AVERAGE(OFFSET($R$3,0,0,'Données projet'!$E$9+1,1))-AVERAGE(OFFSET($H$3,0,0,'Données projet'!$E$9+1,1))</f>
        <v>461.20962581398715</v>
      </c>
      <c r="T93" s="59">
        <f t="shared" si="88"/>
        <v>348.44322874953923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40.348336276519483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40.348336276519483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329.99999999999989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9">
        <f t="shared" si="59"/>
        <v>1008.4798584991821</v>
      </c>
      <c r="AN93" s="59">
        <f ca="1">AVERAGE(OFFSET($AM$3,0,0,'Données projet'!$E$10+1,1))-AVERAGE(OFFSET($H$3,0,0,'Données projet'!$E$10+1,1))</f>
        <v>510.86584023875525</v>
      </c>
      <c r="AO93" s="59">
        <f t="shared" si="90"/>
        <v>384.62921487244125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45.217963068513228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45.217963068513228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4.1677594708744434E-14</v>
      </c>
      <c r="BF93" s="13">
        <f t="shared" si="91"/>
        <v>6.9326303456159188E-13</v>
      </c>
      <c r="BG93" s="20">
        <f t="shared" si="61"/>
        <v>1.2800215959791691E-12</v>
      </c>
      <c r="BH93" s="59">
        <f t="shared" si="62"/>
        <v>289.1586810209314</v>
      </c>
      <c r="BI93" s="59">
        <f ca="1">AVERAGE(OFFSET($BH$3,0,0,'Données projet'!$E$11+1,1))-AVERAGE(OFFSET($H$3,0,0,'Données projet'!$E$11+1,1))</f>
        <v>201.7253431547006</v>
      </c>
      <c r="BJ93" s="59">
        <f t="shared" si="92"/>
        <v>229.70004720044096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26.639735995814004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26.639735995814004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-1.2710188457276673E-13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462.09240749760784</v>
      </c>
      <c r="CE93" s="59">
        <f t="shared" si="94"/>
        <v>403.52202223463337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282.21495791690512</v>
      </c>
      <c r="CL93" s="21">
        <f>EXP(-LN(2)/25)*CL92+(1-EXP(-LN(2)/25))/(LN(2)/25)*Calculateur!CG93*Calculateur!CI93*VLOOKUP('Données projet'!$B$12,Paramètres!$A$1:$I$89,3,0)*0.475*44/12</f>
        <v>26.13257180644861</v>
      </c>
      <c r="CM93" s="21">
        <f>EXP(-LN(2)/2)*CM92+(1-EXP(-LN(2)/2))/(LN(2)/2)*CG93*CJ93*VLOOKUP('Données projet'!$B$12,Paramètres!$A$1:$I$89,3,0)*0.475*44/12</f>
        <v>0.54847231707562016</v>
      </c>
      <c r="CN93" s="22">
        <f t="shared" si="66"/>
        <v>308.89600204042932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319.88925869887464</v>
      </c>
      <c r="CZ93" s="59">
        <f t="shared" si="96"/>
        <v>258.2857172412098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134.92773855740487</v>
      </c>
      <c r="DG93" s="21">
        <f>EXP(-LN(2)/25)*DG92+(1-EXP(-LN(2)/25))/(LN(2)/25)*Calculateur!DB93*Calculateur!DD93*VLOOKUP('Données projet'!$B$13,Paramètres!$A$1:$I$89,3,0)*0.475*44/12</f>
        <v>36.215760247994808</v>
      </c>
      <c r="DH93" s="21">
        <f>EXP(-LN(2)/2)*DH92+(1-EXP(-LN(2)/2))/(LN(2)/2)*DB93*DE93*VLOOKUP('Données projet'!$B$13,Paramètres!$A$1:$I$89,3,0)*0.475*44/12</f>
        <v>1.3169954379553499</v>
      </c>
      <c r="DI93" s="22">
        <f t="shared" si="69"/>
        <v>172.46049424335501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-5.6843418860808015E-13</v>
      </c>
      <c r="DP93" s="17">
        <f>DO93*VLOOKUP('Données projet'!$B$14,Paramètres!$A$1:$I$89,3,0)*VLOOKUP('Données projet'!$B$14,Paramètres!$A$1:$I$89,5,0)</f>
        <v>-3.39923644787632E-13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443.64905827069435</v>
      </c>
      <c r="DU93" s="59">
        <f t="shared" si="98"/>
        <v>381.14782516862385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175.91765705230259</v>
      </c>
      <c r="EB93" s="21">
        <f>EXP(-LN(2)/25)*EB92+(1-EXP(-LN(2)/25))/(LN(2)/25)*Calculateur!DW93*Calculateur!DY93*VLOOKUP('Données projet'!$B$14,Paramètres!$A$1:$I$89,3,0)*0.475*44/12</f>
        <v>31.576849569645432</v>
      </c>
      <c r="EC93" s="21">
        <f>EXP(-LN(2)/2)*EC92+(1-EXP(-LN(2)/2))/(LN(2)/2)*DW93*DZ93*VLOOKUP('Données projet'!$B$14,Paramètres!$A$1:$I$89,3,0)*0.475*44/12</f>
        <v>0.32237742538255898</v>
      </c>
      <c r="ED93" s="22">
        <f t="shared" si="72"/>
        <v>207.81688404733057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-3.4106051316484809E-13</v>
      </c>
      <c r="EK93" s="17">
        <f>EJ93*VLOOKUP('Données projet'!$B$15,Paramètres!$A$1:$I$89,3,0)*VLOOKUP('Données projet'!$B$15,Paramètres!$A$1:$I$89,5,0)</f>
        <v>-3.0859155231155454E-13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504.37890861635196</v>
      </c>
      <c r="EP93" s="59">
        <f t="shared" si="100"/>
        <v>611.82129317522913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38.60448246290607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38.60448246290607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207</v>
      </c>
      <c r="FC93" s="12">
        <f>VLOOKUP(A93,'Données projet'!$A$217:$I$237,9,0)</f>
        <v>4.2</v>
      </c>
      <c r="FD93" s="12">
        <f t="array" ref="FD93">INDEX(FC:FC,MIN(IF(ISNUMBER(FC93:FC289),ROW(FC93:FC289),"")))</f>
        <v>4.2</v>
      </c>
      <c r="FE93" s="12">
        <f>IF('Données projet'!$A$218&gt;35,FE92+FD93-FM92,IF(A93&lt;'Données projet'!$A$218,$FB$205^A93,IF(A93='Données projet'!$A$218,'Données projet'!$B$218,FE92+FD93-FM92)))</f>
        <v>206.99999999999994</v>
      </c>
      <c r="FF93" s="17">
        <f>FE93*VLOOKUP('Données projet'!$B$16,Paramètres!$A$1:$I$89,3,0)*VLOOKUP('Données projet'!$B$16,Paramètres!$A$1:$I$89,5,0)</f>
        <v>222.81479999999993</v>
      </c>
      <c r="FG93" s="13">
        <f t="shared" si="101"/>
        <v>54.726215188137907</v>
      </c>
      <c r="FH93" s="20">
        <f t="shared" si="76"/>
        <v>483.38393478600671</v>
      </c>
      <c r="FI93" s="59">
        <f t="shared" si="77"/>
        <v>772.54261580693674</v>
      </c>
      <c r="FJ93" s="59">
        <f ca="1">AVERAGE(OFFSET($FI$3,0,0,'Données projet'!$E$16+1,1))-AVERAGE(OFFSET($H$3,0,0,'Données projet'!$E$16+1,1))</f>
        <v>334.01098870576732</v>
      </c>
      <c r="FK93" s="59">
        <f t="shared" si="102"/>
        <v>171.1802153303471</v>
      </c>
      <c r="FL93" s="15">
        <f>IF(ISNA(VLOOKUP(A93,'Données projet'!$A$217:$I$237,3,0)),0,VLOOKUP(A93,'Données projet'!$A$217:$I$237,3,0))</f>
        <v>14</v>
      </c>
      <c r="FM93" s="15">
        <f>IF(ISNA(VLOOKUP(A93,'Données projet'!$A$217:$I$237,4,0)),0,VLOOKUP(A93,'Données projet'!$A$217:$I$237,4,0))</f>
        <v>14</v>
      </c>
      <c r="FN93" s="16">
        <f>IF(ISNA(VLOOKUP(A93,'Données projet'!$A$217:$I$237,5,0)),0%,VLOOKUP(A93,'Données projet'!$A$217:$I$237,5,0)*VLOOKUP('Données projet'!$B$16,Paramètres!$A$1:$I$89,7,0))</f>
        <v>0.25800000000000001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21.494419619338174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21.494419619338174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-1.7053025658242404E-13</v>
      </c>
      <c r="GA93" s="17">
        <f>FZ93*VLOOKUP('Données projet'!$B$17,Paramètres!$A$1:$I$89,3,0)*VLOOKUP('Données projet'!$B$17,Paramètres!$A$1:$I$89,5,0)</f>
        <v>-1.4897523215040567E-13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330.12856974146598</v>
      </c>
      <c r="GF93" s="59">
        <f t="shared" si="104"/>
        <v>321.23368446552286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96.08650985840552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96.08650985840552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68.861458460253658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275</v>
      </c>
      <c r="GS93" s="12">
        <f>VLOOKUP(A93,'Données projet'!$A$269:$I$289,9,0)</f>
        <v>5.4</v>
      </c>
      <c r="GT93" s="12">
        <f t="array" ref="GT93">INDEX(GS:GS,MIN(IF(ISNUMBER(GS93:GS289),ROW(GS93:GS289),"")))</f>
        <v>5.4</v>
      </c>
      <c r="GU93" s="12">
        <f>IF('Données projet'!$A$270&gt;35,GU92+GT93-HC92,IF(A93&lt;'Données projet'!$A$270,$GR$205^A93,IF(A93='Données projet'!$A$270,'Données projet'!$B$270,GU92+GT93-HC92)))</f>
        <v>274.99999999999983</v>
      </c>
      <c r="GV93" s="17">
        <f>GU93*VLOOKUP('Données projet'!$B$18,Paramètres!$A$1:$I$89,3,0)*VLOOKUP('Données projet'!$B$18,Paramètres!$A$1:$I$89,5,0)</f>
        <v>184.46999999999989</v>
      </c>
      <c r="GW93" s="13">
        <f t="shared" si="105"/>
        <v>46.315254582516552</v>
      </c>
      <c r="GX93" s="20">
        <f t="shared" si="82"/>
        <v>401.95098506454946</v>
      </c>
      <c r="GY93" s="59">
        <f t="shared" si="83"/>
        <v>691.1096660854796</v>
      </c>
      <c r="GZ93" s="59">
        <f ca="1">AVERAGE(OFFSET($GY$3,0,0,'Données projet'!$E$18+1,1))-AVERAGE(OFFSET($H$3,0,0,'Données projet'!$E$18+1,1))</f>
        <v>296.67751292332753</v>
      </c>
      <c r="HA93" s="59">
        <f t="shared" si="106"/>
        <v>197.99510031603018</v>
      </c>
      <c r="HB93" s="15">
        <f>IF(ISNA(VLOOKUP(A93,'Données projet'!$A$269:$I$289,3,0)),0,VLOOKUP(A93,'Données projet'!$A$269:$I$289,3,0))</f>
        <v>15</v>
      </c>
      <c r="HC93" s="15">
        <f>IF(ISNA(VLOOKUP(A93,'Données projet'!$A$269:$I$289,4,0)),0,VLOOKUP(A93,'Données projet'!$A$269:$I$289,4,0))</f>
        <v>21</v>
      </c>
      <c r="HD93" s="16">
        <f>IF(ISNA(VLOOKUP(A93,'Données projet'!$A$269:$I$289,5,0)),0%,VLOOKUP(A93,'Données projet'!$A$269:$I$289,5,0)*VLOOKUP('Données projet'!$B$18,Paramètres!$A$1:$I$89,7,0))</f>
        <v>0.371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27.652523568821547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27.652523568821547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1.1000000000000001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4.0333333333333341</v>
      </c>
      <c r="H94" s="67">
        <f t="shared" si="56"/>
        <v>240.5333333333333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308.19999999999987</v>
      </c>
      <c r="O94" s="13">
        <f>N94*VLOOKUP('Données projet'!$B$9,Paramètres!$A$1:$I$89,3,0)*VLOOKUP('Données projet'!$B$9,Paramètres!$A$1:$I$89,5,0)</f>
        <v>278.85935999999987</v>
      </c>
      <c r="P94" s="13">
        <f t="shared" si="87"/>
        <v>66.725901622172387</v>
      </c>
      <c r="Q94" s="20">
        <f t="shared" si="54"/>
        <v>601.8943306586167</v>
      </c>
      <c r="R94" s="59">
        <f t="shared" si="55"/>
        <v>891.12543256404263</v>
      </c>
      <c r="S94" s="59">
        <f ca="1">AVERAGE(OFFSET($R$3,0,0,'Données projet'!$E$9+1,1))-AVERAGE(OFFSET($H$3,0,0,'Données projet'!$E$9+1,1))</f>
        <v>461.20962581398715</v>
      </c>
      <c r="T94" s="59">
        <f t="shared" si="88"/>
        <v>348.44322874953923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39.557130012192026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39.557130012192026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308.19999999999987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9">
        <f t="shared" si="59"/>
        <v>962.05186705047765</v>
      </c>
      <c r="AN94" s="59">
        <f ca="1">AVERAGE(OFFSET($AM$3,0,0,'Données projet'!$E$10+1,1))-AVERAGE(OFFSET($H$3,0,0,'Données projet'!$E$10+1,1))</f>
        <v>510.86584023875525</v>
      </c>
      <c r="AO94" s="59">
        <f t="shared" si="90"/>
        <v>384.62921487244125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44.331266392973831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44.331266392973831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4.1677594708744434E-14</v>
      </c>
      <c r="BF94" s="13">
        <f t="shared" si="91"/>
        <v>6.9326303456159188E-13</v>
      </c>
      <c r="BG94" s="20">
        <f t="shared" si="61"/>
        <v>1.2800215959791691E-12</v>
      </c>
      <c r="BH94" s="59">
        <f t="shared" si="62"/>
        <v>289.23110190542724</v>
      </c>
      <c r="BI94" s="59">
        <f ca="1">AVERAGE(OFFSET($BH$3,0,0,'Données projet'!$E$11+1,1))-AVERAGE(OFFSET($H$3,0,0,'Données projet'!$E$11+1,1))</f>
        <v>201.7253431547006</v>
      </c>
      <c r="BJ94" s="59">
        <f t="shared" si="92"/>
        <v>229.70004720044096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26.11734702157063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26.11734702157063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-1.2710188457276673E-13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462.09240749760784</v>
      </c>
      <c r="CE94" s="59">
        <f t="shared" si="94"/>
        <v>403.52202223463337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276.68089472628213</v>
      </c>
      <c r="CL94" s="21">
        <f>EXP(-LN(2)/25)*CL93+(1-EXP(-LN(2)/25))/(LN(2)/25)*Calculateur!CG94*Calculateur!CI94*VLOOKUP('Données projet'!$B$12,Paramètres!$A$1:$I$89,3,0)*0.475*44/12</f>
        <v>25.417975256149049</v>
      </c>
      <c r="CM94" s="21">
        <f>EXP(-LN(2)/2)*CM93+(1-EXP(-LN(2)/2))/(LN(2)/2)*CG94*CJ94*VLOOKUP('Données projet'!$B$12,Paramètres!$A$1:$I$89,3,0)*0.475*44/12</f>
        <v>0.38782849469726927</v>
      </c>
      <c r="CN94" s="22">
        <f t="shared" si="66"/>
        <v>302.48669847712847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319.88925869887464</v>
      </c>
      <c r="CZ94" s="59">
        <f t="shared" si="96"/>
        <v>258.2857172412098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132.28188790208844</v>
      </c>
      <c r="DG94" s="21">
        <f>EXP(-LN(2)/25)*DG93+(1-EXP(-LN(2)/25))/(LN(2)/25)*Calculateur!DB94*Calculateur!DD94*VLOOKUP('Données projet'!$B$13,Paramètres!$A$1:$I$89,3,0)*0.475*44/12</f>
        <v>35.225438379509328</v>
      </c>
      <c r="DH94" s="21">
        <f>EXP(-LN(2)/2)*DH93+(1-EXP(-LN(2)/2))/(LN(2)/2)*DB94*DE94*VLOOKUP('Données projet'!$B$13,Paramètres!$A$1:$I$89,3,0)*0.475*44/12</f>
        <v>0.93125640496997497</v>
      </c>
      <c r="DI94" s="22">
        <f t="shared" si="69"/>
        <v>168.43858268656777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-5.6843418860808015E-13</v>
      </c>
      <c r="DP94" s="17">
        <f>DO94*VLOOKUP('Données projet'!$B$14,Paramètres!$A$1:$I$89,3,0)*VLOOKUP('Données projet'!$B$14,Paramètres!$A$1:$I$89,5,0)</f>
        <v>-3.39923644787632E-13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443.64905827069435</v>
      </c>
      <c r="DU94" s="59">
        <f t="shared" si="98"/>
        <v>381.14782516862385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172.46801909668281</v>
      </c>
      <c r="EB94" s="21">
        <f>EXP(-LN(2)/25)*EB93+(1-EXP(-LN(2)/25))/(LN(2)/25)*Calculateur!DW94*Calculateur!DY94*VLOOKUP('Données projet'!$B$14,Paramètres!$A$1:$I$89,3,0)*0.475*44/12</f>
        <v>30.71337895760913</v>
      </c>
      <c r="EC94" s="21">
        <f>EXP(-LN(2)/2)*EC93+(1-EXP(-LN(2)/2))/(LN(2)/2)*DW94*DZ94*VLOOKUP('Données projet'!$B$14,Paramètres!$A$1:$I$89,3,0)*0.475*44/12</f>
        <v>0.22795526358946769</v>
      </c>
      <c r="ED94" s="22">
        <f t="shared" si="72"/>
        <v>203.40935331788143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-3.4106051316484809E-13</v>
      </c>
      <c r="EK94" s="17">
        <f>EJ94*VLOOKUP('Données projet'!$B$15,Paramètres!$A$1:$I$89,3,0)*VLOOKUP('Données projet'!$B$15,Paramètres!$A$1:$I$89,5,0)</f>
        <v>-3.0859155231155454E-13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504.37890861635196</v>
      </c>
      <c r="EP94" s="59">
        <f t="shared" si="100"/>
        <v>611.82129317522913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37.847472108217772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37.847472108217772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3.8</v>
      </c>
      <c r="FE94" s="12">
        <f>IF('Données projet'!$A$218&gt;35,FE93+FD94-FM93,IF(A94&lt;'Données projet'!$A$218,$FB$205^A94,IF(A94='Données projet'!$A$218,'Données projet'!$B$218,FE93+FD94-FM93)))</f>
        <v>196.79999999999995</v>
      </c>
      <c r="FF94" s="17">
        <f>FE94*VLOOKUP('Données projet'!$B$16,Paramètres!$A$1:$I$89,3,0)*VLOOKUP('Données projet'!$B$16,Paramètres!$A$1:$I$89,5,0)</f>
        <v>211.83551999999992</v>
      </c>
      <c r="FG94" s="13">
        <f t="shared" si="101"/>
        <v>52.336489616154928</v>
      </c>
      <c r="FH94" s="20">
        <f t="shared" si="76"/>
        <v>460.09958341480302</v>
      </c>
      <c r="FI94" s="59">
        <f t="shared" si="77"/>
        <v>749.33068532022889</v>
      </c>
      <c r="FJ94" s="59">
        <f ca="1">AVERAGE(OFFSET($FI$3,0,0,'Données projet'!$E$16+1,1))-AVERAGE(OFFSET($H$3,0,0,'Données projet'!$E$16+1,1))</f>
        <v>334.01098870576732</v>
      </c>
      <c r="FK94" s="59">
        <f t="shared" si="102"/>
        <v>171.1802153303471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21.072927160904385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21.072927160904385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-1.7053025658242404E-13</v>
      </c>
      <c r="GA94" s="17">
        <f>FZ94*VLOOKUP('Données projet'!$B$17,Paramètres!$A$1:$I$89,3,0)*VLOOKUP('Données projet'!$B$17,Paramètres!$A$1:$I$89,5,0)</f>
        <v>-1.4897523215040567E-13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330.12856974146598</v>
      </c>
      <c r="GF94" s="59">
        <f t="shared" si="104"/>
        <v>321.23368446552286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94.20231200706624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94.20231200706624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68.881209610570707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7</v>
      </c>
      <c r="GU94" s="12">
        <f>IF('Données projet'!$A$270&gt;35,GU93+GT94-HC93,IF(A94&lt;'Données projet'!$A$270,$GR$205^A94,IF(A94='Données projet'!$A$270,'Données projet'!$B$270,GU93+GT94-HC93)))</f>
        <v>260.99999999999983</v>
      </c>
      <c r="GV94" s="17">
        <f>GU94*VLOOKUP('Données projet'!$B$18,Paramètres!$A$1:$I$89,3,0)*VLOOKUP('Données projet'!$B$18,Paramètres!$A$1:$I$89,5,0)</f>
        <v>175.07879999999989</v>
      </c>
      <c r="GW94" s="13">
        <f t="shared" si="105"/>
        <v>44.225549694464824</v>
      </c>
      <c r="GX94" s="20">
        <f t="shared" si="82"/>
        <v>381.95507571785942</v>
      </c>
      <c r="GY94" s="59">
        <f t="shared" si="83"/>
        <v>671.1861776232854</v>
      </c>
      <c r="GZ94" s="59">
        <f ca="1">AVERAGE(OFFSET($GY$3,0,0,'Données projet'!$E$18+1,1))-AVERAGE(OFFSET($H$3,0,0,'Données projet'!$E$18+1,1))</f>
        <v>296.67751292332753</v>
      </c>
      <c r="HA94" s="59">
        <f t="shared" si="106"/>
        <v>197.99510031603018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27.110274448010916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27.110274448010916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1.1000000000000001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4.0333333333333341</v>
      </c>
      <c r="H95" s="67">
        <f t="shared" si="56"/>
        <v>240.5333333333333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314.39999999999986</v>
      </c>
      <c r="O95" s="13">
        <f>N95*VLOOKUP('Données projet'!$B$9,Paramètres!$A$1:$I$89,3,0)*VLOOKUP('Données projet'!$B$9,Paramètres!$A$1:$I$89,5,0)</f>
        <v>284.46911999999986</v>
      </c>
      <c r="P95" s="13">
        <f t="shared" si="87"/>
        <v>67.91059023737904</v>
      </c>
      <c r="Q95" s="20">
        <f t="shared" si="54"/>
        <v>613.72799533010152</v>
      </c>
      <c r="R95" s="59">
        <f t="shared" si="55"/>
        <v>903.03026177958611</v>
      </c>
      <c r="S95" s="59">
        <f ca="1">AVERAGE(OFFSET($R$3,0,0,'Données projet'!$E$9+1,1))-AVERAGE(OFFSET($H$3,0,0,'Données projet'!$E$9+1,1))</f>
        <v>461.20962581398715</v>
      </c>
      <c r="T95" s="59">
        <f t="shared" si="88"/>
        <v>348.44322874953923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38.78143882011986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38.78143882011986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314.39999999999986</v>
      </c>
      <c r="AJ95" s="13">
        <f>AI95*VLOOKUP('Données projet'!$B$10,Paramètres!$A$1:$I$89,3,0)*VLOOKUP('Données projet'!$B$10,Paramètres!$A$1:$I$89,5,0)</f>
        <v>318.80159999999989</v>
      </c>
      <c r="AK95" s="13">
        <f t="shared" si="89"/>
        <v>75.103948812522063</v>
      </c>
      <c r="AL95" s="20">
        <f t="shared" si="58"/>
        <v>686.05216418180908</v>
      </c>
      <c r="AM95" s="59">
        <f t="shared" si="59"/>
        <v>975.35443063129367</v>
      </c>
      <c r="AN95" s="59">
        <f ca="1">AVERAGE(OFFSET($AM$3,0,0,'Données projet'!$E$10+1,1))-AVERAGE(OFFSET($H$3,0,0,'Données projet'!$E$10+1,1))</f>
        <v>510.86584023875525</v>
      </c>
      <c r="AO95" s="59">
        <f t="shared" si="90"/>
        <v>384.62921487244125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43.461957298410198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43.461957298410198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4.1677594708744434E-14</v>
      </c>
      <c r="BF95" s="13">
        <f t="shared" si="91"/>
        <v>6.9326303456159188E-13</v>
      </c>
      <c r="BG95" s="20">
        <f t="shared" si="61"/>
        <v>1.2800215959791691E-12</v>
      </c>
      <c r="BH95" s="59">
        <f t="shared" si="62"/>
        <v>289.3022664494859</v>
      </c>
      <c r="BI95" s="59">
        <f ca="1">AVERAGE(OFFSET($BH$3,0,0,'Données projet'!$E$11+1,1))-AVERAGE(OFFSET($H$3,0,0,'Données projet'!$E$11+1,1))</f>
        <v>201.7253431547006</v>
      </c>
      <c r="BJ95" s="59">
        <f t="shared" si="92"/>
        <v>229.70004720044096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25.605201776486357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25.605201776486357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-1.2710188457276673E-13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462.09240749760784</v>
      </c>
      <c r="CE95" s="59">
        <f t="shared" si="94"/>
        <v>403.52202223463337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271.25535113938201</v>
      </c>
      <c r="CL95" s="21">
        <f>EXP(-LN(2)/25)*CL94+(1-EXP(-LN(2)/25))/(LN(2)/25)*Calculateur!CG95*Calculateur!CI95*VLOOKUP('Données projet'!$B$12,Paramètres!$A$1:$I$89,3,0)*0.475*44/12</f>
        <v>24.722919386096429</v>
      </c>
      <c r="CM95" s="21">
        <f>EXP(-LN(2)/2)*CM94+(1-EXP(-LN(2)/2))/(LN(2)/2)*CG95*CJ95*VLOOKUP('Données projet'!$B$12,Paramètres!$A$1:$I$89,3,0)*0.475*44/12</f>
        <v>0.27423615853781008</v>
      </c>
      <c r="CN95" s="22">
        <f t="shared" si="66"/>
        <v>296.25250668401623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319.88925869887464</v>
      </c>
      <c r="CZ95" s="59">
        <f t="shared" si="96"/>
        <v>258.2857172412098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129.68792076431322</v>
      </c>
      <c r="DG95" s="21">
        <f>EXP(-LN(2)/25)*DG94+(1-EXP(-LN(2)/25))/(LN(2)/25)*Calculateur!DB95*Calculateur!DD95*VLOOKUP('Données projet'!$B$13,Paramètres!$A$1:$I$89,3,0)*0.475*44/12</f>
        <v>34.262196914596352</v>
      </c>
      <c r="DH95" s="21">
        <f>EXP(-LN(2)/2)*DH94+(1-EXP(-LN(2)/2))/(LN(2)/2)*DB95*DE95*VLOOKUP('Données projet'!$B$13,Paramètres!$A$1:$I$89,3,0)*0.475*44/12</f>
        <v>0.65849771897767506</v>
      </c>
      <c r="DI95" s="22">
        <f t="shared" si="69"/>
        <v>164.60861539788726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-5.6843418860808015E-13</v>
      </c>
      <c r="DP95" s="17">
        <f>DO95*VLOOKUP('Données projet'!$B$14,Paramètres!$A$1:$I$89,3,0)*VLOOKUP('Données projet'!$B$14,Paramètres!$A$1:$I$89,5,0)</f>
        <v>-3.39923644787632E-13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443.64905827069435</v>
      </c>
      <c r="DU95" s="59">
        <f t="shared" si="98"/>
        <v>381.14782516862385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169.08602643730134</v>
      </c>
      <c r="EB95" s="21">
        <f>EXP(-LN(2)/25)*EB94+(1-EXP(-LN(2)/25))/(LN(2)/25)*Calculateur!DW95*Calculateur!DY95*VLOOKUP('Données projet'!$B$14,Paramètres!$A$1:$I$89,3,0)*0.475*44/12</f>
        <v>29.873519994866907</v>
      </c>
      <c r="EC95" s="21">
        <f>EXP(-LN(2)/2)*EC94+(1-EXP(-LN(2)/2))/(LN(2)/2)*DW95*DZ95*VLOOKUP('Données projet'!$B$14,Paramètres!$A$1:$I$89,3,0)*0.475*44/12</f>
        <v>0.16118871269127949</v>
      </c>
      <c r="ED95" s="22">
        <f t="shared" si="72"/>
        <v>199.12073514485954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-3.4106051316484809E-13</v>
      </c>
      <c r="EK95" s="17">
        <f>EJ95*VLOOKUP('Données projet'!$B$15,Paramètres!$A$1:$I$89,3,0)*VLOOKUP('Données projet'!$B$15,Paramètres!$A$1:$I$89,5,0)</f>
        <v>-3.0859155231155454E-13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504.37890861635196</v>
      </c>
      <c r="EP95" s="59">
        <f t="shared" si="100"/>
        <v>611.82129317522913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37.105306264854185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37.105306264854185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3.8</v>
      </c>
      <c r="FE95" s="12">
        <f>IF('Données projet'!$A$218&gt;35,FE94+FD95-FM94,IF(A95&lt;'Données projet'!$A$218,$FB$205^A95,IF(A95='Données projet'!$A$218,'Données projet'!$B$218,FE94+FD95-FM94)))</f>
        <v>200.59999999999997</v>
      </c>
      <c r="FF95" s="17">
        <f>FE95*VLOOKUP('Données projet'!$B$16,Paramètres!$A$1:$I$89,3,0)*VLOOKUP('Données projet'!$B$16,Paramètres!$A$1:$I$89,5,0)</f>
        <v>215.92583999999994</v>
      </c>
      <c r="FG95" s="13">
        <f t="shared" si="101"/>
        <v>53.22842614105901</v>
      </c>
      <c r="FH95" s="20">
        <f t="shared" si="76"/>
        <v>468.77701352901096</v>
      </c>
      <c r="FI95" s="59">
        <f t="shared" si="77"/>
        <v>758.07927997849561</v>
      </c>
      <c r="FJ95" s="59">
        <f ca="1">AVERAGE(OFFSET($FI$3,0,0,'Données projet'!$E$16+1,1))-AVERAGE(OFFSET($H$3,0,0,'Données projet'!$E$16+1,1))</f>
        <v>334.01098870576732</v>
      </c>
      <c r="FK95" s="59">
        <f t="shared" si="102"/>
        <v>171.1802153303471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20.659699912495469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20.659699912495469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-1.7053025658242404E-13</v>
      </c>
      <c r="GA95" s="17">
        <f>FZ95*VLOOKUP('Données projet'!$B$17,Paramètres!$A$1:$I$89,3,0)*VLOOKUP('Données projet'!$B$17,Paramètres!$A$1:$I$89,5,0)</f>
        <v>-1.4897523215040567E-13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330.12856974146598</v>
      </c>
      <c r="GF95" s="59">
        <f t="shared" si="104"/>
        <v>321.23368446552286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92.355062126344521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92.355062126344521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68.900618122586707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7</v>
      </c>
      <c r="GU95" s="12">
        <f>IF('Données projet'!$A$270&gt;35,GU94+GT95-HC94,IF(A95&lt;'Données projet'!$A$270,$GR$205^A95,IF(A95='Données projet'!$A$270,'Données projet'!$B$270,GU94+GT95-HC94)))</f>
        <v>267.99999999999983</v>
      </c>
      <c r="GV95" s="17">
        <f>GU95*VLOOKUP('Données projet'!$B$18,Paramètres!$A$1:$I$89,3,0)*VLOOKUP('Données projet'!$B$18,Paramètres!$A$1:$I$89,5,0)</f>
        <v>179.7743999999999</v>
      </c>
      <c r="GW95" s="13">
        <f t="shared" si="105"/>
        <v>45.271990660094779</v>
      </c>
      <c r="GX95" s="20">
        <f t="shared" si="82"/>
        <v>391.95579706633157</v>
      </c>
      <c r="GY95" s="59">
        <f t="shared" si="83"/>
        <v>681.25806351581616</v>
      </c>
      <c r="GZ95" s="59">
        <f ca="1">AVERAGE(OFFSET($GY$3,0,0,'Données projet'!$E$18+1,1))-AVERAGE(OFFSET($H$3,0,0,'Données projet'!$E$18+1,1))</f>
        <v>296.67751292332753</v>
      </c>
      <c r="HA95" s="59">
        <f t="shared" si="106"/>
        <v>197.99510031603018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26.578658501720078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26.578658501720078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1.1000000000000001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4.0333333333333341</v>
      </c>
      <c r="H96" s="67">
        <f t="shared" si="56"/>
        <v>240.5333333333333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320.59999999999985</v>
      </c>
      <c r="O96" s="13">
        <f>N96*VLOOKUP('Données projet'!$B$9,Paramètres!$A$1:$I$89,3,0)*VLOOKUP('Données projet'!$B$9,Paramètres!$A$1:$I$89,5,0)</f>
        <v>290.07887999999986</v>
      </c>
      <c r="P96" s="13">
        <f t="shared" si="87"/>
        <v>69.092562427360406</v>
      </c>
      <c r="Q96" s="20">
        <f t="shared" si="54"/>
        <v>625.55692889431907</v>
      </c>
      <c r="R96" s="59">
        <f t="shared" si="55"/>
        <v>914.92912534212292</v>
      </c>
      <c r="S96" s="59">
        <f ca="1">AVERAGE(OFFSET($R$3,0,0,'Données projet'!$E$9+1,1))-AVERAGE(OFFSET($H$3,0,0,'Données projet'!$E$9+1,1))</f>
        <v>461.20962581398715</v>
      </c>
      <c r="T96" s="59">
        <f t="shared" si="88"/>
        <v>348.44322874953923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38.020958459199321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38.020958459199321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320.59999999999985</v>
      </c>
      <c r="AJ96" s="13">
        <f>AI96*VLOOKUP('Données projet'!$B$10,Paramètres!$A$1:$I$89,3,0)*VLOOKUP('Données projet'!$B$10,Paramètres!$A$1:$I$89,5,0)</f>
        <v>325.08839999999987</v>
      </c>
      <c r="AK96" s="13">
        <f t="shared" si="89"/>
        <v>76.411120176279752</v>
      </c>
      <c r="AL96" s="20">
        <f t="shared" si="58"/>
        <v>699.27833097368693</v>
      </c>
      <c r="AM96" s="59">
        <f t="shared" si="59"/>
        <v>988.65052742149078</v>
      </c>
      <c r="AN96" s="59">
        <f ca="1">AVERAGE(OFFSET($AM$3,0,0,'Données projet'!$E$10+1,1))-AVERAGE(OFFSET($H$3,0,0,'Données projet'!$E$10+1,1))</f>
        <v>510.86584023875525</v>
      </c>
      <c r="AO96" s="59">
        <f t="shared" si="90"/>
        <v>384.62921487244125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42.609694824964762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42.609694824964762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4.1677594708744434E-14</v>
      </c>
      <c r="BF96" s="13">
        <f t="shared" si="91"/>
        <v>6.9326303456159188E-13</v>
      </c>
      <c r="BG96" s="20">
        <f t="shared" si="61"/>
        <v>1.2800215959791691E-12</v>
      </c>
      <c r="BH96" s="59">
        <f t="shared" si="62"/>
        <v>289.37219644780521</v>
      </c>
      <c r="BI96" s="59">
        <f ca="1">AVERAGE(OFFSET($BH$3,0,0,'Données projet'!$E$11+1,1))-AVERAGE(OFFSET($H$3,0,0,'Données projet'!$E$11+1,1))</f>
        <v>201.7253431547006</v>
      </c>
      <c r="BJ96" s="59">
        <f t="shared" si="92"/>
        <v>229.70004720044096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25.10309938728043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25.10309938728043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-1.2710188457276673E-13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462.09240749760784</v>
      </c>
      <c r="CE96" s="59">
        <f t="shared" si="94"/>
        <v>403.52202223463337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265.93619915296614</v>
      </c>
      <c r="CL96" s="21">
        <f>EXP(-LN(2)/25)*CL95+(1-EXP(-LN(2)/25))/(LN(2)/25)*Calculateur!CG96*Calculateur!CI96*VLOOKUP('Données projet'!$B$12,Paramètres!$A$1:$I$89,3,0)*0.475*44/12</f>
        <v>24.046869855361795</v>
      </c>
      <c r="CM96" s="21">
        <f>EXP(-LN(2)/2)*CM95+(1-EXP(-LN(2)/2))/(LN(2)/2)*CG96*CJ96*VLOOKUP('Données projet'!$B$12,Paramètres!$A$1:$I$89,3,0)*0.475*44/12</f>
        <v>0.19391424734863463</v>
      </c>
      <c r="CN96" s="22">
        <f t="shared" si="66"/>
        <v>290.17698325567659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319.88925869887464</v>
      </c>
      <c r="CZ96" s="59">
        <f t="shared" si="96"/>
        <v>258.2857172412098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127.14481973994604</v>
      </c>
      <c r="DG96" s="21">
        <f>EXP(-LN(2)/25)*DG95+(1-EXP(-LN(2)/25))/(LN(2)/25)*Calculateur!DB96*Calculateur!DD96*VLOOKUP('Données projet'!$B$13,Paramètres!$A$1:$I$89,3,0)*0.475*44/12</f>
        <v>33.325295338196085</v>
      </c>
      <c r="DH96" s="21">
        <f>EXP(-LN(2)/2)*DH95+(1-EXP(-LN(2)/2))/(LN(2)/2)*DB96*DE96*VLOOKUP('Données projet'!$B$13,Paramètres!$A$1:$I$89,3,0)*0.475*44/12</f>
        <v>0.4656282024849876</v>
      </c>
      <c r="DI96" s="22">
        <f t="shared" si="69"/>
        <v>160.93574328062712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-5.6843418860808015E-13</v>
      </c>
      <c r="DP96" s="17">
        <f>DO96*VLOOKUP('Données projet'!$B$14,Paramètres!$A$1:$I$89,3,0)*VLOOKUP('Données projet'!$B$14,Paramètres!$A$1:$I$89,5,0)</f>
        <v>-3.39923644787632E-13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443.64905827069435</v>
      </c>
      <c r="DU96" s="59">
        <f t="shared" si="98"/>
        <v>381.14782516862385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165.77035259115851</v>
      </c>
      <c r="EB96" s="21">
        <f>EXP(-LN(2)/25)*EB95+(1-EXP(-LN(2)/25))/(LN(2)/25)*Calculateur!DW96*Calculateur!DY96*VLOOKUP('Données projet'!$B$14,Paramètres!$A$1:$I$89,3,0)*0.475*44/12</f>
        <v>29.056627019627133</v>
      </c>
      <c r="EC96" s="21">
        <f>EXP(-LN(2)/2)*EC95+(1-EXP(-LN(2)/2))/(LN(2)/2)*DW96*DZ96*VLOOKUP('Données projet'!$B$14,Paramètres!$A$1:$I$89,3,0)*0.475*44/12</f>
        <v>0.11397763179473384</v>
      </c>
      <c r="ED96" s="22">
        <f t="shared" si="72"/>
        <v>194.9409572425804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-3.4106051316484809E-13</v>
      </c>
      <c r="EK96" s="17">
        <f>EJ96*VLOOKUP('Données projet'!$B$15,Paramètres!$A$1:$I$89,3,0)*VLOOKUP('Données projet'!$B$15,Paramètres!$A$1:$I$89,5,0)</f>
        <v>-3.0859155231155454E-13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504.37890861635196</v>
      </c>
      <c r="EP96" s="59">
        <f t="shared" si="100"/>
        <v>611.82129317522913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36.37769384100249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36.37769384100249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3.8</v>
      </c>
      <c r="FE96" s="12">
        <f>IF('Données projet'!$A$218&gt;35,FE95+FD96-FM95,IF(A96&lt;'Données projet'!$A$218,$FB$205^A96,IF(A96='Données projet'!$A$218,'Données projet'!$B$218,FE95+FD96-FM95)))</f>
        <v>204.39999999999998</v>
      </c>
      <c r="FF96" s="17">
        <f>FE96*VLOOKUP('Données projet'!$B$16,Paramètres!$A$1:$I$89,3,0)*VLOOKUP('Données projet'!$B$16,Paramètres!$A$1:$I$89,5,0)</f>
        <v>220.01615999999996</v>
      </c>
      <c r="FG96" s="13">
        <f t="shared" si="101"/>
        <v>54.118398001737724</v>
      </c>
      <c r="FH96" s="20">
        <f t="shared" si="76"/>
        <v>477.45102185302648</v>
      </c>
      <c r="FI96" s="59">
        <f t="shared" si="77"/>
        <v>766.82321830083038</v>
      </c>
      <c r="FJ96" s="59">
        <f ca="1">AVERAGE(OFFSET($FI$3,0,0,'Données projet'!$E$16+1,1))-AVERAGE(OFFSET($H$3,0,0,'Données projet'!$E$16+1,1))</f>
        <v>334.01098870576732</v>
      </c>
      <c r="FK96" s="59">
        <f t="shared" si="102"/>
        <v>171.1802153303471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20.254575798384117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20.254575798384117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-1.7053025658242404E-13</v>
      </c>
      <c r="GA96" s="17">
        <f>FZ96*VLOOKUP('Données projet'!$B$17,Paramètres!$A$1:$I$89,3,0)*VLOOKUP('Données projet'!$B$17,Paramètres!$A$1:$I$89,5,0)</f>
        <v>-1.4897523215040567E-13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330.12856974146598</v>
      </c>
      <c r="GF96" s="59">
        <f t="shared" si="104"/>
        <v>321.23368446552286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90.544035689072572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90.544035689072572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68.919689940310164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7</v>
      </c>
      <c r="GU96" s="12">
        <f>IF('Données projet'!$A$270&gt;35,GU95+GT96-HC95,IF(A96&lt;'Données projet'!$A$270,$GR$205^A96,IF(A96='Données projet'!$A$270,'Données projet'!$B$270,GU95+GT96-HC95)))</f>
        <v>274.99999999999983</v>
      </c>
      <c r="GV96" s="17">
        <f>GU96*VLOOKUP('Données projet'!$B$18,Paramètres!$A$1:$I$89,3,0)*VLOOKUP('Données projet'!$B$18,Paramètres!$A$1:$I$89,5,0)</f>
        <v>184.46999999999989</v>
      </c>
      <c r="GW96" s="13">
        <f t="shared" si="105"/>
        <v>46.315254582516552</v>
      </c>
      <c r="GX96" s="20">
        <f t="shared" si="82"/>
        <v>401.95098506454946</v>
      </c>
      <c r="GY96" s="59">
        <f t="shared" si="83"/>
        <v>691.32318151235336</v>
      </c>
      <c r="GZ96" s="59">
        <f ca="1">AVERAGE(OFFSET($GY$3,0,0,'Données projet'!$E$18+1,1))-AVERAGE(OFFSET($H$3,0,0,'Données projet'!$E$18+1,1))</f>
        <v>296.67751292332753</v>
      </c>
      <c r="HA96" s="59">
        <f t="shared" si="106"/>
        <v>197.99510031603018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26.057467219882291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26.057467219882291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1.1000000000000001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4.0333333333333341</v>
      </c>
      <c r="H97" s="67">
        <f t="shared" si="56"/>
        <v>240.5333333333333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326.79999999999984</v>
      </c>
      <c r="O97" s="13">
        <f>N97*VLOOKUP('Données projet'!$B$9,Paramètres!$A$1:$I$89,3,0)*VLOOKUP('Données projet'!$B$9,Paramètres!$A$1:$I$89,5,0)</f>
        <v>295.68863999999985</v>
      </c>
      <c r="P97" s="13">
        <f t="shared" si="87"/>
        <v>70.271876780519676</v>
      </c>
      <c r="Q97" s="20">
        <f t="shared" si="54"/>
        <v>637.38123339273818</v>
      </c>
      <c r="R97" s="59">
        <f t="shared" si="55"/>
        <v>926.82214670973076</v>
      </c>
      <c r="S97" s="59">
        <f ca="1">AVERAGE(OFFSET($R$3,0,0,'Données projet'!$E$9+1,1))-AVERAGE(OFFSET($H$3,0,0,'Données projet'!$E$9+1,1))</f>
        <v>461.20962581398715</v>
      </c>
      <c r="T97" s="59">
        <f t="shared" si="88"/>
        <v>348.44322874953923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37.275390654309213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37.275390654309213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326.79999999999984</v>
      </c>
      <c r="AJ97" s="13">
        <f>AI97*VLOOKUP('Données projet'!$B$10,Paramètres!$A$1:$I$89,3,0)*VLOOKUP('Données projet'!$B$10,Paramètres!$A$1:$I$89,5,0)</f>
        <v>331.37519999999984</v>
      </c>
      <c r="AK97" s="13">
        <f t="shared" si="89"/>
        <v>77.715352174616896</v>
      </c>
      <c r="AL97" s="20">
        <f t="shared" si="58"/>
        <v>712.49937837079085</v>
      </c>
      <c r="AM97" s="59">
        <f t="shared" si="59"/>
        <v>1001.9402916877834</v>
      </c>
      <c r="AN97" s="59">
        <f ca="1">AVERAGE(OFFSET($AM$3,0,0,'Données projet'!$E$10+1,1))-AVERAGE(OFFSET($H$3,0,0,'Données projet'!$E$10+1,1))</f>
        <v>510.86584023875525</v>
      </c>
      <c r="AO97" s="59">
        <f t="shared" si="90"/>
        <v>384.62921487244125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41.774144698794814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41.774144698794814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4.1677594708744434E-14</v>
      </c>
      <c r="BF97" s="13">
        <f t="shared" si="91"/>
        <v>6.9326303456159188E-13</v>
      </c>
      <c r="BG97" s="20">
        <f t="shared" si="61"/>
        <v>1.2800215959791691E-12</v>
      </c>
      <c r="BH97" s="59">
        <f t="shared" si="62"/>
        <v>289.44091331699383</v>
      </c>
      <c r="BI97" s="59">
        <f ca="1">AVERAGE(OFFSET($BH$3,0,0,'Données projet'!$E$11+1,1))-AVERAGE(OFFSET($H$3,0,0,'Données projet'!$E$11+1,1))</f>
        <v>201.7253431547006</v>
      </c>
      <c r="BJ97" s="59">
        <f t="shared" si="92"/>
        <v>229.70004720044096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24.610842919674614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24.610842919674614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-1.2710188457276673E-13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462.09240749760784</v>
      </c>
      <c r="CE97" s="59">
        <f t="shared" si="94"/>
        <v>403.52202223463337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260.72135249264153</v>
      </c>
      <c r="CL97" s="21">
        <f>EXP(-LN(2)/25)*CL96+(1-EXP(-LN(2)/25))/(LN(2)/25)*Calculateur!CG97*Calculateur!CI97*VLOOKUP('Données projet'!$B$12,Paramètres!$A$1:$I$89,3,0)*0.475*44/12</f>
        <v>23.389306934597002</v>
      </c>
      <c r="CM97" s="21">
        <f>EXP(-LN(2)/2)*CM96+(1-EXP(-LN(2)/2))/(LN(2)/2)*CG97*CJ97*VLOOKUP('Données projet'!$B$12,Paramètres!$A$1:$I$89,3,0)*0.475*44/12</f>
        <v>0.13711807926890504</v>
      </c>
      <c r="CN97" s="22">
        <f t="shared" si="66"/>
        <v>284.24777750650748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319.88925869887464</v>
      </c>
      <c r="CZ97" s="59">
        <f t="shared" si="96"/>
        <v>258.2857172412098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124.65158737552825</v>
      </c>
      <c r="DG97" s="21">
        <f>EXP(-LN(2)/25)*DG96+(1-EXP(-LN(2)/25))/(LN(2)/25)*Calculateur!DB97*Calculateur!DD97*VLOOKUP('Données projet'!$B$13,Paramètres!$A$1:$I$89,3,0)*0.475*44/12</f>
        <v>32.414013384671996</v>
      </c>
      <c r="DH97" s="21">
        <f>EXP(-LN(2)/2)*DH96+(1-EXP(-LN(2)/2))/(LN(2)/2)*DB97*DE97*VLOOKUP('Données projet'!$B$13,Paramètres!$A$1:$I$89,3,0)*0.475*44/12</f>
        <v>0.32924885948883759</v>
      </c>
      <c r="DI97" s="22">
        <f t="shared" si="69"/>
        <v>157.3948496196891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-5.6843418860808015E-13</v>
      </c>
      <c r="DP97" s="17">
        <f>DO97*VLOOKUP('Données projet'!$B$14,Paramètres!$A$1:$I$89,3,0)*VLOOKUP('Données projet'!$B$14,Paramètres!$A$1:$I$89,5,0)</f>
        <v>-3.39923644787632E-13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443.64905827069435</v>
      </c>
      <c r="DU97" s="59">
        <f t="shared" si="98"/>
        <v>381.14782516862385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162.5196970867772</v>
      </c>
      <c r="EB97" s="21">
        <f>EXP(-LN(2)/25)*EB96+(1-EXP(-LN(2)/25))/(LN(2)/25)*Calculateur!DW97*Calculateur!DY97*VLOOKUP('Données projet'!$B$14,Paramètres!$A$1:$I$89,3,0)*0.475*44/12</f>
        <v>28.262072025753824</v>
      </c>
      <c r="EC97" s="21">
        <f>EXP(-LN(2)/2)*EC96+(1-EXP(-LN(2)/2))/(LN(2)/2)*DW97*DZ97*VLOOKUP('Données projet'!$B$14,Paramètres!$A$1:$I$89,3,0)*0.475*44/12</f>
        <v>8.0594356345639745E-2</v>
      </c>
      <c r="ED97" s="22">
        <f t="shared" si="72"/>
        <v>190.86236346887668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-3.4106051316484809E-13</v>
      </c>
      <c r="EK97" s="17">
        <f>EJ97*VLOOKUP('Données projet'!$B$15,Paramètres!$A$1:$I$89,3,0)*VLOOKUP('Données projet'!$B$15,Paramètres!$A$1:$I$89,5,0)</f>
        <v>-3.0859155231155454E-13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504.37890861635196</v>
      </c>
      <c r="EP97" s="59">
        <f t="shared" si="100"/>
        <v>611.82129317522913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35.664349452982769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35.664349452982769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3.8</v>
      </c>
      <c r="FE97" s="12">
        <f>IF('Données projet'!$A$218&gt;35,FE96+FD97-FM96,IF(A97&lt;'Données projet'!$A$218,$FB$205^A97,IF(A97='Données projet'!$A$218,'Données projet'!$B$218,FE96+FD97-FM96)))</f>
        <v>208.2</v>
      </c>
      <c r="FF97" s="17">
        <f>FE97*VLOOKUP('Données projet'!$B$16,Paramètres!$A$1:$I$89,3,0)*VLOOKUP('Données projet'!$B$16,Paramètres!$A$1:$I$89,5,0)</f>
        <v>224.10647999999998</v>
      </c>
      <c r="FG97" s="13">
        <f t="shared" si="101"/>
        <v>55.006445935422541</v>
      </c>
      <c r="FH97" s="20">
        <f t="shared" si="76"/>
        <v>486.12167933752761</v>
      </c>
      <c r="FI97" s="59">
        <f t="shared" si="77"/>
        <v>775.56259265452013</v>
      </c>
      <c r="FJ97" s="59">
        <f ca="1">AVERAGE(OFFSET($FI$3,0,0,'Données projet'!$E$16+1,1))-AVERAGE(OFFSET($H$3,0,0,'Données projet'!$E$16+1,1))</f>
        <v>334.01098870576732</v>
      </c>
      <c r="FK97" s="59">
        <f t="shared" si="102"/>
        <v>171.1802153303471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19.857395921049179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19.857395921049179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-1.7053025658242404E-13</v>
      </c>
      <c r="GA97" s="17">
        <f>FZ97*VLOOKUP('Données projet'!$B$17,Paramètres!$A$1:$I$89,3,0)*VLOOKUP('Données projet'!$B$17,Paramètres!$A$1:$I$89,5,0)</f>
        <v>-1.4897523215040567E-13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330.12856974146598</v>
      </c>
      <c r="GF97" s="59">
        <f t="shared" si="104"/>
        <v>321.23368446552286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88.768522375618474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88.768522375618474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68.938430904634316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7</v>
      </c>
      <c r="GU97" s="12">
        <f>IF('Données projet'!$A$270&gt;35,GU96+GT97-HC96,IF(A97&lt;'Données projet'!$A$270,$GR$205^A97,IF(A97='Données projet'!$A$270,'Données projet'!$B$270,GU96+GT97-HC96)))</f>
        <v>281.99999999999983</v>
      </c>
      <c r="GV97" s="17">
        <f>GU97*VLOOKUP('Données projet'!$B$18,Paramètres!$A$1:$I$89,3,0)*VLOOKUP('Données projet'!$B$18,Paramètres!$A$1:$I$89,5,0)</f>
        <v>189.16559999999987</v>
      </c>
      <c r="GW97" s="13">
        <f t="shared" si="105"/>
        <v>47.355431631295232</v>
      </c>
      <c r="GX97" s="20">
        <f t="shared" si="82"/>
        <v>411.940796757839</v>
      </c>
      <c r="GY97" s="59">
        <f t="shared" si="83"/>
        <v>701.38171007483152</v>
      </c>
      <c r="GZ97" s="59">
        <f ca="1">AVERAGE(OFFSET($GY$3,0,0,'Données projet'!$E$18+1,1))-AVERAGE(OFFSET($H$3,0,0,'Données projet'!$E$18+1,1))</f>
        <v>296.67751292332753</v>
      </c>
      <c r="HA97" s="59">
        <f t="shared" si="106"/>
        <v>197.99510031603018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25.54649618118605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25.54649618118605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1.1000000000000001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4.0333333333333341</v>
      </c>
      <c r="H98" s="67">
        <f t="shared" si="56"/>
        <v>240.5333333333333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332.99999999999983</v>
      </c>
      <c r="O98" s="13">
        <f>N98*VLOOKUP('Données projet'!$B$9,Paramètres!$A$1:$I$89,3,0)*VLOOKUP('Données projet'!$B$9,Paramètres!$A$1:$I$89,5,0)</f>
        <v>301.29839999999984</v>
      </c>
      <c r="P98" s="13">
        <f t="shared" si="87"/>
        <v>71.448589534990518</v>
      </c>
      <c r="Q98" s="20">
        <f t="shared" si="54"/>
        <v>649.20100677344146</v>
      </c>
      <c r="R98" s="59">
        <f t="shared" si="55"/>
        <v>938.70944487556994</v>
      </c>
      <c r="S98" s="59">
        <f ca="1">AVERAGE(OFFSET($R$3,0,0,'Données projet'!$E$9+1,1))-AVERAGE(OFFSET($H$3,0,0,'Données projet'!$E$9+1,1))</f>
        <v>461.20962581398715</v>
      </c>
      <c r="T98" s="59">
        <f t="shared" si="88"/>
        <v>348.44322874953923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44.974378043076648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44.974378043076648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332.99999999999983</v>
      </c>
      <c r="AJ98" s="13">
        <f>AI98*VLOOKUP('Données projet'!$B$10,Paramètres!$A$1:$I$89,3,0)*VLOOKUP('Données projet'!$B$10,Paramètres!$A$1:$I$89,5,0)</f>
        <v>337.66199999999986</v>
      </c>
      <c r="AK98" s="13">
        <f t="shared" si="89"/>
        <v>79.016707002632685</v>
      </c>
      <c r="AL98" s="20">
        <f t="shared" si="58"/>
        <v>725.71541469625163</v>
      </c>
      <c r="AM98" s="59">
        <f t="shared" si="59"/>
        <v>1015.2238527983801</v>
      </c>
      <c r="AN98" s="59">
        <f ca="1">AVERAGE(OFFSET($AM$3,0,0,'Données projet'!$E$10+1,1))-AVERAGE(OFFSET($H$3,0,0,'Données projet'!$E$10+1,1))</f>
        <v>510.86584023875525</v>
      </c>
      <c r="AO98" s="59">
        <f t="shared" si="90"/>
        <v>384.62921487244125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0.30099999999999999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50.402320220689354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50.402320220689354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4.1677594708744434E-14</v>
      </c>
      <c r="BF98" s="13">
        <f t="shared" si="91"/>
        <v>6.9326303456159188E-13</v>
      </c>
      <c r="BG98" s="20">
        <f t="shared" si="61"/>
        <v>1.2800215959791691E-12</v>
      </c>
      <c r="BH98" s="59">
        <f t="shared" si="62"/>
        <v>289.50843810212979</v>
      </c>
      <c r="BI98" s="59">
        <f ca="1">AVERAGE(OFFSET($BH$3,0,0,'Données projet'!$E$11+1,1))-AVERAGE(OFFSET($H$3,0,0,'Données projet'!$E$11+1,1))</f>
        <v>201.7253431547006</v>
      </c>
      <c r="BJ98" s="59">
        <f t="shared" si="92"/>
        <v>229.70004720044096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24.128239301151748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24.128239301151748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-1.2710188457276673E-13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462.09240749760784</v>
      </c>
      <c r="CE98" s="59">
        <f t="shared" si="94"/>
        <v>403.52202223463337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255.60876579458349</v>
      </c>
      <c r="CL98" s="21">
        <f>EXP(-LN(2)/25)*CL97+(1-EXP(-LN(2)/25))/(LN(2)/25)*Calculateur!CG98*Calculateur!CI98*VLOOKUP('Données projet'!$B$12,Paramètres!$A$1:$I$89,3,0)*0.475*44/12</f>
        <v>22.749725106480252</v>
      </c>
      <c r="CM98" s="21">
        <f>EXP(-LN(2)/2)*CM97+(1-EXP(-LN(2)/2))/(LN(2)/2)*CG98*CJ98*VLOOKUP('Données projet'!$B$12,Paramètres!$A$1:$I$89,3,0)*0.475*44/12</f>
        <v>9.6957123674317316E-2</v>
      </c>
      <c r="CN98" s="22">
        <f t="shared" si="66"/>
        <v>278.45544802473808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319.88925869887464</v>
      </c>
      <c r="CZ98" s="59">
        <f t="shared" si="96"/>
        <v>258.2857172412098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122.20724577705511</v>
      </c>
      <c r="DG98" s="21">
        <f>EXP(-LN(2)/25)*DG97+(1-EXP(-LN(2)/25))/(LN(2)/25)*Calculateur!DB98*Calculateur!DD98*VLOOKUP('Données projet'!$B$13,Paramètres!$A$1:$I$89,3,0)*0.475*44/12</f>
        <v>31.527650484089261</v>
      </c>
      <c r="DH98" s="21">
        <f>EXP(-LN(2)/2)*DH97+(1-EXP(-LN(2)/2))/(LN(2)/2)*DB98*DE98*VLOOKUP('Données projet'!$B$13,Paramètres!$A$1:$I$89,3,0)*0.475*44/12</f>
        <v>0.23281410124249383</v>
      </c>
      <c r="DI98" s="22">
        <f t="shared" si="69"/>
        <v>153.96771036238687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-5.6843418860808015E-13</v>
      </c>
      <c r="DP98" s="17">
        <f>DO98*VLOOKUP('Données projet'!$B$14,Paramètres!$A$1:$I$89,3,0)*VLOOKUP('Données projet'!$B$14,Paramètres!$A$1:$I$89,5,0)</f>
        <v>-3.39923644787632E-13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443.64905827069435</v>
      </c>
      <c r="DU98" s="59">
        <f t="shared" si="98"/>
        <v>381.14782516862385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159.33278495413273</v>
      </c>
      <c r="EB98" s="21">
        <f>EXP(-LN(2)/25)*EB97+(1-EXP(-LN(2)/25))/(LN(2)/25)*Calculateur!DW98*Calculateur!DY98*VLOOKUP('Données projet'!$B$14,Paramètres!$A$1:$I$89,3,0)*0.475*44/12</f>
        <v>27.489244179971813</v>
      </c>
      <c r="EC98" s="21">
        <f>EXP(-LN(2)/2)*EC97+(1-EXP(-LN(2)/2))/(LN(2)/2)*DW98*DZ98*VLOOKUP('Données projet'!$B$14,Paramètres!$A$1:$I$89,3,0)*0.475*44/12</f>
        <v>5.6988815897366922E-2</v>
      </c>
      <c r="ED98" s="22">
        <f t="shared" si="72"/>
        <v>186.87901795000192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-3.4106051316484809E-13</v>
      </c>
      <c r="EK98" s="17">
        <f>EJ98*VLOOKUP('Données projet'!$B$15,Paramètres!$A$1:$I$89,3,0)*VLOOKUP('Données projet'!$B$15,Paramètres!$A$1:$I$89,5,0)</f>
        <v>-3.0859155231155454E-13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504.37890861635196</v>
      </c>
      <c r="EP98" s="59">
        <f t="shared" si="100"/>
        <v>611.82129317522913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34.964993313315006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34.964993313315006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212</v>
      </c>
      <c r="FC98" s="12">
        <f>VLOOKUP(A98,'Données projet'!$A$217:$I$237,9,0)</f>
        <v>3.8</v>
      </c>
      <c r="FD98" s="12">
        <f t="array" ref="FD98">INDEX(FC:FC,MIN(IF(ISNUMBER(FC98:FC294),ROW(FC98:FC294),"")))</f>
        <v>3.8</v>
      </c>
      <c r="FE98" s="12">
        <f>IF('Données projet'!$A$218&gt;35,FE97+FD98-FM97,IF(A98&lt;'Données projet'!$A$218,$FB$205^A98,IF(A98='Données projet'!$A$218,'Données projet'!$B$218,FE97+FD98-FM97)))</f>
        <v>212</v>
      </c>
      <c r="FF98" s="17">
        <f>FE98*VLOOKUP('Données projet'!$B$16,Paramètres!$A$1:$I$89,3,0)*VLOOKUP('Données projet'!$B$16,Paramètres!$A$1:$I$89,5,0)</f>
        <v>228.1968</v>
      </c>
      <c r="FG98" s="13">
        <f t="shared" si="101"/>
        <v>55.892609107162002</v>
      </c>
      <c r="FH98" s="20">
        <f t="shared" si="76"/>
        <v>494.78905419497386</v>
      </c>
      <c r="FI98" s="59">
        <f t="shared" si="77"/>
        <v>784.29749229710228</v>
      </c>
      <c r="FJ98" s="59">
        <f ca="1">AVERAGE(OFFSET($FI$3,0,0,'Données projet'!$E$16+1,1))-AVERAGE(OFFSET($H$3,0,0,'Données projet'!$E$16+1,1))</f>
        <v>334.01098870576732</v>
      </c>
      <c r="FK98" s="59">
        <f t="shared" si="102"/>
        <v>171.1802153303471</v>
      </c>
      <c r="FL98" s="15">
        <f>IF(ISNA(VLOOKUP(A98,'Données projet'!$A$217:$I$237,3,0)),0,VLOOKUP(A98,'Données projet'!$A$217:$I$237,3,0))</f>
        <v>15</v>
      </c>
      <c r="FM98" s="15">
        <f>IF(ISNA(VLOOKUP(A98,'Données projet'!$A$217:$I$237,4,0)),0,VLOOKUP(A98,'Données projet'!$A$217:$I$237,4,0))</f>
        <v>14</v>
      </c>
      <c r="FN98" s="16">
        <f>IF(ISNA(VLOOKUP(A98,'Données projet'!$A$217:$I$237,5,0)),0%,VLOOKUP(A98,'Données projet'!$A$217:$I$237,5,0)*VLOOKUP('Données projet'!$B$16,Paramètres!$A$1:$I$89,7,0))</f>
        <v>0.30099999999999999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24.482362424707308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24.482362424707308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-1.7053025658242404E-13</v>
      </c>
      <c r="GA98" s="17">
        <f>FZ98*VLOOKUP('Données projet'!$B$17,Paramètres!$A$1:$I$89,3,0)*VLOOKUP('Données projet'!$B$17,Paramètres!$A$1:$I$89,5,0)</f>
        <v>-1.4897523215040567E-13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330.12856974146598</v>
      </c>
      <c r="GF98" s="59">
        <f t="shared" si="104"/>
        <v>321.23368446552286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87.027825795285025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87.027825795285025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68.956846755125952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>
        <f>VLOOKUP(A98,'Données projet'!$A$269:$I$289,2,0)</f>
        <v>289</v>
      </c>
      <c r="GS98" s="12">
        <f>VLOOKUP(A98,'Données projet'!$A$269:$I$289,9,0)</f>
        <v>7</v>
      </c>
      <c r="GT98" s="12">
        <f t="array" ref="GT98">INDEX(GS:GS,MIN(IF(ISNUMBER(GS98:GS294),ROW(GS98:GS294),"")))</f>
        <v>7</v>
      </c>
      <c r="GU98" s="12">
        <f>IF('Données projet'!$A$270&gt;35,GU97+GT98-HC97,IF(A98&lt;'Données projet'!$A$270,$GR$205^A98,IF(A98='Données projet'!$A$270,'Données projet'!$B$270,GU97+GT98-HC97)))</f>
        <v>288.99999999999983</v>
      </c>
      <c r="GV98" s="17">
        <f>GU98*VLOOKUP('Données projet'!$B$18,Paramètres!$A$1:$I$89,3,0)*VLOOKUP('Données projet'!$B$18,Paramètres!$A$1:$I$89,5,0)</f>
        <v>193.86119999999988</v>
      </c>
      <c r="GW98" s="13">
        <f t="shared" si="105"/>
        <v>48.392607244332538</v>
      </c>
      <c r="GX98" s="20">
        <f t="shared" si="82"/>
        <v>421.92538095054562</v>
      </c>
      <c r="GY98" s="59">
        <f t="shared" si="83"/>
        <v>711.43381905267415</v>
      </c>
      <c r="GZ98" s="59">
        <f ca="1">AVERAGE(OFFSET($GY$3,0,0,'Données projet'!$E$18+1,1))-AVERAGE(OFFSET($H$3,0,0,'Données projet'!$E$18+1,1))</f>
        <v>296.67751292332753</v>
      </c>
      <c r="HA98" s="59">
        <f t="shared" si="106"/>
        <v>197.99510031603018</v>
      </c>
      <c r="HB98" s="15">
        <f>IF(ISNA(VLOOKUP(A98,'Données projet'!$A$269:$I$289,3,0)),0,VLOOKUP(A98,'Données projet'!$A$269:$I$289,3,0))</f>
        <v>16</v>
      </c>
      <c r="HC98" s="15">
        <f>IF(ISNA(VLOOKUP(A98,'Données projet'!$A$269:$I$289,4,0)),0,VLOOKUP(A98,'Données projet'!$A$269:$I$289,4,0))</f>
        <v>21</v>
      </c>
      <c r="HD98" s="16">
        <f>IF(ISNA(VLOOKUP(A98,'Données projet'!$A$269:$I$289,5,0)),0%,VLOOKUP(A98,'Données projet'!$A$269:$I$289,5,0)*VLOOKUP('Données projet'!$B$18,Paramètres!$A$1:$I$89,7,0))</f>
        <v>0.371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30.822957365729255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30.822957365729255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1.1000000000000001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4.0333333333333341</v>
      </c>
      <c r="H99" s="67">
        <f t="shared" si="56"/>
        <v>240.5333333333333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310.59999999999985</v>
      </c>
      <c r="O99" s="13">
        <f>N99*VLOOKUP('Données projet'!$B$9,Paramètres!$A$1:$I$89,3,0)*VLOOKUP('Données projet'!$B$9,Paramètres!$A$1:$I$89,5,0)</f>
        <v>281.03087999999985</v>
      </c>
      <c r="P99" s="13">
        <f t="shared" si="87"/>
        <v>67.184816842275467</v>
      </c>
      <c r="Q99" s="20">
        <f t="shared" ref="Q99:Q130" si="107">(O99+P99)*0.475*44/12</f>
        <v>606.47567200029607</v>
      </c>
      <c r="R99" s="59">
        <f t="shared" si="55"/>
        <v>896.05046348350129</v>
      </c>
      <c r="S99" s="59">
        <f ca="1">AVERAGE(OFFSET($R$3,0,0,'Données projet'!$E$9+1,1))-AVERAGE(OFFSET($H$3,0,0,'Données projet'!$E$9+1,1))</f>
        <v>461.20962581398715</v>
      </c>
      <c r="T99" s="59">
        <f t="shared" si="88"/>
        <v>348.44322874953923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44.092457921313873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44.092457921313873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310.59999999999985</v>
      </c>
      <c r="AJ99" s="13">
        <f>AI99*VLOOKUP('Données projet'!$B$10,Paramètres!$A$1:$I$89,3,0)*VLOOKUP('Données projet'!$B$10,Paramètres!$A$1:$I$89,5,0)</f>
        <v>314.94839999999988</v>
      </c>
      <c r="AK99" s="13">
        <f t="shared" si="89"/>
        <v>74.301298626081149</v>
      </c>
      <c r="AL99" s="20">
        <f t="shared" si="58"/>
        <v>677.94322510709105</v>
      </c>
      <c r="AM99" s="59">
        <f t="shared" si="59"/>
        <v>967.51801659029638</v>
      </c>
      <c r="AN99" s="59">
        <f ca="1">AVERAGE(OFFSET($AM$3,0,0,'Données projet'!$E$10+1,1))-AVERAGE(OFFSET($H$3,0,0,'Données projet'!$E$10+1,1))</f>
        <v>510.86584023875525</v>
      </c>
      <c r="AO99" s="59">
        <f t="shared" si="90"/>
        <v>384.62921487244125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49.413961463541412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49.413961463541412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4.1677594708744434E-14</v>
      </c>
      <c r="BF99" s="13">
        <f t="shared" si="91"/>
        <v>6.9326303456159188E-13</v>
      </c>
      <c r="BG99" s="20">
        <f t="shared" si="61"/>
        <v>1.2800215959791691E-12</v>
      </c>
      <c r="BH99" s="59">
        <f t="shared" si="62"/>
        <v>289.57479148320658</v>
      </c>
      <c r="BI99" s="59">
        <f ca="1">AVERAGE(OFFSET($BH$3,0,0,'Données projet'!$E$11+1,1))-AVERAGE(OFFSET($H$3,0,0,'Données projet'!$E$11+1,1))</f>
        <v>201.7253431547006</v>
      </c>
      <c r="BJ99" s="59">
        <f t="shared" si="92"/>
        <v>229.70004720044096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23.655099245228975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23.655099245228975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-1.2710188457276673E-13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462.09240749760784</v>
      </c>
      <c r="CE99" s="59">
        <f t="shared" si="94"/>
        <v>403.52202223463337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250.59643380330442</v>
      </c>
      <c r="CL99" s="21">
        <f>EXP(-LN(2)/25)*CL98+(1-EXP(-LN(2)/25))/(LN(2)/25)*Calculateur!CG99*Calculateur!CI99*VLOOKUP('Données projet'!$B$12,Paramètres!$A$1:$I$89,3,0)*0.475*44/12</f>
        <v>22.127632677087501</v>
      </c>
      <c r="CM99" s="21">
        <f>EXP(-LN(2)/2)*CM98+(1-EXP(-LN(2)/2))/(LN(2)/2)*CG99*CJ99*VLOOKUP('Données projet'!$B$12,Paramètres!$A$1:$I$89,3,0)*0.475*44/12</f>
        <v>6.855903963445252E-2</v>
      </c>
      <c r="CN99" s="22">
        <f t="shared" si="66"/>
        <v>272.79262552002638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319.88925869887464</v>
      </c>
      <c r="CZ99" s="59">
        <f t="shared" si="96"/>
        <v>258.2857172412098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119.81083622642686</v>
      </c>
      <c r="DG99" s="21">
        <f>EXP(-LN(2)/25)*DG98+(1-EXP(-LN(2)/25))/(LN(2)/25)*Calculateur!DB99*Calculateur!DD99*VLOOKUP('Données projet'!$B$13,Paramètres!$A$1:$I$89,3,0)*0.475*44/12</f>
        <v>30.665525223634759</v>
      </c>
      <c r="DH99" s="21">
        <f>EXP(-LN(2)/2)*DH98+(1-EXP(-LN(2)/2))/(LN(2)/2)*DB99*DE99*VLOOKUP('Données projet'!$B$13,Paramètres!$A$1:$I$89,3,0)*0.475*44/12</f>
        <v>0.16462442974441882</v>
      </c>
      <c r="DI99" s="22">
        <f t="shared" si="69"/>
        <v>150.64098587980604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-5.6843418860808015E-13</v>
      </c>
      <c r="DP99" s="17">
        <f>DO99*VLOOKUP('Données projet'!$B$14,Paramètres!$A$1:$I$89,3,0)*VLOOKUP('Données projet'!$B$14,Paramètres!$A$1:$I$89,5,0)</f>
        <v>-3.39923644787632E-13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443.64905827069435</v>
      </c>
      <c r="DU99" s="59">
        <f t="shared" si="98"/>
        <v>381.14782516862385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156.20836622458495</v>
      </c>
      <c r="EB99" s="21">
        <f>EXP(-LN(2)/25)*EB98+(1-EXP(-LN(2)/25))/(LN(2)/25)*Calculateur!DW99*Calculateur!DY99*VLOOKUP('Données projet'!$B$14,Paramètres!$A$1:$I$89,3,0)*0.475*44/12</f>
        <v>26.737549352273959</v>
      </c>
      <c r="EC99" s="21">
        <f>EXP(-LN(2)/2)*EC98+(1-EXP(-LN(2)/2))/(LN(2)/2)*DW99*DZ99*VLOOKUP('Données projet'!$B$14,Paramètres!$A$1:$I$89,3,0)*0.475*44/12</f>
        <v>4.0297178172819872E-2</v>
      </c>
      <c r="ED99" s="22">
        <f t="shared" si="72"/>
        <v>182.98621275503172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-3.4106051316484809E-13</v>
      </c>
      <c r="EK99" s="17">
        <f>EJ99*VLOOKUP('Données projet'!$B$15,Paramètres!$A$1:$I$89,3,0)*VLOOKUP('Données projet'!$B$15,Paramètres!$A$1:$I$89,5,0)</f>
        <v>-3.0859155231155454E-13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504.37890861635196</v>
      </c>
      <c r="EP99" s="59">
        <f t="shared" si="100"/>
        <v>611.82129317522913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34.279351120980998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34.279351120980998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3.6</v>
      </c>
      <c r="FE99" s="12">
        <f>IF('Données projet'!$A$218&gt;35,FE98+FD99-FM98,IF(A99&lt;'Données projet'!$A$218,$FB$205^A99,IF(A99='Données projet'!$A$218,'Données projet'!$B$218,FE98+FD99-FM98)))</f>
        <v>201.6</v>
      </c>
      <c r="FF99" s="17">
        <f>FE99*VLOOKUP('Données projet'!$B$16,Paramètres!$A$1:$I$89,3,0)*VLOOKUP('Données projet'!$B$16,Paramètres!$A$1:$I$89,5,0)</f>
        <v>217.00223999999997</v>
      </c>
      <c r="FG99" s="13">
        <f t="shared" si="101"/>
        <v>53.462818050454771</v>
      </c>
      <c r="FH99" s="20">
        <f t="shared" si="76"/>
        <v>471.05997610454193</v>
      </c>
      <c r="FI99" s="59">
        <f t="shared" si="77"/>
        <v>760.63476758774721</v>
      </c>
      <c r="FJ99" s="59">
        <f ca="1">AVERAGE(OFFSET($FI$3,0,0,'Données projet'!$E$16+1,1))-AVERAGE(OFFSET($H$3,0,0,'Données projet'!$E$16+1,1))</f>
        <v>334.01098870576732</v>
      </c>
      <c r="FK99" s="59">
        <f t="shared" si="102"/>
        <v>171.1802153303471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24.002278230325388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24.002278230325388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-1.7053025658242404E-13</v>
      </c>
      <c r="GA99" s="17">
        <f>FZ99*VLOOKUP('Données projet'!$B$17,Paramètres!$A$1:$I$89,3,0)*VLOOKUP('Données projet'!$B$17,Paramètres!$A$1:$I$89,5,0)</f>
        <v>-1.4897523215040567E-13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330.12856974146598</v>
      </c>
      <c r="GF99" s="59">
        <f t="shared" si="104"/>
        <v>321.23368446552286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85.321263213171832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85.321263213171832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68.974943131783249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2.8</v>
      </c>
      <c r="GU99" s="12">
        <f>IF('Données projet'!$A$270&gt;35,GU98+GT99-HC98,IF(A99&lt;'Données projet'!$A$270,$GR$205^A99,IF(A99='Données projet'!$A$270,'Données projet'!$B$270,GU98+GT99-HC98)))</f>
        <v>270.79999999999984</v>
      </c>
      <c r="GV99" s="17">
        <f>GU99*VLOOKUP('Données projet'!$B$18,Paramètres!$A$1:$I$89,3,0)*VLOOKUP('Données projet'!$B$18,Paramètres!$A$1:$I$89,5,0)</f>
        <v>181.65263999999991</v>
      </c>
      <c r="GW99" s="13">
        <f t="shared" si="105"/>
        <v>45.689672314344143</v>
      </c>
      <c r="GX99" s="20">
        <f t="shared" si="82"/>
        <v>395.95452728081585</v>
      </c>
      <c r="GY99" s="59">
        <f t="shared" si="83"/>
        <v>685.52931876402113</v>
      </c>
      <c r="GZ99" s="59">
        <f ca="1">AVERAGE(OFFSET($GY$3,0,0,'Données projet'!$E$18+1,1))-AVERAGE(OFFSET($H$3,0,0,'Données projet'!$E$18+1,1))</f>
        <v>296.67751292332753</v>
      </c>
      <c r="HA99" s="59">
        <f t="shared" si="106"/>
        <v>197.99510031603018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30.218537971934939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30.218537971934939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1.1000000000000001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4.0333333333333341</v>
      </c>
      <c r="H100" s="67">
        <f t="shared" si="56"/>
        <v>240.5333333333333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316.19999999999987</v>
      </c>
      <c r="O100" s="13">
        <f>N100*VLOOKUP('Données projet'!$B$9,Paramètres!$A$1:$I$89,3,0)*VLOOKUP('Données projet'!$B$9,Paramètres!$A$1:$I$89,5,0)</f>
        <v>286.09775999999988</v>
      </c>
      <c r="P100" s="13">
        <f t="shared" si="87"/>
        <v>68.254020651723621</v>
      </c>
      <c r="Q100" s="20">
        <f t="shared" si="107"/>
        <v>617.16268463508504</v>
      </c>
      <c r="R100" s="59">
        <f t="shared" si="55"/>
        <v>906.80267841654927</v>
      </c>
      <c r="S100" s="59">
        <f ca="1">AVERAGE(OFFSET($R$3,0,0,'Données projet'!$E$9+1,1))-AVERAGE(OFFSET($H$3,0,0,'Données projet'!$E$9+1,1))</f>
        <v>461.20962581398715</v>
      </c>
      <c r="T100" s="59">
        <f t="shared" si="88"/>
        <v>348.44322874953923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43.227831715220702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43.227831715220702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316.19999999999987</v>
      </c>
      <c r="AJ100" s="13">
        <f>AI100*VLOOKUP('Données projet'!$B$10,Paramètres!$A$1:$I$89,3,0)*VLOOKUP('Données projet'!$B$10,Paramètres!$A$1:$I$89,5,0)</f>
        <v>320.62679999999989</v>
      </c>
      <c r="AK100" s="13">
        <f t="shared" si="89"/>
        <v>75.483756735990909</v>
      </c>
      <c r="AL100" s="20">
        <f t="shared" si="58"/>
        <v>689.89255298185071</v>
      </c>
      <c r="AM100" s="59">
        <f t="shared" si="59"/>
        <v>979.53254676331494</v>
      </c>
      <c r="AN100" s="59">
        <f ca="1">AVERAGE(OFFSET($AM$3,0,0,'Données projet'!$E$10+1,1))-AVERAGE(OFFSET($H$3,0,0,'Données projet'!$E$10+1,1))</f>
        <v>510.86584023875525</v>
      </c>
      <c r="AO100" s="59">
        <f t="shared" si="90"/>
        <v>384.62921487244125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48.444983818781829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48.444983818781829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4.1677594708744434E-14</v>
      </c>
      <c r="BF100" s="13">
        <f t="shared" si="91"/>
        <v>6.9326303456159188E-13</v>
      </c>
      <c r="BG100" s="20">
        <f t="shared" si="61"/>
        <v>1.2800215959791691E-12</v>
      </c>
      <c r="BH100" s="59">
        <f t="shared" si="62"/>
        <v>289.63999378146548</v>
      </c>
      <c r="BI100" s="59">
        <f ca="1">AVERAGE(OFFSET($BH$3,0,0,'Données projet'!$E$11+1,1))-AVERAGE(OFFSET($H$3,0,0,'Données projet'!$E$11+1,1))</f>
        <v>201.7253431547006</v>
      </c>
      <c r="BJ100" s="59">
        <f t="shared" si="92"/>
        <v>229.70004720044096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23.19123717721591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23.19123717721591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-1.2710188457276673E-13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462.09240749760784</v>
      </c>
      <c r="CE100" s="59">
        <f t="shared" si="94"/>
        <v>403.52202223463337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245.68239058515368</v>
      </c>
      <c r="CL100" s="21">
        <f>EXP(-LN(2)/25)*CL99+(1-EXP(-LN(2)/25))/(LN(2)/25)*Calculateur!CG100*Calculateur!CI100*VLOOKUP('Données projet'!$B$12,Paramètres!$A$1:$I$89,3,0)*0.475*44/12</f>
        <v>21.522551397890915</v>
      </c>
      <c r="CM100" s="21">
        <f>EXP(-LN(2)/2)*CM99+(1-EXP(-LN(2)/2))/(LN(2)/2)*CG100*CJ100*VLOOKUP('Données projet'!$B$12,Paramètres!$A$1:$I$89,3,0)*0.475*44/12</f>
        <v>4.8478561837158658E-2</v>
      </c>
      <c r="CN100" s="22">
        <f t="shared" si="66"/>
        <v>267.25342054488175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319.88925869887464</v>
      </c>
      <c r="CZ100" s="59">
        <f t="shared" si="96"/>
        <v>258.2857172412098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117.46141880542093</v>
      </c>
      <c r="DG100" s="21">
        <f>EXP(-LN(2)/25)*DG99+(1-EXP(-LN(2)/25))/(LN(2)/25)*Calculateur!DB100*Calculateur!DD100*VLOOKUP('Données projet'!$B$13,Paramètres!$A$1:$I$89,3,0)*0.475*44/12</f>
        <v>29.826974823764584</v>
      </c>
      <c r="DH100" s="21">
        <f>EXP(-LN(2)/2)*DH99+(1-EXP(-LN(2)/2))/(LN(2)/2)*DB100*DE100*VLOOKUP('Données projet'!$B$13,Paramètres!$A$1:$I$89,3,0)*0.475*44/12</f>
        <v>0.11640705062124693</v>
      </c>
      <c r="DI100" s="22">
        <f t="shared" si="69"/>
        <v>147.40480067980675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-5.6843418860808015E-13</v>
      </c>
      <c r="DP100" s="17">
        <f>DO100*VLOOKUP('Données projet'!$B$14,Paramètres!$A$1:$I$89,3,0)*VLOOKUP('Données projet'!$B$14,Paramètres!$A$1:$I$89,5,0)</f>
        <v>-3.39923644787632E-13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443.64905827069435</v>
      </c>
      <c r="DU100" s="59">
        <f t="shared" si="98"/>
        <v>381.14782516862385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153.14521544061634</v>
      </c>
      <c r="EB100" s="21">
        <f>EXP(-LN(2)/25)*EB99+(1-EXP(-LN(2)/25))/(LN(2)/25)*Calculateur!DW100*Calculateur!DY100*VLOOKUP('Données projet'!$B$14,Paramètres!$A$1:$I$89,3,0)*0.475*44/12</f>
        <v>26.006409659169417</v>
      </c>
      <c r="EC100" s="21">
        <f>EXP(-LN(2)/2)*EC99+(1-EXP(-LN(2)/2))/(LN(2)/2)*DW100*DZ100*VLOOKUP('Données projet'!$B$14,Paramètres!$A$1:$I$89,3,0)*0.475*44/12</f>
        <v>2.8494407948683461E-2</v>
      </c>
      <c r="ED100" s="22">
        <f t="shared" si="72"/>
        <v>179.18011950773442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-3.4106051316484809E-13</v>
      </c>
      <c r="EK100" s="17">
        <f>EJ100*VLOOKUP('Données projet'!$B$15,Paramètres!$A$1:$I$89,3,0)*VLOOKUP('Données projet'!$B$15,Paramètres!$A$1:$I$89,5,0)</f>
        <v>-3.0859155231155454E-13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504.37890861635196</v>
      </c>
      <c r="EP100" s="59">
        <f t="shared" si="100"/>
        <v>611.82129317522913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33.607153953838214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33.607153953838214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3.6</v>
      </c>
      <c r="FE100" s="12">
        <f>IF('Données projet'!$A$218&gt;35,FE99+FD100-FM99,IF(A100&lt;'Données projet'!$A$218,$FB$205^A100,IF(A100='Données projet'!$A$218,'Données projet'!$B$218,FE99+FD100-FM99)))</f>
        <v>205.2</v>
      </c>
      <c r="FF100" s="17">
        <f>FE100*VLOOKUP('Données projet'!$B$16,Paramètres!$A$1:$I$89,3,0)*VLOOKUP('Données projet'!$B$16,Paramètres!$A$1:$I$89,5,0)</f>
        <v>220.87727999999998</v>
      </c>
      <c r="FG100" s="13">
        <f t="shared" si="101"/>
        <v>54.305514008302801</v>
      </c>
      <c r="FH100" s="20">
        <f t="shared" si="76"/>
        <v>479.27669956446061</v>
      </c>
      <c r="FI100" s="59">
        <f t="shared" si="77"/>
        <v>768.91669334592484</v>
      </c>
      <c r="FJ100" s="59">
        <f ca="1">AVERAGE(OFFSET($FI$3,0,0,'Données projet'!$E$16+1,1))-AVERAGE(OFFSET($H$3,0,0,'Données projet'!$E$16+1,1))</f>
        <v>334.01098870576732</v>
      </c>
      <c r="FK100" s="59">
        <f t="shared" si="102"/>
        <v>171.1802153303471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23.531608194172854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23.531608194172854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-1.7053025658242404E-13</v>
      </c>
      <c r="GA100" s="17">
        <f>FZ100*VLOOKUP('Données projet'!$B$17,Paramètres!$A$1:$I$89,3,0)*VLOOKUP('Données projet'!$B$17,Paramètres!$A$1:$I$89,5,0)</f>
        <v>-1.4897523215040567E-13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330.12856974146598</v>
      </c>
      <c r="GF100" s="59">
        <f t="shared" si="104"/>
        <v>321.23368446552286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83.648165282393492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83.648165282393492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68.992725576762965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2.8</v>
      </c>
      <c r="GU100" s="12">
        <f>IF('Données projet'!$A$270&gt;35,GU99+GT100-HC99,IF(A100&lt;'Données projet'!$A$270,$GR$205^A100,IF(A100='Données projet'!$A$270,'Données projet'!$B$270,GU99+GT100-HC99)))</f>
        <v>273.59999999999985</v>
      </c>
      <c r="GV100" s="17">
        <f>GU100*VLOOKUP('Données projet'!$B$18,Paramètres!$A$1:$I$89,3,0)*VLOOKUP('Données projet'!$B$18,Paramètres!$A$1:$I$89,5,0)</f>
        <v>183.53087999999991</v>
      </c>
      <c r="GW100" s="13">
        <f t="shared" si="105"/>
        <v>46.106851562826662</v>
      </c>
      <c r="GX100" s="20">
        <f t="shared" si="82"/>
        <v>399.95238247192287</v>
      </c>
      <c r="GY100" s="59">
        <f t="shared" si="83"/>
        <v>689.5923762533871</v>
      </c>
      <c r="GZ100" s="59">
        <f ca="1">AVERAGE(OFFSET($GY$3,0,0,'Données projet'!$E$18+1,1))-AVERAGE(OFFSET($H$3,0,0,'Données projet'!$E$18+1,1))</f>
        <v>296.67751292332753</v>
      </c>
      <c r="HA100" s="59">
        <f t="shared" si="106"/>
        <v>197.99510031603018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29.625970873793499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29.625970873793499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1.1000000000000001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4.0333333333333341</v>
      </c>
      <c r="H101" s="67">
        <f t="shared" si="56"/>
        <v>240.5333333333333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9">
        <f t="shared" si="55"/>
        <v>917.54992709645296</v>
      </c>
      <c r="S101" s="59">
        <f ca="1">AVERAGE(OFFSET($R$3,0,0,'Données projet'!$E$9+1,1))-AVERAGE(OFFSET($H$3,0,0,'Données projet'!$E$9+1,1))</f>
        <v>461.20962581398715</v>
      </c>
      <c r="T101" s="59">
        <f t="shared" si="88"/>
        <v>348.44322874953923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42.38016030165911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42.38016030165911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</v>
      </c>
      <c r="AJ101" s="13">
        <f>AI101*VLOOKUP('Données projet'!$B$10,Paramètres!$A$1:$I$89,3,0)*VLOOKUP('Données projet'!$B$10,Paramètres!$A$1:$I$89,5,0)</f>
        <v>326.3051999999999</v>
      </c>
      <c r="AK101" s="13">
        <f t="shared" si="89"/>
        <v>76.663779608302349</v>
      </c>
      <c r="AL101" s="20">
        <f t="shared" si="58"/>
        <v>701.8376394844596</v>
      </c>
      <c r="AM101" s="59">
        <f t="shared" si="59"/>
        <v>991.54170445007856</v>
      </c>
      <c r="AN101" s="59">
        <f ca="1">AVERAGE(OFFSET($AM$3,0,0,'Données projet'!$E$10+1,1))-AVERAGE(OFFSET($H$3,0,0,'Données projet'!$E$10+1,1))</f>
        <v>510.86584023875525</v>
      </c>
      <c r="AO101" s="59">
        <f t="shared" si="90"/>
        <v>384.62921487244125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47.495007234617972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47.495007234617972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4.1677594708744434E-14</v>
      </c>
      <c r="BF101" s="13">
        <f t="shared" si="91"/>
        <v>6.9326303456159188E-13</v>
      </c>
      <c r="BG101" s="20">
        <f t="shared" si="61"/>
        <v>1.2800215959791691E-12</v>
      </c>
      <c r="BH101" s="59">
        <f t="shared" si="62"/>
        <v>289.70406496562026</v>
      </c>
      <c r="BI101" s="59">
        <f ca="1">AVERAGE(OFFSET($BH$3,0,0,'Données projet'!$E$11+1,1))-AVERAGE(OFFSET($H$3,0,0,'Données projet'!$E$11+1,1))</f>
        <v>201.7253431547006</v>
      </c>
      <c r="BJ101" s="59">
        <f t="shared" si="92"/>
        <v>229.70004720044096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22.736471161428657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22.736471161428657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-1.2710188457276673E-13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462.09240749760784</v>
      </c>
      <c r="CE101" s="59">
        <f t="shared" si="94"/>
        <v>403.52202223463337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240.86470875724046</v>
      </c>
      <c r="CL101" s="21">
        <f>EXP(-LN(2)/25)*CL100+(1-EXP(-LN(2)/25))/(LN(2)/25)*Calculateur!CG101*Calculateur!CI101*VLOOKUP('Données projet'!$B$12,Paramètres!$A$1:$I$89,3,0)*0.475*44/12</f>
        <v>20.934016098093799</v>
      </c>
      <c r="CM101" s="21">
        <f>EXP(-LN(2)/2)*CM100+(1-EXP(-LN(2)/2))/(LN(2)/2)*CG101*CJ101*VLOOKUP('Données projet'!$B$12,Paramètres!$A$1:$I$89,3,0)*0.475*44/12</f>
        <v>3.427951981722626E-2</v>
      </c>
      <c r="CN101" s="22">
        <f t="shared" si="66"/>
        <v>261.83300437515152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319.88925869887464</v>
      </c>
      <c r="CZ101" s="59">
        <f t="shared" si="96"/>
        <v>258.2857172412098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115.1580720270378</v>
      </c>
      <c r="DG101" s="21">
        <f>EXP(-LN(2)/25)*DG100+(1-EXP(-LN(2)/25))/(LN(2)/25)*Calculateur!DB101*Calculateur!DD101*VLOOKUP('Données projet'!$B$13,Paramètres!$A$1:$I$89,3,0)*0.475*44/12</f>
        <v>29.011354628676305</v>
      </c>
      <c r="DH101" s="21">
        <f>EXP(-LN(2)/2)*DH100+(1-EXP(-LN(2)/2))/(LN(2)/2)*DB101*DE101*VLOOKUP('Données projet'!$B$13,Paramètres!$A$1:$I$89,3,0)*0.475*44/12</f>
        <v>8.2312214872209424E-2</v>
      </c>
      <c r="DI101" s="22">
        <f t="shared" si="69"/>
        <v>144.25173887058634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-5.6843418860808015E-13</v>
      </c>
      <c r="DP101" s="17">
        <f>DO101*VLOOKUP('Données projet'!$B$14,Paramètres!$A$1:$I$89,3,0)*VLOOKUP('Données projet'!$B$14,Paramètres!$A$1:$I$89,5,0)</f>
        <v>-3.39923644787632E-13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443.64905827069435</v>
      </c>
      <c r="DU101" s="59">
        <f t="shared" si="98"/>
        <v>381.14782516862385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150.14213117518386</v>
      </c>
      <c r="EB101" s="21">
        <f>EXP(-LN(2)/25)*EB100+(1-EXP(-LN(2)/25))/(LN(2)/25)*Calculateur!DW101*Calculateur!DY101*VLOOKUP('Données projet'!$B$14,Paramètres!$A$1:$I$89,3,0)*0.475*44/12</f>
        <v>25.295263019421785</v>
      </c>
      <c r="EC101" s="21">
        <f>EXP(-LN(2)/2)*EC100+(1-EXP(-LN(2)/2))/(LN(2)/2)*DW101*DZ101*VLOOKUP('Données projet'!$B$14,Paramètres!$A$1:$I$89,3,0)*0.475*44/12</f>
        <v>2.0148589086409936E-2</v>
      </c>
      <c r="ED101" s="22">
        <f t="shared" si="72"/>
        <v>175.45754278369205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-3.4106051316484809E-13</v>
      </c>
      <c r="EK101" s="17">
        <f>EJ101*VLOOKUP('Données projet'!$B$15,Paramètres!$A$1:$I$89,3,0)*VLOOKUP('Données projet'!$B$15,Paramètres!$A$1:$I$89,5,0)</f>
        <v>-3.0859155231155454E-13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504.37890861635196</v>
      </c>
      <c r="EP101" s="59">
        <f t="shared" si="100"/>
        <v>611.82129317522913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32.948138163143312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32.948138163143312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3.6</v>
      </c>
      <c r="FE101" s="12">
        <f>IF('Données projet'!$A$218&gt;35,FE100+FD101-FM100,IF(A101&lt;'Données projet'!$A$218,$FB$205^A101,IF(A101='Données projet'!$A$218,'Données projet'!$B$218,FE100+FD101-FM100)))</f>
        <v>208.79999999999998</v>
      </c>
      <c r="FF101" s="17">
        <f>FE101*VLOOKUP('Données projet'!$B$16,Paramètres!$A$1:$I$89,3,0)*VLOOKUP('Données projet'!$B$16,Paramètres!$A$1:$I$89,5,0)</f>
        <v>224.75231999999997</v>
      </c>
      <c r="FG101" s="13">
        <f t="shared" si="101"/>
        <v>55.146490754971083</v>
      </c>
      <c r="FH101" s="20">
        <f t="shared" si="76"/>
        <v>487.49042873157458</v>
      </c>
      <c r="FI101" s="59">
        <f t="shared" si="77"/>
        <v>777.19449369719359</v>
      </c>
      <c r="FJ101" s="59">
        <f ca="1">AVERAGE(OFFSET($FI$3,0,0,'Données projet'!$E$16+1,1))-AVERAGE(OFFSET($H$3,0,0,'Données projet'!$E$16+1,1))</f>
        <v>334.01098870576732</v>
      </c>
      <c r="FK101" s="59">
        <f t="shared" si="102"/>
        <v>171.1802153303471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23.070167710348894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23.070167710348894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-1.7053025658242404E-13</v>
      </c>
      <c r="GA101" s="17">
        <f>FZ101*VLOOKUP('Données projet'!$B$17,Paramètres!$A$1:$I$89,3,0)*VLOOKUP('Données projet'!$B$17,Paramètres!$A$1:$I$89,5,0)</f>
        <v>-1.4897523215040567E-13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330.12856974146598</v>
      </c>
      <c r="GF101" s="59">
        <f t="shared" si="104"/>
        <v>321.23368446552286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82.007875781548734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82.007875781548734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69.010199536077891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2.8</v>
      </c>
      <c r="GU101" s="12">
        <f>IF('Données projet'!$A$270&gt;35,GU100+GT101-HC100,IF(A101&lt;'Données projet'!$A$270,$GR$205^A101,IF(A101='Données projet'!$A$270,'Données projet'!$B$270,GU100+GT101-HC100)))</f>
        <v>276.39999999999986</v>
      </c>
      <c r="GV101" s="17">
        <f>GU101*VLOOKUP('Données projet'!$B$18,Paramètres!$A$1:$I$89,3,0)*VLOOKUP('Données projet'!$B$18,Paramètres!$A$1:$I$89,5,0)</f>
        <v>185.40911999999989</v>
      </c>
      <c r="GW101" s="13">
        <f t="shared" si="105"/>
        <v>46.523534142385415</v>
      </c>
      <c r="GX101" s="20">
        <f t="shared" si="82"/>
        <v>403.94937263132101</v>
      </c>
      <c r="GY101" s="59">
        <f t="shared" si="83"/>
        <v>693.65343759693997</v>
      </c>
      <c r="GZ101" s="59">
        <f ca="1">AVERAGE(OFFSET($GY$3,0,0,'Données projet'!$E$18+1,1))-AVERAGE(OFFSET($H$3,0,0,'Données projet'!$E$18+1,1))</f>
        <v>296.67751292332753</v>
      </c>
      <c r="HA101" s="59">
        <f t="shared" si="106"/>
        <v>197.99510031603018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29.045023655016372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29.045023655016372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1.1000000000000001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4.0333333333333341</v>
      </c>
      <c r="H102" s="67">
        <f t="shared" si="56"/>
        <v>240.5333333333333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327.39999999999992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9">
        <f t="shared" si="55"/>
        <v>928.29230358567975</v>
      </c>
      <c r="S102" s="59">
        <f ca="1">AVERAGE(OFFSET($R$3,0,0,'Données projet'!$E$9+1,1))-AVERAGE(OFFSET($H$3,0,0,'Données projet'!$E$9+1,1))</f>
        <v>461.20962581398715</v>
      </c>
      <c r="T102" s="59">
        <f t="shared" si="88"/>
        <v>348.44322874953923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41.549111207488949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41.549111207488949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327.39999999999992</v>
      </c>
      <c r="AJ102" s="13">
        <f>AI102*VLOOKUP('Données projet'!$B$10,Paramètres!$A$1:$I$89,3,0)*VLOOKUP('Données projet'!$B$10,Paramètres!$A$1:$I$89,5,0)</f>
        <v>331.98359999999991</v>
      </c>
      <c r="AK102" s="13">
        <f t="shared" si="89"/>
        <v>77.841414511052136</v>
      </c>
      <c r="AL102" s="20">
        <f t="shared" si="58"/>
        <v>713.77856694008221</v>
      </c>
      <c r="AM102" s="59">
        <f t="shared" si="59"/>
        <v>1003.5455915980524</v>
      </c>
      <c r="AN102" s="59">
        <f ca="1">AVERAGE(OFFSET($AM$3,0,0,'Données projet'!$E$10+1,1))-AVERAGE(OFFSET($H$3,0,0,'Données projet'!$E$10+1,1))</f>
        <v>510.86584023875525</v>
      </c>
      <c r="AO102" s="59">
        <f t="shared" si="90"/>
        <v>384.62921487244125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46.563659111841069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46.563659111841069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4.1677594708744434E-14</v>
      </c>
      <c r="BF102" s="13">
        <f t="shared" si="91"/>
        <v>6.9326303456159188E-13</v>
      </c>
      <c r="BG102" s="20">
        <f t="shared" si="61"/>
        <v>1.2800215959791691E-12</v>
      </c>
      <c r="BH102" s="59">
        <f t="shared" si="62"/>
        <v>289.76702465797155</v>
      </c>
      <c r="BI102" s="59">
        <f ca="1">AVERAGE(OFFSET($BH$3,0,0,'Données projet'!$E$11+1,1))-AVERAGE(OFFSET($H$3,0,0,'Données projet'!$E$11+1,1))</f>
        <v>201.7253431547006</v>
      </c>
      <c r="BJ102" s="59">
        <f t="shared" si="92"/>
        <v>229.70004720044096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22.290622829831111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22.290622829831111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-1.2710188457276673E-13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462.09240749760784</v>
      </c>
      <c r="CE102" s="59">
        <f t="shared" si="94"/>
        <v>403.52202223463337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236.14149873147687</v>
      </c>
      <c r="CL102" s="21">
        <f>EXP(-LN(2)/25)*CL101+(1-EXP(-LN(2)/25))/(LN(2)/25)*Calculateur!CG102*Calculateur!CI102*VLOOKUP('Données projet'!$B$12,Paramètres!$A$1:$I$89,3,0)*0.475*44/12</f>
        <v>20.361574327019362</v>
      </c>
      <c r="CM102" s="21">
        <f>EXP(-LN(2)/2)*CM101+(1-EXP(-LN(2)/2))/(LN(2)/2)*CG102*CJ102*VLOOKUP('Données projet'!$B$12,Paramètres!$A$1:$I$89,3,0)*0.475*44/12</f>
        <v>2.4239280918579329E-2</v>
      </c>
      <c r="CN102" s="22">
        <f t="shared" si="66"/>
        <v>256.52731233941483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319.88925869887464</v>
      </c>
      <c r="CZ102" s="59">
        <f t="shared" si="96"/>
        <v>258.2857172412098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112.89989247407595</v>
      </c>
      <c r="DG102" s="21">
        <f>EXP(-LN(2)/25)*DG101+(1-EXP(-LN(2)/25))/(LN(2)/25)*Calculateur!DB102*Calculateur!DD102*VLOOKUP('Données projet'!$B$13,Paramètres!$A$1:$I$89,3,0)*0.475*44/12</f>
        <v>28.218037610714319</v>
      </c>
      <c r="DH102" s="21">
        <f>EXP(-LN(2)/2)*DH101+(1-EXP(-LN(2)/2))/(LN(2)/2)*DB102*DE102*VLOOKUP('Données projet'!$B$13,Paramètres!$A$1:$I$89,3,0)*0.475*44/12</f>
        <v>5.8203525310623477E-2</v>
      </c>
      <c r="DI102" s="22">
        <f t="shared" si="69"/>
        <v>141.17613361010089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-5.6843418860808015E-13</v>
      </c>
      <c r="DP102" s="17">
        <f>DO102*VLOOKUP('Données projet'!$B$14,Paramètres!$A$1:$I$89,3,0)*VLOOKUP('Données projet'!$B$14,Paramètres!$A$1:$I$89,5,0)</f>
        <v>-3.39923644787632E-13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443.64905827069435</v>
      </c>
      <c r="DU102" s="59">
        <f t="shared" si="98"/>
        <v>381.14782516862385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147.19793556049598</v>
      </c>
      <c r="EB102" s="21">
        <f>EXP(-LN(2)/25)*EB101+(1-EXP(-LN(2)/25))/(LN(2)/25)*Calculateur!DW102*Calculateur!DY102*VLOOKUP('Données projet'!$B$14,Paramètres!$A$1:$I$89,3,0)*0.475*44/12</f>
        <v>24.603562721935628</v>
      </c>
      <c r="EC102" s="21">
        <f>EXP(-LN(2)/2)*EC101+(1-EXP(-LN(2)/2))/(LN(2)/2)*DW102*DZ102*VLOOKUP('Données projet'!$B$14,Paramètres!$A$1:$I$89,3,0)*0.475*44/12</f>
        <v>1.4247203974341731E-2</v>
      </c>
      <c r="ED102" s="22">
        <f t="shared" si="72"/>
        <v>171.81574548640594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-3.4106051316484809E-13</v>
      </c>
      <c r="EK102" s="17">
        <f>EJ102*VLOOKUP('Données projet'!$B$15,Paramètres!$A$1:$I$89,3,0)*VLOOKUP('Données projet'!$B$15,Paramètres!$A$1:$I$89,5,0)</f>
        <v>-3.0859155231155454E-13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504.37890861635196</v>
      </c>
      <c r="EP102" s="59">
        <f t="shared" si="100"/>
        <v>611.82129317522913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32.302045270143999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32.302045270143999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3.6</v>
      </c>
      <c r="FE102" s="12">
        <f>IF('Données projet'!$A$218&gt;35,FE101+FD102-FM101,IF(A102&lt;'Données projet'!$A$218,$FB$205^A102,IF(A102='Données projet'!$A$218,'Données projet'!$B$218,FE101+FD102-FM101)))</f>
        <v>212.39999999999998</v>
      </c>
      <c r="FF102" s="17">
        <f>FE102*VLOOKUP('Données projet'!$B$16,Paramètres!$A$1:$I$89,3,0)*VLOOKUP('Données projet'!$B$16,Paramètres!$A$1:$I$89,5,0)</f>
        <v>228.62735999999998</v>
      </c>
      <c r="FG102" s="13">
        <f t="shared" si="101"/>
        <v>55.985781352428695</v>
      </c>
      <c r="FH102" s="20">
        <f t="shared" si="76"/>
        <v>495.70122118881324</v>
      </c>
      <c r="FI102" s="59">
        <f t="shared" si="77"/>
        <v>785.46824584678347</v>
      </c>
      <c r="FJ102" s="59">
        <f ca="1">AVERAGE(OFFSET($FI$3,0,0,'Données projet'!$E$16+1,1))-AVERAGE(OFFSET($H$3,0,0,'Données projet'!$E$16+1,1))</f>
        <v>334.01098870576732</v>
      </c>
      <c r="FK102" s="59">
        <f t="shared" si="102"/>
        <v>171.1802153303471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22.617775792961819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22.617775792961819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-1.7053025658242404E-13</v>
      </c>
      <c r="GA102" s="17">
        <f>FZ102*VLOOKUP('Données projet'!$B$17,Paramètres!$A$1:$I$89,3,0)*VLOOKUP('Données projet'!$B$17,Paramètres!$A$1:$I$89,5,0)</f>
        <v>-1.4897523215040567E-13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330.12856974146598</v>
      </c>
      <c r="GF102" s="59">
        <f t="shared" si="104"/>
        <v>321.23368446552286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80.399751357337735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80.399751357337735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69.027370361264602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2.8</v>
      </c>
      <c r="GU102" s="12">
        <f>IF('Données projet'!$A$270&gt;35,GU101+GT102-HC101,IF(A102&lt;'Données projet'!$A$270,$GR$205^A102,IF(A102='Données projet'!$A$270,'Données projet'!$B$270,GU101+GT102-HC101)))</f>
        <v>279.19999999999987</v>
      </c>
      <c r="GV102" s="17">
        <f>GU102*VLOOKUP('Données projet'!$B$18,Paramètres!$A$1:$I$89,3,0)*VLOOKUP('Données projet'!$B$18,Paramètres!$A$1:$I$89,5,0)</f>
        <v>187.28735999999992</v>
      </c>
      <c r="GW102" s="13">
        <f t="shared" si="105"/>
        <v>46.939725666933739</v>
      </c>
      <c r="GX102" s="20">
        <f t="shared" si="82"/>
        <v>407.94550753657609</v>
      </c>
      <c r="GY102" s="59">
        <f t="shared" si="83"/>
        <v>697.71253219454638</v>
      </c>
      <c r="GZ102" s="59">
        <f ca="1">AVERAGE(OFFSET($GY$3,0,0,'Données projet'!$E$18+1,1))-AVERAGE(OFFSET($H$3,0,0,'Données projet'!$E$18+1,1))</f>
        <v>296.67751292332753</v>
      </c>
      <c r="HA102" s="59">
        <f t="shared" si="106"/>
        <v>197.99510031603018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28.47546845685665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28.47546845685665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1.1000000000000001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4.0333333333333341</v>
      </c>
      <c r="H103" s="67">
        <f t="shared" si="56"/>
        <v>240.5333333333333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332.99999999999994</v>
      </c>
      <c r="O103" s="13">
        <f>N103*VLOOKUP('Données projet'!$B$9,Paramètres!$A$1:$I$89,3,0)*VLOOKUP('Données projet'!$B$9,Paramètres!$A$1:$I$89,5,0)</f>
        <v>301.29839999999996</v>
      </c>
      <c r="P103" s="13">
        <f t="shared" si="87"/>
        <v>71.448589534990518</v>
      </c>
      <c r="Q103" s="20">
        <f t="shared" si="107"/>
        <v>649.20100677344169</v>
      </c>
      <c r="R103" s="59">
        <f t="shared" si="55"/>
        <v>939.02989891385778</v>
      </c>
      <c r="S103" s="59">
        <f ca="1">AVERAGE(OFFSET($R$3,0,0,'Données projet'!$E$9+1,1))-AVERAGE(OFFSET($H$3,0,0,'Données projet'!$E$9+1,1))</f>
        <v>461.20962581398715</v>
      </c>
      <c r="T103" s="59">
        <f t="shared" si="88"/>
        <v>348.44322874953923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50.024490998405895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50.024490998405895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332.99999999999994</v>
      </c>
      <c r="AJ103" s="13">
        <f>AI103*VLOOKUP('Données projet'!$B$10,Paramètres!$A$1:$I$89,3,0)*VLOOKUP('Données projet'!$B$10,Paramètres!$A$1:$I$89,5,0)</f>
        <v>337.66199999999998</v>
      </c>
      <c r="AK103" s="13">
        <f t="shared" si="89"/>
        <v>79.016707002632685</v>
      </c>
      <c r="AL103" s="20">
        <f t="shared" si="58"/>
        <v>725.71541469625197</v>
      </c>
      <c r="AM103" s="59">
        <f t="shared" si="59"/>
        <v>1015.5443068366681</v>
      </c>
      <c r="AN103" s="59">
        <f ca="1">AVERAGE(OFFSET($AM$3,0,0,'Données projet'!$E$10+1,1))-AVERAGE(OFFSET($H$3,0,0,'Données projet'!$E$10+1,1))</f>
        <v>510.86584023875525</v>
      </c>
      <c r="AO103" s="59">
        <f t="shared" si="90"/>
        <v>384.62921487244125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56.061929567179028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56.061929567179028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4.1677594708744434E-14</v>
      </c>
      <c r="BF103" s="13">
        <f t="shared" si="91"/>
        <v>6.9326303456159188E-13</v>
      </c>
      <c r="BG103" s="20">
        <f t="shared" si="61"/>
        <v>1.2800215959791691E-12</v>
      </c>
      <c r="BH103" s="59">
        <f t="shared" si="62"/>
        <v>289.82889214041734</v>
      </c>
      <c r="BI103" s="59">
        <f ca="1">AVERAGE(OFFSET($BH$3,0,0,'Données projet'!$E$11+1,1))-AVERAGE(OFFSET($H$3,0,0,'Données projet'!$E$11+1,1))</f>
        <v>201.7253431547006</v>
      </c>
      <c r="BJ103" s="59">
        <f t="shared" si="92"/>
        <v>229.70004720044096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21.853517312075564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21.853517312075564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-1.2710188457276673E-13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462.09240749760784</v>
      </c>
      <c r="CE103" s="59">
        <f t="shared" si="94"/>
        <v>403.52202223463337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231.51090797344486</v>
      </c>
      <c r="CL103" s="21">
        <f>EXP(-LN(2)/25)*CL102+(1-EXP(-LN(2)/25))/(LN(2)/25)*Calculateur!CG103*Calculateur!CI103*VLOOKUP('Données projet'!$B$12,Paramètres!$A$1:$I$89,3,0)*0.475*44/12</f>
        <v>19.804786006278359</v>
      </c>
      <c r="CM103" s="21">
        <f>EXP(-LN(2)/2)*CM102+(1-EXP(-LN(2)/2))/(LN(2)/2)*CG103*CJ103*VLOOKUP('Données projet'!$B$12,Paramètres!$A$1:$I$89,3,0)*0.475*44/12</f>
        <v>1.713975990861313E-2</v>
      </c>
      <c r="CN103" s="22">
        <f t="shared" si="66"/>
        <v>251.33283373963184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319.88925869887464</v>
      </c>
      <c r="CZ103" s="59">
        <f t="shared" si="96"/>
        <v>258.2857172412098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110.68599444479416</v>
      </c>
      <c r="DG103" s="21">
        <f>EXP(-LN(2)/25)*DG102+(1-EXP(-LN(2)/25))/(LN(2)/25)*Calculateur!DB103*Calculateur!DD103*VLOOKUP('Données projet'!$B$13,Paramètres!$A$1:$I$89,3,0)*0.475*44/12</f>
        <v>27.446413888327232</v>
      </c>
      <c r="DH103" s="21">
        <f>EXP(-LN(2)/2)*DH102+(1-EXP(-LN(2)/2))/(LN(2)/2)*DB103*DE103*VLOOKUP('Données projet'!$B$13,Paramètres!$A$1:$I$89,3,0)*0.475*44/12</f>
        <v>4.1156107436104719E-2</v>
      </c>
      <c r="DI103" s="22">
        <f t="shared" si="69"/>
        <v>138.1735644405575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-5.6843418860808015E-13</v>
      </c>
      <c r="DP103" s="17">
        <f>DO103*VLOOKUP('Données projet'!$B$14,Paramètres!$A$1:$I$89,3,0)*VLOOKUP('Données projet'!$B$14,Paramètres!$A$1:$I$89,5,0)</f>
        <v>-3.39923644787632E-13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443.64905827069435</v>
      </c>
      <c r="DU103" s="59">
        <f t="shared" si="98"/>
        <v>381.14782516862385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144.31147382603012</v>
      </c>
      <c r="EB103" s="21">
        <f>EXP(-LN(2)/25)*EB102+(1-EXP(-LN(2)/25))/(LN(2)/25)*Calculateur!DW103*Calculateur!DY103*VLOOKUP('Données projet'!$B$14,Paramètres!$A$1:$I$89,3,0)*0.475*44/12</f>
        <v>23.930777005459166</v>
      </c>
      <c r="EC103" s="21">
        <f>EXP(-LN(2)/2)*EC102+(1-EXP(-LN(2)/2))/(LN(2)/2)*DW103*DZ103*VLOOKUP('Données projet'!$B$14,Paramètres!$A$1:$I$89,3,0)*0.475*44/12</f>
        <v>1.0074294543204968E-2</v>
      </c>
      <c r="ED103" s="22">
        <f t="shared" si="72"/>
        <v>168.2523251260325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-3.4106051316484809E-13</v>
      </c>
      <c r="EK103" s="17">
        <f>EJ103*VLOOKUP('Données projet'!$B$15,Paramètres!$A$1:$I$89,3,0)*VLOOKUP('Données projet'!$B$15,Paramètres!$A$1:$I$89,5,0)</f>
        <v>-3.0859155231155454E-13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504.37890861635196</v>
      </c>
      <c r="EP103" s="59">
        <f t="shared" si="100"/>
        <v>611.82129317522913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31.66862186469865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31.66862186469865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216</v>
      </c>
      <c r="FC103" s="12">
        <f>VLOOKUP(A103,'Données projet'!$A$217:$I$237,9,0)</f>
        <v>3.6</v>
      </c>
      <c r="FD103" s="12">
        <f t="array" ref="FD103">INDEX(FC:FC,MIN(IF(ISNUMBER(FC103:FC299),ROW(FC103:FC299),"")))</f>
        <v>3.6</v>
      </c>
      <c r="FE103" s="12">
        <f>IF('Données projet'!$A$218&gt;35,FE102+FD103-FM102,IF(A103&lt;'Données projet'!$A$218,$FB$205^A103,IF(A103='Données projet'!$A$218,'Données projet'!$B$218,FE102+FD103-FM102)))</f>
        <v>215.99999999999997</v>
      </c>
      <c r="FF103" s="17">
        <f>FE103*VLOOKUP('Données projet'!$B$16,Paramètres!$A$1:$I$89,3,0)*VLOOKUP('Données projet'!$B$16,Paramètres!$A$1:$I$89,5,0)</f>
        <v>232.50239999999994</v>
      </c>
      <c r="FG103" s="13">
        <f t="shared" si="101"/>
        <v>56.823417677671891</v>
      </c>
      <c r="FH103" s="20">
        <f t="shared" si="76"/>
        <v>503.90913245527832</v>
      </c>
      <c r="FI103" s="59">
        <f t="shared" si="77"/>
        <v>793.73802459569436</v>
      </c>
      <c r="FJ103" s="59">
        <f ca="1">AVERAGE(OFFSET($FI$3,0,0,'Données projet'!$E$16+1,1))-AVERAGE(OFFSET($H$3,0,0,'Données projet'!$E$16+1,1))</f>
        <v>334.01098870576732</v>
      </c>
      <c r="FK103" s="59">
        <f t="shared" si="102"/>
        <v>171.1802153303471</v>
      </c>
      <c r="FL103" s="15">
        <f>IF(ISNA(VLOOKUP(A103,'Données projet'!$A$217:$I$237,3,0)),0,VLOOKUP(A103,'Données projet'!$A$217:$I$237,3,0))</f>
        <v>16</v>
      </c>
      <c r="FM103" s="15">
        <f>IF(ISNA(VLOOKUP(A103,'Données projet'!$A$217:$I$237,4,0)),0,VLOOKUP(A103,'Données projet'!$A$217:$I$237,4,0))</f>
        <v>14</v>
      </c>
      <c r="FN103" s="16">
        <f>IF(ISNA(VLOOKUP(A103,'Données projet'!$A$217:$I$237,5,0)),0%,VLOOKUP(A103,'Données projet'!$A$217:$I$237,5,0)*VLOOKUP('Données projet'!$B$16,Paramètres!$A$1:$I$89,7,0))</f>
        <v>0.30099999999999999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27.188612930997216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27.188612930997216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-1.7053025658242404E-13</v>
      </c>
      <c r="GA103" s="17">
        <f>FZ103*VLOOKUP('Données projet'!$B$17,Paramètres!$A$1:$I$89,3,0)*VLOOKUP('Données projet'!$B$17,Paramètres!$A$1:$I$89,5,0)</f>
        <v>-1.4897523215040567E-13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330.12856974146598</v>
      </c>
      <c r="GF103" s="59">
        <f t="shared" si="104"/>
        <v>321.23368446552286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78.823161272226471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78.823161272226471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69.044243311022555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282</v>
      </c>
      <c r="GS103" s="12">
        <f>VLOOKUP(A103,'Données projet'!$A$269:$I$289,9,0)</f>
        <v>2.8</v>
      </c>
      <c r="GT103" s="12">
        <f t="array" ref="GT103">INDEX(GS:GS,MIN(IF(ISNUMBER(GS103:GS299),ROW(GS103:GS299),"")))</f>
        <v>2.8</v>
      </c>
      <c r="GU103" s="12">
        <f>IF('Données projet'!$A$270&gt;35,GU102+GT103-HC102,IF(A103&lt;'Données projet'!$A$270,$GR$205^A103,IF(A103='Données projet'!$A$270,'Données projet'!$B$270,GU102+GT103-HC102)))</f>
        <v>281.99999999999989</v>
      </c>
      <c r="GV103" s="17">
        <f>GU103*VLOOKUP('Données projet'!$B$18,Paramètres!$A$1:$I$89,3,0)*VLOOKUP('Données projet'!$B$18,Paramètres!$A$1:$I$89,5,0)</f>
        <v>189.16559999999993</v>
      </c>
      <c r="GW103" s="13">
        <f t="shared" si="105"/>
        <v>47.355431631295275</v>
      </c>
      <c r="GX103" s="20">
        <f t="shared" si="82"/>
        <v>411.94079675783911</v>
      </c>
      <c r="GY103" s="59">
        <f t="shared" si="83"/>
        <v>701.76968889825514</v>
      </c>
      <c r="GZ103" s="59">
        <f ca="1">AVERAGE(OFFSET($GY$3,0,0,'Données projet'!$E$18+1,1))-AVERAGE(OFFSET($H$3,0,0,'Données projet'!$E$18+1,1))</f>
        <v>296.67751292332753</v>
      </c>
      <c r="HA103" s="59">
        <f t="shared" si="106"/>
        <v>197.99510031603018</v>
      </c>
      <c r="HB103" s="15">
        <f>IF(ISNA(VLOOKUP(A103,'Données projet'!$A$269:$I$289,3,0)),0,VLOOKUP(A103,'Données projet'!$A$269:$I$289,3,0))</f>
        <v>17</v>
      </c>
      <c r="HC103" s="15">
        <f>IF(ISNA(VLOOKUP(A103,'Données projet'!$A$269:$I$289,4,0)),0,VLOOKUP(A103,'Données projet'!$A$269:$I$289,4,0))</f>
        <v>21</v>
      </c>
      <c r="HD103" s="16">
        <f>IF(ISNA(VLOOKUP(A103,'Données projet'!$A$269:$I$289,5,0)),0%,VLOOKUP(A103,'Données projet'!$A$269:$I$289,5,0)*VLOOKUP('Données projet'!$B$18,Paramètres!$A$1:$I$89,7,0))</f>
        <v>0.371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33.694494281570634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33.694494281570634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1.1000000000000001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4.0333333333333341</v>
      </c>
      <c r="H104" s="67">
        <f t="shared" si="56"/>
        <v>240.5333333333333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311.19999999999993</v>
      </c>
      <c r="O104" s="13">
        <f>N104*VLOOKUP('Données projet'!$B$9,Paramètres!$A$1:$I$89,3,0)*VLOOKUP('Données projet'!$B$9,Paramètres!$A$1:$I$89,5,0)</f>
        <v>281.57375999999994</v>
      </c>
      <c r="P104" s="13">
        <f t="shared" si="87"/>
        <v>67.299481043334993</v>
      </c>
      <c r="Q104" s="20">
        <f t="shared" si="107"/>
        <v>607.62089481714168</v>
      </c>
      <c r="R104" s="59">
        <f t="shared" si="55"/>
        <v>897.51058117749801</v>
      </c>
      <c r="S104" s="59">
        <f ca="1">AVERAGE(OFFSET($R$3,0,0,'Données projet'!$E$9+1,1))-AVERAGE(OFFSET($H$3,0,0,'Données projet'!$E$9+1,1))</f>
        <v>461.20962581398715</v>
      </c>
      <c r="T104" s="59">
        <f t="shared" si="88"/>
        <v>348.44322874953923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49.043541241853859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49.043541241853859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311.19999999999993</v>
      </c>
      <c r="AJ104" s="13">
        <f>AI104*VLOOKUP('Données projet'!$B$10,Paramètres!$A$1:$I$89,3,0)*VLOOKUP('Données projet'!$B$10,Paramètres!$A$1:$I$89,5,0)</f>
        <v>315.55679999999995</v>
      </c>
      <c r="AK104" s="13">
        <f t="shared" si="89"/>
        <v>74.42810851327107</v>
      </c>
      <c r="AL104" s="20">
        <f t="shared" si="58"/>
        <v>679.22371566061372</v>
      </c>
      <c r="AM104" s="59">
        <f t="shared" si="59"/>
        <v>969.11340202097006</v>
      </c>
      <c r="AN104" s="59">
        <f ca="1">AVERAGE(OFFSET($AM$3,0,0,'Données projet'!$E$10+1,1))-AVERAGE(OFFSET($H$3,0,0,'Données projet'!$E$10+1,1))</f>
        <v>510.86584023875525</v>
      </c>
      <c r="AO104" s="59">
        <f t="shared" si="90"/>
        <v>384.62921487244125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54.962589322767265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54.962589322767265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4.1677594708744434E-14</v>
      </c>
      <c r="BF104" s="13">
        <f t="shared" si="91"/>
        <v>6.9326303456159188E-13</v>
      </c>
      <c r="BG104" s="20">
        <f t="shared" si="61"/>
        <v>1.2800215959791691E-12</v>
      </c>
      <c r="BH104" s="59">
        <f t="shared" si="62"/>
        <v>289.88968636035764</v>
      </c>
      <c r="BI104" s="59">
        <f ca="1">AVERAGE(OFFSET($BH$3,0,0,'Données projet'!$E$11+1,1))-AVERAGE(OFFSET($H$3,0,0,'Données projet'!$E$11+1,1))</f>
        <v>201.7253431547006</v>
      </c>
      <c r="BJ104" s="59">
        <f t="shared" si="92"/>
        <v>229.70004720044096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21.424983166915162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21.424983166915162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-1.2710188457276673E-13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462.09240749760784</v>
      </c>
      <c r="CE104" s="59">
        <f t="shared" si="94"/>
        <v>403.52202223463337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226.97112027579635</v>
      </c>
      <c r="CL104" s="21">
        <f>EXP(-LN(2)/25)*CL103+(1-EXP(-LN(2)/25))/(LN(2)/25)*Calculateur!CG104*Calculateur!CI104*VLOOKUP('Données projet'!$B$12,Paramètres!$A$1:$I$89,3,0)*0.475*44/12</f>
        <v>19.263223091448246</v>
      </c>
      <c r="CM104" s="21">
        <f>EXP(-LN(2)/2)*CM103+(1-EXP(-LN(2)/2))/(LN(2)/2)*CG104*CJ104*VLOOKUP('Données projet'!$B$12,Paramètres!$A$1:$I$89,3,0)*0.475*44/12</f>
        <v>1.2119640459289665E-2</v>
      </c>
      <c r="CN104" s="22">
        <f t="shared" si="66"/>
        <v>246.24646300770391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319.88925869887464</v>
      </c>
      <c r="CZ104" s="59">
        <f t="shared" si="96"/>
        <v>258.2857172412098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108.51550960552213</v>
      </c>
      <c r="DG104" s="21">
        <f>EXP(-LN(2)/25)*DG103+(1-EXP(-LN(2)/25))/(LN(2)/25)*Calculateur!DB104*Calculateur!DD104*VLOOKUP('Données projet'!$B$13,Paramètres!$A$1:$I$89,3,0)*0.475*44/12</f>
        <v>26.695890257206749</v>
      </c>
      <c r="DH104" s="21">
        <f>EXP(-LN(2)/2)*DH103+(1-EXP(-LN(2)/2))/(LN(2)/2)*DB104*DE104*VLOOKUP('Données projet'!$B$13,Paramètres!$A$1:$I$89,3,0)*0.475*44/12</f>
        <v>2.9101762655311742E-2</v>
      </c>
      <c r="DI104" s="22">
        <f t="shared" si="69"/>
        <v>135.24050162538418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-5.6843418860808015E-13</v>
      </c>
      <c r="DP104" s="17">
        <f>DO104*VLOOKUP('Données projet'!$B$14,Paramètres!$A$1:$I$89,3,0)*VLOOKUP('Données projet'!$B$14,Paramètres!$A$1:$I$89,5,0)</f>
        <v>-3.39923644787632E-13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443.64905827069435</v>
      </c>
      <c r="DU104" s="59">
        <f t="shared" si="98"/>
        <v>381.14782516862385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141.48161384560933</v>
      </c>
      <c r="EB104" s="21">
        <f>EXP(-LN(2)/25)*EB103+(1-EXP(-LN(2)/25))/(LN(2)/25)*Calculateur!DW104*Calculateur!DY104*VLOOKUP('Données projet'!$B$14,Paramètres!$A$1:$I$89,3,0)*0.475*44/12</f>
        <v>23.276388649780017</v>
      </c>
      <c r="EC104" s="21">
        <f>EXP(-LN(2)/2)*EC103+(1-EXP(-LN(2)/2))/(LN(2)/2)*DW104*DZ104*VLOOKUP('Données projet'!$B$14,Paramètres!$A$1:$I$89,3,0)*0.475*44/12</f>
        <v>7.1236019871708653E-3</v>
      </c>
      <c r="ED104" s="22">
        <f t="shared" si="72"/>
        <v>164.76512609737651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-3.4106051316484809E-13</v>
      </c>
      <c r="EK104" s="17">
        <f>EJ104*VLOOKUP('Données projet'!$B$15,Paramètres!$A$1:$I$89,3,0)*VLOOKUP('Données projet'!$B$15,Paramètres!$A$1:$I$89,5,0)</f>
        <v>-3.0859155231155454E-13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504.37890861635196</v>
      </c>
      <c r="EP104" s="59">
        <f t="shared" si="100"/>
        <v>611.82129317522913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31.047619505883954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31.047619505883954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3.2</v>
      </c>
      <c r="FE104" s="12">
        <f>IF('Données projet'!$A$218&gt;35,FE103+FD104-FM103,IF(A104&lt;'Données projet'!$A$218,$FB$205^A104,IF(A104='Données projet'!$A$218,'Données projet'!$B$218,FE103+FD104-FM103)))</f>
        <v>205.19999999999996</v>
      </c>
      <c r="FF104" s="17">
        <f>FE104*VLOOKUP('Données projet'!$B$16,Paramètres!$A$1:$I$89,3,0)*VLOOKUP('Données projet'!$B$16,Paramètres!$A$1:$I$89,5,0)</f>
        <v>220.87727999999996</v>
      </c>
      <c r="FG104" s="13">
        <f t="shared" si="101"/>
        <v>54.305514008302801</v>
      </c>
      <c r="FH104" s="20">
        <f t="shared" si="76"/>
        <v>479.27669956446061</v>
      </c>
      <c r="FI104" s="59">
        <f t="shared" si="77"/>
        <v>769.16638592481695</v>
      </c>
      <c r="FJ104" s="59">
        <f ca="1">AVERAGE(OFFSET($FI$3,0,0,'Données projet'!$E$16+1,1))-AVERAGE(OFFSET($H$3,0,0,'Données projet'!$E$16+1,1))</f>
        <v>334.01098870576732</v>
      </c>
      <c r="FK104" s="59">
        <f t="shared" si="102"/>
        <v>171.1802153303471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26.655460814836772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26.655460814836772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-1.7053025658242404E-13</v>
      </c>
      <c r="GA104" s="17">
        <f>FZ104*VLOOKUP('Données projet'!$B$17,Paramètres!$A$1:$I$89,3,0)*VLOOKUP('Données projet'!$B$17,Paramètres!$A$1:$I$89,5,0)</f>
        <v>-1.4897523215040567E-13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330.12856974146598</v>
      </c>
      <c r="GF104" s="59">
        <f t="shared" si="104"/>
        <v>321.23368446552286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77.277487157059241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77.277487157059241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69.060823552824459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4.4000000000000004</v>
      </c>
      <c r="GU104" s="12">
        <f>IF('Données projet'!$A$270&gt;35,GU103+GT104-HC103,IF(A104&lt;'Données projet'!$A$270,$GR$205^A104,IF(A104='Données projet'!$A$270,'Données projet'!$B$270,GU103+GT104-HC103)))</f>
        <v>265.39999999999986</v>
      </c>
      <c r="GV104" s="17">
        <f>GU104*VLOOKUP('Données projet'!$B$18,Paramètres!$A$1:$I$89,3,0)*VLOOKUP('Données projet'!$B$18,Paramètres!$A$1:$I$89,5,0)</f>
        <v>178.0303199999999</v>
      </c>
      <c r="GW104" s="13">
        <f t="shared" si="105"/>
        <v>44.883688428064303</v>
      </c>
      <c r="GX104" s="20">
        <f t="shared" si="82"/>
        <v>388.24189801221178</v>
      </c>
      <c r="GY104" s="59">
        <f t="shared" si="83"/>
        <v>678.13158437256811</v>
      </c>
      <c r="GZ104" s="59">
        <f ca="1">AVERAGE(OFFSET($GY$3,0,0,'Données projet'!$E$18+1,1))-AVERAGE(OFFSET($H$3,0,0,'Données projet'!$E$18+1,1))</f>
        <v>296.67751292332753</v>
      </c>
      <c r="HA104" s="59">
        <f t="shared" si="106"/>
        <v>197.99510031603018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33.033765800321241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33.033765800321241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1.1000000000000001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4.0333333333333341</v>
      </c>
      <c r="H105" s="67">
        <f t="shared" si="56"/>
        <v>240.5333333333333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316.39999999999992</v>
      </c>
      <c r="O105" s="13">
        <f>N105*VLOOKUP('Données projet'!$B$9,Paramètres!$A$1:$I$89,3,0)*VLOOKUP('Données projet'!$B$9,Paramètres!$A$1:$I$89,5,0)</f>
        <v>286.27871999999991</v>
      </c>
      <c r="P105" s="13">
        <f t="shared" si="87"/>
        <v>68.292165517667542</v>
      </c>
      <c r="Q105" s="20">
        <f t="shared" si="107"/>
        <v>617.5442922766041</v>
      </c>
      <c r="R105" s="59">
        <f t="shared" si="55"/>
        <v>907.49371821310035</v>
      </c>
      <c r="S105" s="59">
        <f ca="1">AVERAGE(OFFSET($R$3,0,0,'Données projet'!$E$9+1,1))-AVERAGE(OFFSET($H$3,0,0,'Données projet'!$E$9+1,1))</f>
        <v>461.20962581398715</v>
      </c>
      <c r="T105" s="59">
        <f t="shared" si="88"/>
        <v>348.44322874953923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48.081827311707542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48.081827311707542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316.39999999999992</v>
      </c>
      <c r="AJ105" s="13">
        <f>AI105*VLOOKUP('Données projet'!$B$10,Paramètres!$A$1:$I$89,3,0)*VLOOKUP('Données projet'!$B$10,Paramètres!$A$1:$I$89,5,0)</f>
        <v>320.82959999999997</v>
      </c>
      <c r="AK105" s="13">
        <f t="shared" si="89"/>
        <v>75.525942057150672</v>
      </c>
      <c r="AL105" s="20">
        <f t="shared" si="58"/>
        <v>690.31923574953726</v>
      </c>
      <c r="AM105" s="59">
        <f t="shared" si="59"/>
        <v>980.26866168603351</v>
      </c>
      <c r="AN105" s="59">
        <f ca="1">AVERAGE(OFFSET($AM$3,0,0,'Données projet'!$E$10+1,1))-AVERAGE(OFFSET($H$3,0,0,'Données projet'!$E$10+1,1))</f>
        <v>510.86584023875525</v>
      </c>
      <c r="AO105" s="59">
        <f t="shared" si="90"/>
        <v>384.62921487244125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53.884806470017075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53.884806470017075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4.1677594708744434E-14</v>
      </c>
      <c r="BF105" s="13">
        <f t="shared" si="91"/>
        <v>6.9326303456159188E-13</v>
      </c>
      <c r="BG105" s="20">
        <f t="shared" si="61"/>
        <v>1.2800215959791691E-12</v>
      </c>
      <c r="BH105" s="59">
        <f t="shared" si="62"/>
        <v>289.94942593649756</v>
      </c>
      <c r="BI105" s="59">
        <f ca="1">AVERAGE(OFFSET($BH$3,0,0,'Données projet'!$E$11+1,1))-AVERAGE(OFFSET($H$3,0,0,'Données projet'!$E$11+1,1))</f>
        <v>201.7253431547006</v>
      </c>
      <c r="BJ105" s="59">
        <f t="shared" si="92"/>
        <v>229.70004720044096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21.004852314961333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21.004852314961333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-1.2710188457276673E-13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462.09240749760784</v>
      </c>
      <c r="CE105" s="59">
        <f t="shared" si="94"/>
        <v>403.52202223463337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222.52035504590165</v>
      </c>
      <c r="CL105" s="21">
        <f>EXP(-LN(2)/25)*CL104+(1-EXP(-LN(2)/25))/(LN(2)/25)*Calculateur!CG105*Calculateur!CI105*VLOOKUP('Données projet'!$B$12,Paramètres!$A$1:$I$89,3,0)*0.475*44/12</f>
        <v>18.736469243003718</v>
      </c>
      <c r="CM105" s="21">
        <f>EXP(-LN(2)/2)*CM104+(1-EXP(-LN(2)/2))/(LN(2)/2)*CG105*CJ105*VLOOKUP('Données projet'!$B$12,Paramètres!$A$1:$I$89,3,0)*0.475*44/12</f>
        <v>8.5698799543065651E-3</v>
      </c>
      <c r="CN105" s="22">
        <f t="shared" si="66"/>
        <v>241.26539416885967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319.88925869887464</v>
      </c>
      <c r="CZ105" s="59">
        <f t="shared" si="96"/>
        <v>258.2857172412098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106.38758665008318</v>
      </c>
      <c r="DG105" s="21">
        <f>EXP(-LN(2)/25)*DG104+(1-EXP(-LN(2)/25))/(LN(2)/25)*Calculateur!DB105*Calculateur!DD105*VLOOKUP('Données projet'!$B$13,Paramètres!$A$1:$I$89,3,0)*0.475*44/12</f>
        <v>25.965889734247575</v>
      </c>
      <c r="DH105" s="21">
        <f>EXP(-LN(2)/2)*DH104+(1-EXP(-LN(2)/2))/(LN(2)/2)*DB105*DE105*VLOOKUP('Données projet'!$B$13,Paramètres!$A$1:$I$89,3,0)*0.475*44/12</f>
        <v>2.0578053718052363E-2</v>
      </c>
      <c r="DI105" s="22">
        <f t="shared" si="69"/>
        <v>132.3740544380488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-5.6843418860808015E-13</v>
      </c>
      <c r="DP105" s="17">
        <f>DO105*VLOOKUP('Données projet'!$B$14,Paramètres!$A$1:$I$89,3,0)*VLOOKUP('Données projet'!$B$14,Paramètres!$A$1:$I$89,5,0)</f>
        <v>-3.39923644787632E-13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443.64905827069435</v>
      </c>
      <c r="DU105" s="59">
        <f t="shared" si="98"/>
        <v>381.14782516862385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138.70724569336042</v>
      </c>
      <c r="EB105" s="21">
        <f>EXP(-LN(2)/25)*EB104+(1-EXP(-LN(2)/25))/(LN(2)/25)*Calculateur!DW105*Calculateur!DY105*VLOOKUP('Données projet'!$B$14,Paramètres!$A$1:$I$89,3,0)*0.475*44/12</f>
        <v>22.639894578099703</v>
      </c>
      <c r="EC105" s="21">
        <f>EXP(-LN(2)/2)*EC104+(1-EXP(-LN(2)/2))/(LN(2)/2)*DW105*DZ105*VLOOKUP('Données projet'!$B$14,Paramètres!$A$1:$I$89,3,0)*0.475*44/12</f>
        <v>5.0371472716024841E-3</v>
      </c>
      <c r="ED105" s="22">
        <f t="shared" si="72"/>
        <v>161.35217741873171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-3.4106051316484809E-13</v>
      </c>
      <c r="EK105" s="17">
        <f>EJ105*VLOOKUP('Données projet'!$B$15,Paramètres!$A$1:$I$89,3,0)*VLOOKUP('Données projet'!$B$15,Paramètres!$A$1:$I$89,5,0)</f>
        <v>-3.0859155231155454E-13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504.37890861635196</v>
      </c>
      <c r="EP105" s="59">
        <f t="shared" si="100"/>
        <v>611.82129317522913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30.438794624551576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30.438794624551576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3.2</v>
      </c>
      <c r="FE105" s="12">
        <f>IF('Données projet'!$A$218&gt;35,FE104+FD105-FM104,IF(A105&lt;'Données projet'!$A$218,$FB$205^A105,IF(A105='Données projet'!$A$218,'Données projet'!$B$218,FE104+FD105-FM104)))</f>
        <v>208.39999999999995</v>
      </c>
      <c r="FF105" s="17">
        <f>FE105*VLOOKUP('Données projet'!$B$16,Paramètres!$A$1:$I$89,3,0)*VLOOKUP('Données projet'!$B$16,Paramètres!$A$1:$I$89,5,0)</f>
        <v>224.32175999999995</v>
      </c>
      <c r="FG105" s="13">
        <f t="shared" si="101"/>
        <v>55.053132755090779</v>
      </c>
      <c r="FH105" s="20">
        <f t="shared" si="76"/>
        <v>486.57793821511638</v>
      </c>
      <c r="FI105" s="59">
        <f t="shared" si="77"/>
        <v>776.52736415161257</v>
      </c>
      <c r="FJ105" s="59">
        <f ca="1">AVERAGE(OFFSET($FI$3,0,0,'Données projet'!$E$16+1,1))-AVERAGE(OFFSET($H$3,0,0,'Données projet'!$E$16+1,1))</f>
        <v>334.01098870576732</v>
      </c>
      <c r="FK105" s="59">
        <f t="shared" si="102"/>
        <v>171.1802153303471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26.132763486483555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26.132763486483555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-1.7053025658242404E-13</v>
      </c>
      <c r="GA105" s="17">
        <f>FZ105*VLOOKUP('Données projet'!$B$17,Paramètres!$A$1:$I$89,3,0)*VLOOKUP('Données projet'!$B$17,Paramètres!$A$1:$I$89,5,0)</f>
        <v>-1.4897523215040567E-13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330.12856974146598</v>
      </c>
      <c r="GF105" s="59">
        <f t="shared" si="104"/>
        <v>321.23368446552286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75.762122768522318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75.762122768522318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69.077116164498975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4.4000000000000004</v>
      </c>
      <c r="GU105" s="12">
        <f>IF('Données projet'!$A$270&gt;35,GU104+GT105-HC104,IF(A105&lt;'Données projet'!$A$270,$GR$205^A105,IF(A105='Données projet'!$A$270,'Données projet'!$B$270,GU104+GT105-HC104)))</f>
        <v>269.79999999999984</v>
      </c>
      <c r="GV105" s="17">
        <f>GU105*VLOOKUP('Données projet'!$B$18,Paramètres!$A$1:$I$89,3,0)*VLOOKUP('Données projet'!$B$18,Paramètres!$A$1:$I$89,5,0)</f>
        <v>180.98183999999989</v>
      </c>
      <c r="GW105" s="13">
        <f t="shared" si="105"/>
        <v>45.54055827086686</v>
      </c>
      <c r="GX105" s="20">
        <f t="shared" si="82"/>
        <v>394.52651032175959</v>
      </c>
      <c r="GY105" s="59">
        <f t="shared" si="83"/>
        <v>684.47593625825584</v>
      </c>
      <c r="GZ105" s="59">
        <f ca="1">AVERAGE(OFFSET($GY$3,0,0,'Données projet'!$E$18+1,1))-AVERAGE(OFFSET($H$3,0,0,'Données projet'!$E$18+1,1))</f>
        <v>296.67751292332753</v>
      </c>
      <c r="HA105" s="59">
        <f t="shared" si="106"/>
        <v>197.99510031603018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32.385993801584569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32.385993801584569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1.1000000000000001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4.0333333333333341</v>
      </c>
      <c r="H106" s="67">
        <f t="shared" si="56"/>
        <v>240.5333333333333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321.59999999999991</v>
      </c>
      <c r="O106" s="13">
        <f>N106*VLOOKUP('Données projet'!$B$9,Paramètres!$A$1:$I$89,3,0)*VLOOKUP('Données projet'!$B$9,Paramètres!$A$1:$I$89,5,0)</f>
        <v>290.98367999999994</v>
      </c>
      <c r="P106" s="13">
        <f t="shared" si="87"/>
        <v>69.282952690245423</v>
      </c>
      <c r="Q106" s="20">
        <f t="shared" si="107"/>
        <v>627.46438526884401</v>
      </c>
      <c r="R106" s="59">
        <f t="shared" si="55"/>
        <v>917.47251443339178</v>
      </c>
      <c r="S106" s="59">
        <f ca="1">AVERAGE(OFFSET($R$3,0,0,'Données projet'!$E$9+1,1))-AVERAGE(OFFSET($H$3,0,0,'Données projet'!$E$9+1,1))</f>
        <v>461.20962581398715</v>
      </c>
      <c r="T106" s="59">
        <f t="shared" si="88"/>
        <v>348.44322874953923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47.138972005143813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47.138972005143813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321.59999999999991</v>
      </c>
      <c r="AJ106" s="13">
        <f>AI106*VLOOKUP('Données projet'!$B$10,Paramètres!$A$1:$I$89,3,0)*VLOOKUP('Données projet'!$B$10,Paramètres!$A$1:$I$89,5,0)</f>
        <v>326.10239999999993</v>
      </c>
      <c r="AK106" s="13">
        <f t="shared" si="89"/>
        <v>76.621677329562289</v>
      </c>
      <c r="AL106" s="20">
        <f t="shared" si="58"/>
        <v>701.41110134898747</v>
      </c>
      <c r="AM106" s="59">
        <f t="shared" si="59"/>
        <v>991.41923051353524</v>
      </c>
      <c r="AN106" s="59">
        <f ca="1">AVERAGE(OFFSET($AM$3,0,0,'Données projet'!$E$10+1,1))-AVERAGE(OFFSET($H$3,0,0,'Données projet'!$E$10+1,1))</f>
        <v>510.86584023875525</v>
      </c>
      <c r="AO106" s="59">
        <f t="shared" si="90"/>
        <v>384.62921487244125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52.828158281626692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52.828158281626692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4.1677594708744434E-14</v>
      </c>
      <c r="BF106" s="13">
        <f t="shared" si="91"/>
        <v>6.9326303456159188E-13</v>
      </c>
      <c r="BG106" s="20">
        <f t="shared" si="61"/>
        <v>1.2800215959791691E-12</v>
      </c>
      <c r="BH106" s="59">
        <f t="shared" si="62"/>
        <v>290.00812916454913</v>
      </c>
      <c r="BI106" s="59">
        <f ca="1">AVERAGE(OFFSET($BH$3,0,0,'Données projet'!$E$11+1,1))-AVERAGE(OFFSET($H$3,0,0,'Données projet'!$E$11+1,1))</f>
        <v>201.7253431547006</v>
      </c>
      <c r="BJ106" s="59">
        <f t="shared" si="92"/>
        <v>229.70004720044096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20.592959972759804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20.592959972759804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-1.2710188457276673E-13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462.09240749760784</v>
      </c>
      <c r="CE106" s="59">
        <f t="shared" si="94"/>
        <v>403.52202223463337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218.15686660746647</v>
      </c>
      <c r="CL106" s="21">
        <f>EXP(-LN(2)/25)*CL105+(1-EXP(-LN(2)/25))/(LN(2)/25)*Calculateur!CG106*Calculateur!CI106*VLOOKUP('Données projet'!$B$12,Paramètres!$A$1:$I$89,3,0)*0.475*44/12</f>
        <v>18.224119506245685</v>
      </c>
      <c r="CM106" s="21">
        <f>EXP(-LN(2)/2)*CM105+(1-EXP(-LN(2)/2))/(LN(2)/2)*CG106*CJ106*VLOOKUP('Données projet'!$B$12,Paramètres!$A$1:$I$89,3,0)*0.475*44/12</f>
        <v>6.0598202296448323E-3</v>
      </c>
      <c r="CN106" s="22">
        <f t="shared" si="66"/>
        <v>236.38704593394178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319.88925869887464</v>
      </c>
      <c r="CZ106" s="59">
        <f t="shared" si="96"/>
        <v>258.2857172412098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104.30139096589555</v>
      </c>
      <c r="DG106" s="21">
        <f>EXP(-LN(2)/25)*DG105+(1-EXP(-LN(2)/25))/(LN(2)/25)*Calculateur!DB106*Calculateur!DD106*VLOOKUP('Données projet'!$B$13,Paramètres!$A$1:$I$89,3,0)*0.475*44/12</f>
        <v>25.25585111397778</v>
      </c>
      <c r="DH106" s="21">
        <f>EXP(-LN(2)/2)*DH105+(1-EXP(-LN(2)/2))/(LN(2)/2)*DB106*DE106*VLOOKUP('Données projet'!$B$13,Paramètres!$A$1:$I$89,3,0)*0.475*44/12</f>
        <v>1.4550881327655875E-2</v>
      </c>
      <c r="DI106" s="22">
        <f t="shared" si="69"/>
        <v>129.571792961201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-5.6843418860808015E-13</v>
      </c>
      <c r="DP106" s="17">
        <f>DO106*VLOOKUP('Données projet'!$B$14,Paramètres!$A$1:$I$89,3,0)*VLOOKUP('Données projet'!$B$14,Paramètres!$A$1:$I$89,5,0)</f>
        <v>-3.39923644787632E-13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443.64905827069435</v>
      </c>
      <c r="DU106" s="59">
        <f t="shared" si="98"/>
        <v>381.14782516862385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135.98728120837964</v>
      </c>
      <c r="EB106" s="21">
        <f>EXP(-LN(2)/25)*EB105+(1-EXP(-LN(2)/25))/(LN(2)/25)*Calculateur!DW106*Calculateur!DY106*VLOOKUP('Données projet'!$B$14,Paramètres!$A$1:$I$89,3,0)*0.475*44/12</f>
        <v>22.020805470281257</v>
      </c>
      <c r="EC106" s="21">
        <f>EXP(-LN(2)/2)*EC105+(1-EXP(-LN(2)/2))/(LN(2)/2)*DW106*DZ106*VLOOKUP('Données projet'!$B$14,Paramètres!$A$1:$I$89,3,0)*0.475*44/12</f>
        <v>3.5618009935854326E-3</v>
      </c>
      <c r="ED106" s="22">
        <f t="shared" si="72"/>
        <v>158.0116484796545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-3.4106051316484809E-13</v>
      </c>
      <c r="EK106" s="17">
        <f>EJ106*VLOOKUP('Données projet'!$B$15,Paramètres!$A$1:$I$89,3,0)*VLOOKUP('Données projet'!$B$15,Paramètres!$A$1:$I$89,5,0)</f>
        <v>-3.0859155231155454E-13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504.37890861635196</v>
      </c>
      <c r="EP106" s="59">
        <f t="shared" si="100"/>
        <v>611.82129317522913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29.841908427795616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29.841908427795616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3.2</v>
      </c>
      <c r="FE106" s="12">
        <f>IF('Données projet'!$A$218&gt;35,FE105+FD106-FM105,IF(A106&lt;'Données projet'!$A$218,$FB$205^A106,IF(A106='Données projet'!$A$218,'Données projet'!$B$218,FE105+FD106-FM105)))</f>
        <v>211.59999999999994</v>
      </c>
      <c r="FF106" s="17">
        <f>FE106*VLOOKUP('Données projet'!$B$16,Paramètres!$A$1:$I$89,3,0)*VLOOKUP('Données projet'!$B$16,Paramètres!$A$1:$I$89,5,0)</f>
        <v>227.7662399999999</v>
      </c>
      <c r="FG106" s="13">
        <f t="shared" si="101"/>
        <v>55.799416396900583</v>
      </c>
      <c r="FH106" s="20">
        <f t="shared" si="76"/>
        <v>493.87685155793497</v>
      </c>
      <c r="FI106" s="59">
        <f t="shared" si="77"/>
        <v>783.88498072248285</v>
      </c>
      <c r="FJ106" s="59">
        <f ca="1">AVERAGE(OFFSET($FI$3,0,0,'Données projet'!$E$16+1,1))-AVERAGE(OFFSET($H$3,0,0,'Données projet'!$E$16+1,1))</f>
        <v>334.01098870576732</v>
      </c>
      <c r="FK106" s="59">
        <f t="shared" si="102"/>
        <v>171.1802153303471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25.620315933925454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25.620315933925454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-1.7053025658242404E-13</v>
      </c>
      <c r="GA106" s="17">
        <f>FZ106*VLOOKUP('Données projet'!$B$17,Paramètres!$A$1:$I$89,3,0)*VLOOKUP('Données projet'!$B$17,Paramètres!$A$1:$I$89,5,0)</f>
        <v>-1.4897523215040567E-13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330.12856974146598</v>
      </c>
      <c r="GF106" s="59">
        <f t="shared" si="104"/>
        <v>321.23368446552286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74.276473751363596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74.276473751363596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69.093126135785766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4.4000000000000004</v>
      </c>
      <c r="GU106" s="12">
        <f>IF('Données projet'!$A$270&gt;35,GU105+GT106-HC105,IF(A106&lt;'Données projet'!$A$270,$GR$205^A106,IF(A106='Données projet'!$A$270,'Données projet'!$B$270,GU105+GT106-HC105)))</f>
        <v>274.19999999999982</v>
      </c>
      <c r="GV106" s="17">
        <f>GU106*VLOOKUP('Données projet'!$B$18,Paramètres!$A$1:$I$89,3,0)*VLOOKUP('Données projet'!$B$18,Paramètres!$A$1:$I$89,5,0)</f>
        <v>183.93335999999988</v>
      </c>
      <c r="GW106" s="13">
        <f t="shared" si="105"/>
        <v>46.196182305298308</v>
      </c>
      <c r="GX106" s="20">
        <f t="shared" si="82"/>
        <v>400.80895284839431</v>
      </c>
      <c r="GY106" s="59">
        <f t="shared" si="83"/>
        <v>690.81708201294214</v>
      </c>
      <c r="GZ106" s="59">
        <f ca="1">AVERAGE(OFFSET($GY$3,0,0,'Données projet'!$E$18+1,1))-AVERAGE(OFFSET($H$3,0,0,'Données projet'!$E$18+1,1))</f>
        <v>296.67751292332753</v>
      </c>
      <c r="HA106" s="59">
        <f t="shared" si="106"/>
        <v>197.99510031603018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31.750924216641216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31.750924216641216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1.1000000000000001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4.0333333333333341</v>
      </c>
      <c r="H107" s="67">
        <f t="shared" si="56"/>
        <v>240.5333333333333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326.7999999999999</v>
      </c>
      <c r="O107" s="13">
        <f>N107*VLOOKUP('Données projet'!$B$9,Paramètres!$A$1:$I$89,3,0)*VLOOKUP('Données projet'!$B$9,Paramètres!$A$1:$I$89,5,0)</f>
        <v>295.68863999999991</v>
      </c>
      <c r="P107" s="13">
        <f t="shared" si="87"/>
        <v>70.271876780519747</v>
      </c>
      <c r="Q107" s="20">
        <f t="shared" si="107"/>
        <v>637.3812333927383</v>
      </c>
      <c r="R107" s="59">
        <f t="shared" si="55"/>
        <v>927.44704741557166</v>
      </c>
      <c r="S107" s="59">
        <f ca="1">AVERAGE(OFFSET($R$3,0,0,'Données projet'!$E$9+1,1))-AVERAGE(OFFSET($H$3,0,0,'Données projet'!$E$9+1,1))</f>
        <v>461.20962581398715</v>
      </c>
      <c r="T107" s="59">
        <f t="shared" si="88"/>
        <v>348.44322874953923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46.214605516056849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46.214605516056849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326.7999999999999</v>
      </c>
      <c r="AJ107" s="13">
        <f>AI107*VLOOKUP('Données projet'!$B$10,Paramètres!$A$1:$I$89,3,0)*VLOOKUP('Données projet'!$B$10,Paramètres!$A$1:$I$89,5,0)</f>
        <v>331.37519999999989</v>
      </c>
      <c r="AK107" s="13">
        <f t="shared" si="89"/>
        <v>77.715352174616896</v>
      </c>
      <c r="AL107" s="20">
        <f t="shared" si="58"/>
        <v>712.49937837079085</v>
      </c>
      <c r="AM107" s="59">
        <f t="shared" si="59"/>
        <v>1002.5651923936243</v>
      </c>
      <c r="AN107" s="59">
        <f ca="1">AVERAGE(OFFSET($AM$3,0,0,'Données projet'!$E$10+1,1))-AVERAGE(OFFSET($H$3,0,0,'Données projet'!$E$10+1,1))</f>
        <v>510.86584023875525</v>
      </c>
      <c r="AO107" s="59">
        <f t="shared" si="90"/>
        <v>384.62921487244125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51.79223031971889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51.79223031971889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4.1677594708744434E-14</v>
      </c>
      <c r="BF107" s="13">
        <f t="shared" si="91"/>
        <v>6.9326303456159188E-13</v>
      </c>
      <c r="BG107" s="20">
        <f t="shared" si="61"/>
        <v>1.2800215959791691E-12</v>
      </c>
      <c r="BH107" s="59">
        <f t="shared" si="62"/>
        <v>290.06581402283473</v>
      </c>
      <c r="BI107" s="59">
        <f ca="1">AVERAGE(OFFSET($BH$3,0,0,'Données projet'!$E$11+1,1))-AVERAGE(OFFSET($H$3,0,0,'Données projet'!$E$11+1,1))</f>
        <v>201.7253431547006</v>
      </c>
      <c r="BJ107" s="59">
        <f t="shared" si="92"/>
        <v>229.70004720044096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20.189144588159323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20.189144588159323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-1.2710188457276673E-13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462.09240749760784</v>
      </c>
      <c r="CE107" s="59">
        <f t="shared" si="94"/>
        <v>403.52202223463337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213.87894351584384</v>
      </c>
      <c r="CL107" s="21">
        <f>EXP(-LN(2)/25)*CL106+(1-EXP(-LN(2)/25))/(LN(2)/25)*Calculateur!CG107*Calculateur!CI107*VLOOKUP('Données projet'!$B$12,Paramètres!$A$1:$I$89,3,0)*0.475*44/12</f>
        <v>17.725779999982603</v>
      </c>
      <c r="CM107" s="21">
        <f>EXP(-LN(2)/2)*CM106+(1-EXP(-LN(2)/2))/(LN(2)/2)*CG107*CJ107*VLOOKUP('Données projet'!$B$12,Paramètres!$A$1:$I$89,3,0)*0.475*44/12</f>
        <v>4.2849399771532825E-3</v>
      </c>
      <c r="CN107" s="22">
        <f t="shared" si="66"/>
        <v>231.60900845580358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319.88925869887464</v>
      </c>
      <c r="CZ107" s="59">
        <f t="shared" si="96"/>
        <v>258.2857172412098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102.25610430662111</v>
      </c>
      <c r="DG107" s="21">
        <f>EXP(-LN(2)/25)*DG106+(1-EXP(-LN(2)/25))/(LN(2)/25)*Calculateur!DB107*Calculateur!DD107*VLOOKUP('Données projet'!$B$13,Paramètres!$A$1:$I$89,3,0)*0.475*44/12</f>
        <v>24.565228537118571</v>
      </c>
      <c r="DH107" s="21">
        <f>EXP(-LN(2)/2)*DH106+(1-EXP(-LN(2)/2))/(LN(2)/2)*DB107*DE107*VLOOKUP('Données projet'!$B$13,Paramètres!$A$1:$I$89,3,0)*0.475*44/12</f>
        <v>1.0289026859026183E-2</v>
      </c>
      <c r="DI107" s="22">
        <f t="shared" si="69"/>
        <v>126.83162187059871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-5.6843418860808015E-13</v>
      </c>
      <c r="DP107" s="17">
        <f>DO107*VLOOKUP('Données projet'!$B$14,Paramètres!$A$1:$I$89,3,0)*VLOOKUP('Données projet'!$B$14,Paramètres!$A$1:$I$89,5,0)</f>
        <v>-3.39923644787632E-13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443.64905827069435</v>
      </c>
      <c r="DU107" s="59">
        <f t="shared" si="98"/>
        <v>381.14782516862385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133.32065356793481</v>
      </c>
      <c r="EB107" s="21">
        <f>EXP(-LN(2)/25)*EB106+(1-EXP(-LN(2)/25))/(LN(2)/25)*Calculateur!DW107*Calculateur!DY107*VLOOKUP('Données projet'!$B$14,Paramètres!$A$1:$I$89,3,0)*0.475*44/12</f>
        <v>21.418645386672587</v>
      </c>
      <c r="EC107" s="21">
        <f>EXP(-LN(2)/2)*EC106+(1-EXP(-LN(2)/2))/(LN(2)/2)*DW107*DZ107*VLOOKUP('Données projet'!$B$14,Paramètres!$A$1:$I$89,3,0)*0.475*44/12</f>
        <v>2.518573635801242E-3</v>
      </c>
      <c r="ED107" s="22">
        <f t="shared" si="72"/>
        <v>154.74181752824319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-3.4106051316484809E-13</v>
      </c>
      <c r="EK107" s="17">
        <f>EJ107*VLOOKUP('Données projet'!$B$15,Paramètres!$A$1:$I$89,3,0)*VLOOKUP('Données projet'!$B$15,Paramètres!$A$1:$I$89,5,0)</f>
        <v>-3.0859155231155454E-13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504.37890861635196</v>
      </c>
      <c r="EP107" s="59">
        <f t="shared" si="100"/>
        <v>611.82129317522913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29.256726805293411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29.256726805293411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3.2</v>
      </c>
      <c r="FE107" s="12">
        <f>IF('Données projet'!$A$218&gt;35,FE106+FD107-FM106,IF(A107&lt;'Données projet'!$A$218,$FB$205^A107,IF(A107='Données projet'!$A$218,'Données projet'!$B$218,FE106+FD107-FM106)))</f>
        <v>214.79999999999993</v>
      </c>
      <c r="FF107" s="17">
        <f>FE107*VLOOKUP('Données projet'!$B$16,Paramètres!$A$1:$I$89,3,0)*VLOOKUP('Données projet'!$B$16,Paramètres!$A$1:$I$89,5,0)</f>
        <v>231.2107199999999</v>
      </c>
      <c r="FG107" s="13">
        <f t="shared" si="101"/>
        <v>56.544387456445222</v>
      </c>
      <c r="FH107" s="20">
        <f t="shared" si="76"/>
        <v>501.17347881997517</v>
      </c>
      <c r="FI107" s="59">
        <f t="shared" si="77"/>
        <v>791.2392928428086</v>
      </c>
      <c r="FJ107" s="59">
        <f ca="1">AVERAGE(OFFSET($FI$3,0,0,'Données projet'!$E$16+1,1))-AVERAGE(OFFSET($H$3,0,0,'Données projet'!$E$16+1,1))</f>
        <v>334.01098870576732</v>
      </c>
      <c r="FK107" s="59">
        <f t="shared" si="102"/>
        <v>171.1802153303471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25.117917165310871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25.117917165310871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-1.7053025658242404E-13</v>
      </c>
      <c r="GA107" s="17">
        <f>FZ107*VLOOKUP('Données projet'!$B$17,Paramètres!$A$1:$I$89,3,0)*VLOOKUP('Données projet'!$B$17,Paramètres!$A$1:$I$89,5,0)</f>
        <v>-1.4897523215040567E-13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330.12856974146598</v>
      </c>
      <c r="GF107" s="59">
        <f t="shared" si="104"/>
        <v>321.23368446552286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72.819957405274934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72.819957405274934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69.108858369863654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4.4000000000000004</v>
      </c>
      <c r="GU107" s="12">
        <f>IF('Données projet'!$A$270&gt;35,GU106+GT107-HC106,IF(A107&lt;'Données projet'!$A$270,$GR$205^A107,IF(A107='Données projet'!$A$270,'Données projet'!$B$270,GU106+GT107-HC106)))</f>
        <v>278.5999999999998</v>
      </c>
      <c r="GV107" s="17">
        <f>GU107*VLOOKUP('Données projet'!$B$18,Paramètres!$A$1:$I$89,3,0)*VLOOKUP('Données projet'!$B$18,Paramètres!$A$1:$I$89,5,0)</f>
        <v>186.88487999999987</v>
      </c>
      <c r="GW107" s="13">
        <f t="shared" si="105"/>
        <v>46.850582830509104</v>
      </c>
      <c r="GX107" s="20">
        <f t="shared" si="82"/>
        <v>407.08926442980305</v>
      </c>
      <c r="GY107" s="59">
        <f t="shared" si="83"/>
        <v>697.15507845263642</v>
      </c>
      <c r="GZ107" s="59">
        <f ca="1">AVERAGE(OFFSET($GY$3,0,0,'Données projet'!$E$18+1,1))-AVERAGE(OFFSET($H$3,0,0,'Données projet'!$E$18+1,1))</f>
        <v>296.67751292332753</v>
      </c>
      <c r="HA107" s="59">
        <f t="shared" si="106"/>
        <v>197.99510031603018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31.128307958904404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31.128307958904404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1.1000000000000001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4.0333333333333341</v>
      </c>
      <c r="H108" s="67">
        <f t="shared" si="56"/>
        <v>240.5333333333333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331.99999999999989</v>
      </c>
      <c r="O108" s="13">
        <f>N108*VLOOKUP('Données projet'!$B$9,Paramètres!$A$1:$I$89,3,0)*VLOOKUP('Données projet'!$B$9,Paramètres!$A$1:$I$89,5,0)</f>
        <v>300.39359999999988</v>
      </c>
      <c r="P108" s="13">
        <f t="shared" si="87"/>
        <v>71.258970856492667</v>
      </c>
      <c r="Q108" s="20">
        <f t="shared" si="107"/>
        <v>647.29489424172459</v>
      </c>
      <c r="R108" s="59">
        <f t="shared" si="55"/>
        <v>937.41739241951632</v>
      </c>
      <c r="S108" s="59">
        <f ca="1">AVERAGE(OFFSET($R$3,0,0,'Données projet'!$E$9+1,1))-AVERAGE(OFFSET($H$3,0,0,'Données projet'!$E$9+1,1))</f>
        <v>461.20962581398715</v>
      </c>
      <c r="T108" s="59">
        <f t="shared" si="88"/>
        <v>348.44322874953923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45.308365290012993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45.308365290012993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331.99999999999989</v>
      </c>
      <c r="AJ108" s="13">
        <f>AI108*VLOOKUP('Données projet'!$B$10,Paramètres!$A$1:$I$89,3,0)*VLOOKUP('Données projet'!$B$10,Paramètres!$A$1:$I$89,5,0)</f>
        <v>336.64799999999991</v>
      </c>
      <c r="AK108" s="13">
        <f t="shared" si="89"/>
        <v>78.807003163010307</v>
      </c>
      <c r="AL108" s="20">
        <f t="shared" si="58"/>
        <v>723.58413050890942</v>
      </c>
      <c r="AM108" s="59">
        <f t="shared" si="59"/>
        <v>1013.7066286867012</v>
      </c>
      <c r="AN108" s="59">
        <f ca="1">AVERAGE(OFFSET($AM$3,0,0,'Données projet'!$E$10+1,1))-AVERAGE(OFFSET($H$3,0,0,'Données projet'!$E$10+1,1))</f>
        <v>510.86584023875525</v>
      </c>
      <c r="AO108" s="59">
        <f t="shared" si="90"/>
        <v>384.62921487244125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50.776616273290429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50.776616273290429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4.1677594708744434E-14</v>
      </c>
      <c r="BF108" s="13">
        <f t="shared" si="91"/>
        <v>6.9326303456159188E-13</v>
      </c>
      <c r="BG108" s="20">
        <f t="shared" si="61"/>
        <v>1.2800215959791691E-12</v>
      </c>
      <c r="BH108" s="59">
        <f t="shared" si="62"/>
        <v>290.12249817779309</v>
      </c>
      <c r="BI108" s="59">
        <f ca="1">AVERAGE(OFFSET($BH$3,0,0,'Données projet'!$E$11+1,1))-AVERAGE(OFFSET($H$3,0,0,'Données projet'!$E$11+1,1))</f>
        <v>201.7253431547006</v>
      </c>
      <c r="BJ108" s="59">
        <f t="shared" si="92"/>
        <v>229.70004720044096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19.793247776947794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19.793247776947794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-1.2710188457276673E-13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462.09240749760784</v>
      </c>
      <c r="CE108" s="59">
        <f t="shared" si="94"/>
        <v>403.52202223463337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209.68490788677249</v>
      </c>
      <c r="CL108" s="21">
        <f>EXP(-LN(2)/25)*CL107+(1-EXP(-LN(2)/25))/(LN(2)/25)*Calculateur!CG108*Calculateur!CI108*VLOOKUP('Données projet'!$B$12,Paramètres!$A$1:$I$89,3,0)*0.475*44/12</f>
        <v>17.24106761372482</v>
      </c>
      <c r="CM108" s="21">
        <f>EXP(-LN(2)/2)*CM107+(1-EXP(-LN(2)/2))/(LN(2)/2)*CG108*CJ108*VLOOKUP('Données projet'!$B$12,Paramètres!$A$1:$I$89,3,0)*0.475*44/12</f>
        <v>3.0299101148224161E-3</v>
      </c>
      <c r="CN108" s="22">
        <f t="shared" si="66"/>
        <v>226.92900541061215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319.88925869887464</v>
      </c>
      <c r="CZ108" s="59">
        <f t="shared" si="96"/>
        <v>258.2857172412098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100.25092447123336</v>
      </c>
      <c r="DG108" s="21">
        <f>EXP(-LN(2)/25)*DG107+(1-EXP(-LN(2)/25))/(LN(2)/25)*Calculateur!DB108*Calculateur!DD108*VLOOKUP('Données projet'!$B$13,Paramètres!$A$1:$I$89,3,0)*0.475*44/12</f>
        <v>23.893491070941838</v>
      </c>
      <c r="DH108" s="21">
        <f>EXP(-LN(2)/2)*DH107+(1-EXP(-LN(2)/2))/(LN(2)/2)*DB108*DE108*VLOOKUP('Données projet'!$B$13,Paramètres!$A$1:$I$89,3,0)*0.475*44/12</f>
        <v>7.2754406638279381E-3</v>
      </c>
      <c r="DI108" s="22">
        <f t="shared" si="69"/>
        <v>124.15169098283903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-5.6843418860808015E-13</v>
      </c>
      <c r="DP108" s="17">
        <f>DO108*VLOOKUP('Données projet'!$B$14,Paramètres!$A$1:$I$89,3,0)*VLOOKUP('Données projet'!$B$14,Paramètres!$A$1:$I$89,5,0)</f>
        <v>-3.39923644787632E-13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443.64905827069435</v>
      </c>
      <c r="DU108" s="59">
        <f t="shared" si="98"/>
        <v>381.14782516862385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130.70631686903684</v>
      </c>
      <c r="EB108" s="21">
        <f>EXP(-LN(2)/25)*EB107+(1-EXP(-LN(2)/25))/(LN(2)/25)*Calculateur!DW108*Calculateur!DY108*VLOOKUP('Données projet'!$B$14,Paramètres!$A$1:$I$89,3,0)*0.475*44/12</f>
        <v>20.832951402216416</v>
      </c>
      <c r="EC108" s="21">
        <f>EXP(-LN(2)/2)*EC107+(1-EXP(-LN(2)/2))/(LN(2)/2)*DW108*DZ108*VLOOKUP('Données projet'!$B$14,Paramètres!$A$1:$I$89,3,0)*0.475*44/12</f>
        <v>1.7809004967927163E-3</v>
      </c>
      <c r="ED108" s="22">
        <f t="shared" si="72"/>
        <v>151.54104917175005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-3.4106051316484809E-13</v>
      </c>
      <c r="EK108" s="17">
        <f>EJ108*VLOOKUP('Données projet'!$B$15,Paramètres!$A$1:$I$89,3,0)*VLOOKUP('Données projet'!$B$15,Paramètres!$A$1:$I$89,5,0)</f>
        <v>-3.0859155231155454E-13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504.37890861635196</v>
      </c>
      <c r="EP108" s="59">
        <f t="shared" si="100"/>
        <v>611.82129317522913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28.683020237482928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28.683020237482928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218</v>
      </c>
      <c r="FC108" s="12">
        <f>VLOOKUP(A108,'Données projet'!$A$217:$I$237,9,0)</f>
        <v>3.2</v>
      </c>
      <c r="FD108" s="12">
        <f t="array" ref="FD108">INDEX(FC:FC,MIN(IF(ISNUMBER(FC108:FC304),ROW(FC108:FC304),"")))</f>
        <v>3.2</v>
      </c>
      <c r="FE108" s="12">
        <f>IF('Données projet'!$A$218&gt;35,FE107+FD108-FM107,IF(A108&lt;'Données projet'!$A$218,$FB$205^A108,IF(A108='Données projet'!$A$218,'Données projet'!$B$218,FE107+FD108-FM107)))</f>
        <v>217.99999999999991</v>
      </c>
      <c r="FF108" s="17">
        <f>FE108*VLOOKUP('Données projet'!$B$16,Paramètres!$A$1:$I$89,3,0)*VLOOKUP('Données projet'!$B$16,Paramètres!$A$1:$I$89,5,0)</f>
        <v>234.65519999999989</v>
      </c>
      <c r="FG108" s="13">
        <f t="shared" si="101"/>
        <v>57.288067746850942</v>
      </c>
      <c r="FH108" s="20">
        <f t="shared" si="76"/>
        <v>508.46785799243185</v>
      </c>
      <c r="FI108" s="59">
        <f t="shared" si="77"/>
        <v>798.59035617022369</v>
      </c>
      <c r="FJ108" s="59">
        <f ca="1">AVERAGE(OFFSET($FI$3,0,0,'Données projet'!$E$16+1,1))-AVERAGE(OFFSET($H$3,0,0,'Données projet'!$E$16+1,1))</f>
        <v>334.01098870576732</v>
      </c>
      <c r="FK108" s="59">
        <f t="shared" si="102"/>
        <v>171.1802153303471</v>
      </c>
      <c r="FL108" s="15">
        <f>IF(ISNA(VLOOKUP(A108,'Données projet'!$A$217:$I$237,3,0)),0,VLOOKUP(A108,'Données projet'!$A$217:$I$237,3,0))</f>
        <v>17</v>
      </c>
      <c r="FM108" s="15">
        <f>IF(ISNA(VLOOKUP(A108,'Données projet'!$A$217:$I$237,4,0)),0,VLOOKUP(A108,'Données projet'!$A$217:$I$237,4,0))</f>
        <v>14</v>
      </c>
      <c r="FN108" s="16">
        <f>IF(ISNA(VLOOKUP(A108,'Données projet'!$A$217:$I$237,5,0)),0%,VLOOKUP(A108,'Données projet'!$A$217:$I$237,5,0)*VLOOKUP('Données projet'!$B$16,Paramètres!$A$1:$I$89,7,0))</f>
        <v>0.30099999999999999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29.639728055970163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29.639728055970163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-1.7053025658242404E-13</v>
      </c>
      <c r="GA108" s="17">
        <f>FZ108*VLOOKUP('Données projet'!$B$17,Paramètres!$A$1:$I$89,3,0)*VLOOKUP('Données projet'!$B$17,Paramètres!$A$1:$I$89,5,0)</f>
        <v>-1.4897523215040567E-13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330.12856974146598</v>
      </c>
      <c r="GF108" s="59">
        <f t="shared" si="104"/>
        <v>321.23368446552286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71.392002456345821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71.392002456345821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69.124317684852301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4.4000000000000004</v>
      </c>
      <c r="GU108" s="12">
        <f>IF('Données projet'!$A$270&gt;35,GU107+GT108-HC107,IF(A108&lt;'Données projet'!$A$270,$GR$205^A108,IF(A108='Données projet'!$A$270,'Données projet'!$B$270,GU107+GT108-HC107)))</f>
        <v>282.99999999999977</v>
      </c>
      <c r="GV108" s="17">
        <f>GU108*VLOOKUP('Données projet'!$B$18,Paramètres!$A$1:$I$89,3,0)*VLOOKUP('Données projet'!$B$18,Paramètres!$A$1:$I$89,5,0)</f>
        <v>189.83639999999986</v>
      </c>
      <c r="GW108" s="13">
        <f t="shared" si="105"/>
        <v>47.503781400896202</v>
      </c>
      <c r="GX108" s="20">
        <f t="shared" si="82"/>
        <v>413.3674826065606</v>
      </c>
      <c r="GY108" s="59">
        <f t="shared" si="83"/>
        <v>703.48998078435238</v>
      </c>
      <c r="GZ108" s="59">
        <f ca="1">AVERAGE(OFFSET($GY$3,0,0,'Données projet'!$E$18+1,1))-AVERAGE(OFFSET($H$3,0,0,'Données projet'!$E$18+1,1))</f>
        <v>296.67751292332753</v>
      </c>
      <c r="HA108" s="59">
        <f t="shared" si="106"/>
        <v>197.99510031603018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30.517900826223393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30.517900826223393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1.1000000000000001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4.0333333333333341</v>
      </c>
      <c r="H109" s="67">
        <f t="shared" si="56"/>
        <v>240.5333333333333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337.19999999999987</v>
      </c>
      <c r="O109" s="13">
        <f>N109*VLOOKUP('Données projet'!$B$9,Paramètres!$A$1:$I$89,3,0)*VLOOKUP('Données projet'!$B$9,Paramètres!$A$1:$I$89,5,0)</f>
        <v>305.09855999999985</v>
      </c>
      <c r="P109" s="13">
        <f t="shared" si="87"/>
        <v>72.244266890878791</v>
      </c>
      <c r="Q109" s="20">
        <f t="shared" si="107"/>
        <v>657.20542350161361</v>
      </c>
      <c r="R109" s="59">
        <f t="shared" si="55"/>
        <v>947.38362249100203</v>
      </c>
      <c r="S109" s="59">
        <f ca="1">AVERAGE(OFFSET($R$3,0,0,'Données projet'!$E$9+1,1))-AVERAGE(OFFSET($H$3,0,0,'Données projet'!$E$9+1,1))</f>
        <v>461.20962581398715</v>
      </c>
      <c r="T109" s="59">
        <f t="shared" si="88"/>
        <v>348.44322874953923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44.4198958820499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44.4198958820499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337.19999999999987</v>
      </c>
      <c r="AJ109" s="13">
        <f>AI109*VLOOKUP('Données projet'!$B$10,Paramètres!$A$1:$I$89,3,0)*VLOOKUP('Données projet'!$B$10,Paramètres!$A$1:$I$89,5,0)</f>
        <v>341.92079999999987</v>
      </c>
      <c r="AK109" s="13">
        <f t="shared" si="89"/>
        <v>79.896665654133599</v>
      </c>
      <c r="AL109" s="20">
        <f t="shared" si="58"/>
        <v>734.66541934761574</v>
      </c>
      <c r="AM109" s="59">
        <f t="shared" si="59"/>
        <v>1024.843618337004</v>
      </c>
      <c r="AN109" s="59">
        <f ca="1">AVERAGE(OFFSET($AM$3,0,0,'Données projet'!$E$10+1,1))-AVERAGE(OFFSET($H$3,0,0,'Données projet'!$E$10+1,1))</f>
        <v>510.86584023875525</v>
      </c>
      <c r="AO109" s="59">
        <f t="shared" si="90"/>
        <v>384.62921487244125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49.780917798849032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49.780917798849032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4.1677594708744434E-14</v>
      </c>
      <c r="BF109" s="13">
        <f t="shared" si="91"/>
        <v>6.9326303456159188E-13</v>
      </c>
      <c r="BG109" s="20">
        <f t="shared" si="61"/>
        <v>1.2800215959791691E-12</v>
      </c>
      <c r="BH109" s="59">
        <f t="shared" si="62"/>
        <v>290.17819898938973</v>
      </c>
      <c r="BI109" s="59">
        <f ca="1">AVERAGE(OFFSET($BH$3,0,0,'Données projet'!$E$11+1,1))-AVERAGE(OFFSET($H$3,0,0,'Données projet'!$E$11+1,1))</f>
        <v>201.7253431547006</v>
      </c>
      <c r="BJ109" s="59">
        <f t="shared" si="92"/>
        <v>229.70004720044096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19.405114260730912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19.405114260730912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-1.2710188457276673E-13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462.09240749760784</v>
      </c>
      <c r="CE109" s="59">
        <f t="shared" si="94"/>
        <v>403.52202223463337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205.57311473827809</v>
      </c>
      <c r="CL109" s="21">
        <f>EXP(-LN(2)/25)*CL108+(1-EXP(-LN(2)/25))/(LN(2)/25)*Calculateur!CG109*Calculateur!CI109*VLOOKUP('Données projet'!$B$12,Paramètres!$A$1:$I$89,3,0)*0.475*44/12</f>
        <v>16.769609713159173</v>
      </c>
      <c r="CM109" s="21">
        <f>EXP(-LN(2)/2)*CM108+(1-EXP(-LN(2)/2))/(LN(2)/2)*CG109*CJ109*VLOOKUP('Données projet'!$B$12,Paramètres!$A$1:$I$89,3,0)*0.475*44/12</f>
        <v>2.1424699885766413E-3</v>
      </c>
      <c r="CN109" s="22">
        <f t="shared" si="66"/>
        <v>222.34486692142585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319.88925869887464</v>
      </c>
      <c r="CZ109" s="59">
        <f t="shared" si="96"/>
        <v>258.2857172412098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98.28506498937864</v>
      </c>
      <c r="DG109" s="21">
        <f>EXP(-LN(2)/25)*DG108+(1-EXP(-LN(2)/25))/(LN(2)/25)*Calculateur!DB109*Calculateur!DD109*VLOOKUP('Données projet'!$B$13,Paramètres!$A$1:$I$89,3,0)*0.475*44/12</f>
        <v>23.240122301102847</v>
      </c>
      <c r="DH109" s="21">
        <f>EXP(-LN(2)/2)*DH108+(1-EXP(-LN(2)/2))/(LN(2)/2)*DB109*DE109*VLOOKUP('Données projet'!$B$13,Paramètres!$A$1:$I$89,3,0)*0.475*44/12</f>
        <v>5.1445134295130925E-3</v>
      </c>
      <c r="DI109" s="22">
        <f t="shared" si="69"/>
        <v>121.530331803911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-5.6843418860808015E-13</v>
      </c>
      <c r="DP109" s="17">
        <f>DO109*VLOOKUP('Données projet'!$B$14,Paramètres!$A$1:$I$89,3,0)*VLOOKUP('Données projet'!$B$14,Paramètres!$A$1:$I$89,5,0)</f>
        <v>-3.39923644787632E-13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443.64905827069435</v>
      </c>
      <c r="DU109" s="59">
        <f t="shared" si="98"/>
        <v>381.14782516862385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128.14324571821632</v>
      </c>
      <c r="EB109" s="21">
        <f>EXP(-LN(2)/25)*EB108+(1-EXP(-LN(2)/25))/(LN(2)/25)*Calculateur!DW109*Calculateur!DY109*VLOOKUP('Données projet'!$B$14,Paramètres!$A$1:$I$89,3,0)*0.475*44/12</f>
        <v>20.263273250565508</v>
      </c>
      <c r="EC109" s="21">
        <f>EXP(-LN(2)/2)*EC108+(1-EXP(-LN(2)/2))/(LN(2)/2)*DW109*DZ109*VLOOKUP('Données projet'!$B$14,Paramètres!$A$1:$I$89,3,0)*0.475*44/12</f>
        <v>1.259286817900621E-3</v>
      </c>
      <c r="ED109" s="22">
        <f t="shared" si="72"/>
        <v>148.40777825559974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-3.4106051316484809E-13</v>
      </c>
      <c r="EK109" s="17">
        <f>EJ109*VLOOKUP('Données projet'!$B$15,Paramètres!$A$1:$I$89,3,0)*VLOOKUP('Données projet'!$B$15,Paramètres!$A$1:$I$89,5,0)</f>
        <v>-3.0859155231155454E-13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504.37890861635196</v>
      </c>
      <c r="EP109" s="59">
        <f t="shared" si="100"/>
        <v>611.82129317522913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28.120563705540754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28.120563705540754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3</v>
      </c>
      <c r="FE109" s="12">
        <f>IF('Données projet'!$A$218&gt;35,FE108+FD109-FM108,IF(A109&lt;'Données projet'!$A$218,$FB$205^A109,IF(A109='Données projet'!$A$218,'Données projet'!$B$218,FE108+FD109-FM108)))</f>
        <v>206.99999999999991</v>
      </c>
      <c r="FF109" s="17">
        <f>FE109*VLOOKUP('Données projet'!$B$16,Paramètres!$A$1:$I$89,3,0)*VLOOKUP('Données projet'!$B$16,Paramètres!$A$1:$I$89,5,0)</f>
        <v>222.81479999999991</v>
      </c>
      <c r="FG109" s="13">
        <f t="shared" si="101"/>
        <v>54.726215188137857</v>
      </c>
      <c r="FH109" s="20">
        <f t="shared" si="76"/>
        <v>483.38393478600648</v>
      </c>
      <c r="FI109" s="59">
        <f t="shared" si="77"/>
        <v>773.56213377539484</v>
      </c>
      <c r="FJ109" s="59">
        <f ca="1">AVERAGE(OFFSET($FI$3,0,0,'Données projet'!$E$16+1,1))-AVERAGE(OFFSET($H$3,0,0,'Données projet'!$E$16+1,1))</f>
        <v>334.01098870576732</v>
      </c>
      <c r="FK109" s="59">
        <f t="shared" si="102"/>
        <v>171.1802153303471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29.058511067241604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29.058511067241604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-1.7053025658242404E-13</v>
      </c>
      <c r="GA109" s="17">
        <f>FZ109*VLOOKUP('Données projet'!$B$17,Paramètres!$A$1:$I$89,3,0)*VLOOKUP('Données projet'!$B$17,Paramètres!$A$1:$I$89,5,0)</f>
        <v>-1.4897523215040567E-13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330.12856974146598</v>
      </c>
      <c r="GF109" s="59">
        <f t="shared" si="104"/>
        <v>321.23368446552286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69.992048832998691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69.992048832998691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69.139508815287755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4.4000000000000004</v>
      </c>
      <c r="GU109" s="12">
        <f>IF('Données projet'!$A$270&gt;35,GU108+GT109-HC108,IF(A109&lt;'Données projet'!$A$270,$GR$205^A109,IF(A109='Données projet'!$A$270,'Données projet'!$B$270,GU108+GT109-HC108)))</f>
        <v>287.39999999999975</v>
      </c>
      <c r="GV109" s="17">
        <f>GU109*VLOOKUP('Données projet'!$B$18,Paramètres!$A$1:$I$89,3,0)*VLOOKUP('Données projet'!$B$18,Paramètres!$A$1:$I$89,5,0)</f>
        <v>192.78791999999984</v>
      </c>
      <c r="GW109" s="13">
        <f t="shared" si="105"/>
        <v>48.155798862162001</v>
      </c>
      <c r="GX109" s="20">
        <f t="shared" si="82"/>
        <v>419.64364368493187</v>
      </c>
      <c r="GY109" s="59">
        <f t="shared" si="83"/>
        <v>709.82184267432035</v>
      </c>
      <c r="GZ109" s="59">
        <f ca="1">AVERAGE(OFFSET($GY$3,0,0,'Données projet'!$E$18+1,1))-AVERAGE(OFFSET($H$3,0,0,'Données projet'!$E$18+1,1))</f>
        <v>296.67751292332753</v>
      </c>
      <c r="HA109" s="59">
        <f t="shared" si="106"/>
        <v>197.99510031603018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29.919463405102668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29.919463405102668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1.1000000000000001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4.0333333333333341</v>
      </c>
      <c r="H110" s="67">
        <f t="shared" si="56"/>
        <v>240.5333333333333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342.39999999999986</v>
      </c>
      <c r="O110" s="13">
        <f>N110*VLOOKUP('Données projet'!$B$9,Paramètres!$A$1:$I$89,3,0)*VLOOKUP('Données projet'!$B$9,Paramètres!$A$1:$I$89,5,0)</f>
        <v>309.80351999999988</v>
      </c>
      <c r="P110" s="13">
        <f t="shared" si="87"/>
        <v>73.227795813703764</v>
      </c>
      <c r="Q110" s="20">
        <f t="shared" si="107"/>
        <v>667.11287504220047</v>
      </c>
      <c r="R110" s="59">
        <f t="shared" si="55"/>
        <v>957.34580855863271</v>
      </c>
      <c r="S110" s="59">
        <f ca="1">AVERAGE(OFFSET($R$3,0,0,'Données projet'!$E$9+1,1))-AVERAGE(OFFSET($H$3,0,0,'Données projet'!$E$9+1,1))</f>
        <v>461.20962581398715</v>
      </c>
      <c r="T110" s="59">
        <f t="shared" si="88"/>
        <v>348.44322874953923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43.54884881726413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43.54884881726413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342.39999999999986</v>
      </c>
      <c r="AJ110" s="13">
        <f>AI110*VLOOKUP('Données projet'!$B$10,Paramètres!$A$1:$I$89,3,0)*VLOOKUP('Données projet'!$B$10,Paramètres!$A$1:$I$89,5,0)</f>
        <v>347.19359999999989</v>
      </c>
      <c r="AK110" s="13">
        <f t="shared" si="89"/>
        <v>80.984373854243287</v>
      </c>
      <c r="AL110" s="20">
        <f t="shared" si="58"/>
        <v>745.74330446280692</v>
      </c>
      <c r="AM110" s="59">
        <f t="shared" si="59"/>
        <v>1035.9762379792392</v>
      </c>
      <c r="AN110" s="59">
        <f ca="1">AVERAGE(OFFSET($AM$3,0,0,'Données projet'!$E$10+1,1))-AVERAGE(OFFSET($H$3,0,0,'Données projet'!$E$10+1,1))</f>
        <v>510.86584023875525</v>
      </c>
      <c r="AO110" s="59">
        <f t="shared" si="90"/>
        <v>384.62921487244125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48.804744364175328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48.804744364175328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4.1677594708744434E-14</v>
      </c>
      <c r="BF110" s="13">
        <f t="shared" si="91"/>
        <v>6.9326303456159188E-13</v>
      </c>
      <c r="BG110" s="20">
        <f t="shared" si="61"/>
        <v>1.2800215959791691E-12</v>
      </c>
      <c r="BH110" s="59">
        <f t="shared" si="62"/>
        <v>290.23293351643355</v>
      </c>
      <c r="BI110" s="59">
        <f ca="1">AVERAGE(OFFSET($BH$3,0,0,'Données projet'!$E$11+1,1))-AVERAGE(OFFSET($H$3,0,0,'Données projet'!$E$11+1,1))</f>
        <v>201.7253431547006</v>
      </c>
      <c r="BJ110" s="59">
        <f t="shared" si="92"/>
        <v>229.70004720044096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19.024591806028976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19.024591806028976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-1.2710188457276673E-13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462.09240749760784</v>
      </c>
      <c r="CE110" s="59">
        <f t="shared" si="94"/>
        <v>403.52202223463337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201.5419513454795</v>
      </c>
      <c r="CL110" s="21">
        <f>EXP(-LN(2)/25)*CL109+(1-EXP(-LN(2)/25))/(LN(2)/25)*Calculateur!CG110*Calculateur!CI110*VLOOKUP('Données projet'!$B$12,Paramètres!$A$1:$I$89,3,0)*0.475*44/12</f>
        <v>16.31104385367739</v>
      </c>
      <c r="CM110" s="21">
        <f>EXP(-LN(2)/2)*CM109+(1-EXP(-LN(2)/2))/(LN(2)/2)*CG110*CJ110*VLOOKUP('Données projet'!$B$12,Paramètres!$A$1:$I$89,3,0)*0.475*44/12</f>
        <v>1.5149550574112081E-3</v>
      </c>
      <c r="CN110" s="22">
        <f t="shared" si="66"/>
        <v>217.85451015421432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319.88925869887464</v>
      </c>
      <c r="CZ110" s="59">
        <f t="shared" si="96"/>
        <v>258.2857172412098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96.357754812907203</v>
      </c>
      <c r="DG110" s="21">
        <f>EXP(-LN(2)/25)*DG109+(1-EXP(-LN(2)/25))/(LN(2)/25)*Calculateur!DB110*Calculateur!DD110*VLOOKUP('Données projet'!$B$13,Paramètres!$A$1:$I$89,3,0)*0.475*44/12</f>
        <v>22.604619934634275</v>
      </c>
      <c r="DH110" s="21">
        <f>EXP(-LN(2)/2)*DH109+(1-EXP(-LN(2)/2))/(LN(2)/2)*DB110*DE110*VLOOKUP('Données projet'!$B$13,Paramètres!$A$1:$I$89,3,0)*0.475*44/12</f>
        <v>3.6377203319139699E-3</v>
      </c>
      <c r="DI110" s="22">
        <f t="shared" si="69"/>
        <v>118.96601246787338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-5.6843418860808015E-13</v>
      </c>
      <c r="DP110" s="17">
        <f>DO110*VLOOKUP('Données projet'!$B$14,Paramètres!$A$1:$I$89,3,0)*VLOOKUP('Données projet'!$B$14,Paramètres!$A$1:$I$89,5,0)</f>
        <v>-3.39923644787632E-13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443.64905827069435</v>
      </c>
      <c r="DU110" s="59">
        <f t="shared" si="98"/>
        <v>381.14782516862385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125.63043482934437</v>
      </c>
      <c r="EB110" s="21">
        <f>EXP(-LN(2)/25)*EB109+(1-EXP(-LN(2)/25))/(LN(2)/25)*Calculateur!DW110*Calculateur!DY110*VLOOKUP('Données projet'!$B$14,Paramètres!$A$1:$I$89,3,0)*0.475*44/12</f>
        <v>19.709172977929565</v>
      </c>
      <c r="EC110" s="21">
        <f>EXP(-LN(2)/2)*EC109+(1-EXP(-LN(2)/2))/(LN(2)/2)*DW110*DZ110*VLOOKUP('Données projet'!$B$14,Paramètres!$A$1:$I$89,3,0)*0.475*44/12</f>
        <v>8.9045024839635816E-4</v>
      </c>
      <c r="ED110" s="22">
        <f t="shared" si="72"/>
        <v>145.34049825752231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-3.4106051316484809E-13</v>
      </c>
      <c r="EK110" s="17">
        <f>EJ110*VLOOKUP('Données projet'!$B$15,Paramètres!$A$1:$I$89,3,0)*VLOOKUP('Données projet'!$B$15,Paramètres!$A$1:$I$89,5,0)</f>
        <v>-3.0859155231155454E-13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504.37890861635196</v>
      </c>
      <c r="EP110" s="59">
        <f t="shared" si="100"/>
        <v>611.82129317522913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27.569136603125354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27.569136603125354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3</v>
      </c>
      <c r="FE110" s="12">
        <f>IF('Données projet'!$A$218&gt;35,FE109+FD110-FM109,IF(A110&lt;'Données projet'!$A$218,$FB$205^A110,IF(A110='Données projet'!$A$218,'Données projet'!$B$218,FE109+FD110-FM109)))</f>
        <v>209.99999999999991</v>
      </c>
      <c r="FF110" s="17">
        <f>FE110*VLOOKUP('Données projet'!$B$16,Paramètres!$A$1:$I$89,3,0)*VLOOKUP('Données projet'!$B$16,Paramètres!$A$1:$I$89,5,0)</f>
        <v>226.0439999999999</v>
      </c>
      <c r="FG110" s="13">
        <f t="shared" si="101"/>
        <v>55.426440039423454</v>
      </c>
      <c r="FH110" s="20">
        <f t="shared" si="76"/>
        <v>490.22768306866232</v>
      </c>
      <c r="FI110" s="59">
        <f t="shared" si="77"/>
        <v>780.46061658509461</v>
      </c>
      <c r="FJ110" s="59">
        <f ca="1">AVERAGE(OFFSET($FI$3,0,0,'Données projet'!$E$16+1,1))-AVERAGE(OFFSET($H$3,0,0,'Données projet'!$E$16+1,1))</f>
        <v>334.01098870576732</v>
      </c>
      <c r="FK110" s="59">
        <f t="shared" si="102"/>
        <v>171.1802153303471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28.488691389154653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28.488691389154653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-1.7053025658242404E-13</v>
      </c>
      <c r="GA110" s="17">
        <f>FZ110*VLOOKUP('Données projet'!$B$17,Paramètres!$A$1:$I$89,3,0)*VLOOKUP('Données projet'!$B$17,Paramètres!$A$1:$I$89,5,0)</f>
        <v>-1.4897523215040567E-13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330.12856974146598</v>
      </c>
      <c r="GF110" s="59">
        <f t="shared" si="104"/>
        <v>321.23368446552286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68.619547446317995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68.619547446317995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69.154436413572427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4.4000000000000004</v>
      </c>
      <c r="GU110" s="12">
        <f>IF('Données projet'!$A$270&gt;35,GU109+GT110-HC109,IF(A110&lt;'Données projet'!$A$270,$GR$205^A110,IF(A110='Données projet'!$A$270,'Données projet'!$B$270,GU109+GT110-HC109)))</f>
        <v>291.79999999999973</v>
      </c>
      <c r="GV110" s="17">
        <f>GU110*VLOOKUP('Données projet'!$B$18,Paramètres!$A$1:$I$89,3,0)*VLOOKUP('Données projet'!$B$18,Paramètres!$A$1:$I$89,5,0)</f>
        <v>195.7394399999998</v>
      </c>
      <c r="GW110" s="13">
        <f t="shared" si="105"/>
        <v>48.80665538510177</v>
      </c>
      <c r="GX110" s="20">
        <f t="shared" si="82"/>
        <v>425.91778279571855</v>
      </c>
      <c r="GY110" s="59">
        <f t="shared" si="83"/>
        <v>716.15071631215073</v>
      </c>
      <c r="GZ110" s="59">
        <f ca="1">AVERAGE(OFFSET($GY$3,0,0,'Données projet'!$E$18+1,1))-AVERAGE(OFFSET($H$3,0,0,'Données projet'!$E$18+1,1))</f>
        <v>296.67751292332753</v>
      </c>
      <c r="HA110" s="59">
        <f t="shared" si="106"/>
        <v>197.99510031603018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29.332760976799335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29.332760976799335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1.1000000000000001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4.0333333333333341</v>
      </c>
      <c r="H111" s="67">
        <f t="shared" si="56"/>
        <v>240.5333333333333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347.59999999999985</v>
      </c>
      <c r="O111" s="13">
        <f>N111*VLOOKUP('Données projet'!$B$9,Paramètres!$A$1:$I$89,3,0)*VLOOKUP('Données projet'!$B$9,Paramètres!$A$1:$I$89,5,0)</f>
        <v>314.50847999999985</v>
      </c>
      <c r="P111" s="13">
        <f t="shared" si="87"/>
        <v>74.20958756161744</v>
      </c>
      <c r="Q111" s="20">
        <f t="shared" si="107"/>
        <v>677.01730100315024</v>
      </c>
      <c r="R111" s="59">
        <f t="shared" si="55"/>
        <v>967.30401952495004</v>
      </c>
      <c r="S111" s="59">
        <f ca="1">AVERAGE(OFFSET($R$3,0,0,'Données projet'!$E$9+1,1))-AVERAGE(OFFSET($H$3,0,0,'Données projet'!$E$9+1,1))</f>
        <v>461.20962581398715</v>
      </c>
      <c r="T111" s="59">
        <f t="shared" si="88"/>
        <v>348.44322874953923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42.694882454132561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42.694882454132561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347.59999999999985</v>
      </c>
      <c r="AJ111" s="13">
        <f>AI111*VLOOKUP('Données projet'!$B$10,Paramètres!$A$1:$I$89,3,0)*VLOOKUP('Données projet'!$B$10,Paramètres!$A$1:$I$89,5,0)</f>
        <v>352.46639999999985</v>
      </c>
      <c r="AK111" s="13">
        <f t="shared" si="89"/>
        <v>82.070160870997498</v>
      </c>
      <c r="AL111" s="20">
        <f t="shared" si="58"/>
        <v>756.81784351698707</v>
      </c>
      <c r="AM111" s="59">
        <f t="shared" si="59"/>
        <v>1047.104562038787</v>
      </c>
      <c r="AN111" s="59">
        <f ca="1">AVERAGE(OFFSET($AM$3,0,0,'Données projet'!$E$10+1,1))-AVERAGE(OFFSET($H$3,0,0,'Données projet'!$E$10+1,1))</f>
        <v>510.86584023875525</v>
      </c>
      <c r="AO111" s="59">
        <f t="shared" si="90"/>
        <v>384.62921487244125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47.847713095148571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47.847713095148571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4.1677594708744434E-14</v>
      </c>
      <c r="BF111" s="13">
        <f t="shared" si="91"/>
        <v>6.9326303456159188E-13</v>
      </c>
      <c r="BG111" s="20">
        <f t="shared" si="61"/>
        <v>1.2800215959791691E-12</v>
      </c>
      <c r="BH111" s="59">
        <f t="shared" si="62"/>
        <v>290.28671852180116</v>
      </c>
      <c r="BI111" s="59">
        <f ca="1">AVERAGE(OFFSET($BH$3,0,0,'Données projet'!$E$11+1,1))-AVERAGE(OFFSET($H$3,0,0,'Données projet'!$E$11+1,1))</f>
        <v>201.7253431547006</v>
      </c>
      <c r="BJ111" s="59">
        <f t="shared" si="92"/>
        <v>229.70004720044096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18.651531164567963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18.651531164567963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-1.2710188457276673E-13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462.09240749760784</v>
      </c>
      <c r="CE111" s="59">
        <f t="shared" si="94"/>
        <v>403.52202223463337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197.5898366080468</v>
      </c>
      <c r="CL111" s="21">
        <f>EXP(-LN(2)/25)*CL110+(1-EXP(-LN(2)/25))/(LN(2)/25)*Calculateur!CG111*Calculateur!CI111*VLOOKUP('Données projet'!$B$12,Paramètres!$A$1:$I$89,3,0)*0.475*44/12</f>
        <v>15.865017501738064</v>
      </c>
      <c r="CM111" s="21">
        <f>EXP(-LN(2)/2)*CM110+(1-EXP(-LN(2)/2))/(LN(2)/2)*CG111*CJ111*VLOOKUP('Données projet'!$B$12,Paramètres!$A$1:$I$89,3,0)*0.475*44/12</f>
        <v>1.0712349942883206E-3</v>
      </c>
      <c r="CN111" s="22">
        <f t="shared" si="66"/>
        <v>213.45592534477916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319.88925869887464</v>
      </c>
      <c r="CZ111" s="59">
        <f t="shared" si="96"/>
        <v>258.2857172412098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94.468238013453231</v>
      </c>
      <c r="DG111" s="21">
        <f>EXP(-LN(2)/25)*DG110+(1-EXP(-LN(2)/25))/(LN(2)/25)*Calculateur!DB111*Calculateur!DD111*VLOOKUP('Données projet'!$B$13,Paramètres!$A$1:$I$89,3,0)*0.475*44/12</f>
        <v>21.986495413796401</v>
      </c>
      <c r="DH111" s="21">
        <f>EXP(-LN(2)/2)*DH110+(1-EXP(-LN(2)/2))/(LN(2)/2)*DB111*DE111*VLOOKUP('Données projet'!$B$13,Paramètres!$A$1:$I$89,3,0)*0.475*44/12</f>
        <v>2.5722567147565467E-3</v>
      </c>
      <c r="DI111" s="22">
        <f t="shared" si="69"/>
        <v>116.45730568396439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-5.6843418860808015E-13</v>
      </c>
      <c r="DP111" s="17">
        <f>DO111*VLOOKUP('Données projet'!$B$14,Paramètres!$A$1:$I$89,3,0)*VLOOKUP('Données projet'!$B$14,Paramètres!$A$1:$I$89,5,0)</f>
        <v>-3.39923644787632E-13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443.64905827069435</v>
      </c>
      <c r="DU111" s="59">
        <f t="shared" si="98"/>
        <v>381.14782516862385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123.16689862933988</v>
      </c>
      <c r="EB111" s="21">
        <f>EXP(-LN(2)/25)*EB110+(1-EXP(-LN(2)/25))/(LN(2)/25)*Calculateur!DW111*Calculateur!DY111*VLOOKUP('Données projet'!$B$14,Paramètres!$A$1:$I$89,3,0)*0.475*44/12</f>
        <v>19.17022460638772</v>
      </c>
      <c r="EC111" s="21">
        <f>EXP(-LN(2)/2)*EC110+(1-EXP(-LN(2)/2))/(LN(2)/2)*DW111*DZ111*VLOOKUP('Données projet'!$B$14,Paramètres!$A$1:$I$89,3,0)*0.475*44/12</f>
        <v>6.2964340895031051E-4</v>
      </c>
      <c r="ED111" s="22">
        <f t="shared" si="72"/>
        <v>142.33775287913656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-3.4106051316484809E-13</v>
      </c>
      <c r="EK111" s="17">
        <f>EJ111*VLOOKUP('Données projet'!$B$15,Paramètres!$A$1:$I$89,3,0)*VLOOKUP('Données projet'!$B$15,Paramètres!$A$1:$I$89,5,0)</f>
        <v>-3.0859155231155454E-13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504.37890861635196</v>
      </c>
      <c r="EP111" s="59">
        <f t="shared" si="100"/>
        <v>611.82129317522913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27.028522649850999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27.028522649850999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3</v>
      </c>
      <c r="FE111" s="12">
        <f>IF('Données projet'!$A$218&gt;35,FE110+FD111-FM110,IF(A111&lt;'Données projet'!$A$218,$FB$205^A111,IF(A111='Données projet'!$A$218,'Données projet'!$B$218,FE110+FD111-FM110)))</f>
        <v>212.99999999999991</v>
      </c>
      <c r="FF111" s="17">
        <f>FE111*VLOOKUP('Données projet'!$B$16,Paramètres!$A$1:$I$89,3,0)*VLOOKUP('Données projet'!$B$16,Paramètres!$A$1:$I$89,5,0)</f>
        <v>229.27319999999992</v>
      </c>
      <c r="FG111" s="13">
        <f t="shared" si="101"/>
        <v>56.125501442527366</v>
      </c>
      <c r="FH111" s="20">
        <f t="shared" si="76"/>
        <v>497.06940501240166</v>
      </c>
      <c r="FI111" s="59">
        <f t="shared" si="77"/>
        <v>787.35612353420152</v>
      </c>
      <c r="FJ111" s="59">
        <f ca="1">AVERAGE(OFFSET($FI$3,0,0,'Données projet'!$E$16+1,1))-AVERAGE(OFFSET($H$3,0,0,'Données projet'!$E$16+1,1))</f>
        <v>334.01098870576732</v>
      </c>
      <c r="FK111" s="59">
        <f t="shared" si="102"/>
        <v>171.1802153303471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27.930045527399301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27.930045527399301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-1.7053025658242404E-13</v>
      </c>
      <c r="GA111" s="17">
        <f>FZ111*VLOOKUP('Données projet'!$B$17,Paramètres!$A$1:$I$89,3,0)*VLOOKUP('Données projet'!$B$17,Paramètres!$A$1:$I$89,5,0)</f>
        <v>-1.4897523215040567E-13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330.12856974146598</v>
      </c>
      <c r="GF111" s="59">
        <f t="shared" si="104"/>
        <v>321.23368446552286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67.273959974686917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67.273959974686917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69.169105051399967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4.4000000000000004</v>
      </c>
      <c r="GU111" s="12">
        <f>IF('Données projet'!$A$270&gt;35,GU110+GT111-HC110,IF(A111&lt;'Données projet'!$A$270,$GR$205^A111,IF(A111='Données projet'!$A$270,'Données projet'!$B$270,GU110+GT111-HC110)))</f>
        <v>296.1999999999997</v>
      </c>
      <c r="GV111" s="17">
        <f>GU111*VLOOKUP('Données projet'!$B$18,Paramètres!$A$1:$I$89,3,0)*VLOOKUP('Données projet'!$B$18,Paramètres!$A$1:$I$89,5,0)</f>
        <v>198.69095999999982</v>
      </c>
      <c r="GW111" s="13">
        <f t="shared" si="105"/>
        <v>49.456370497295758</v>
      </c>
      <c r="GX111" s="20">
        <f t="shared" si="82"/>
        <v>432.18993394945642</v>
      </c>
      <c r="GY111" s="59">
        <f t="shared" si="83"/>
        <v>722.47665247125633</v>
      </c>
      <c r="GZ111" s="59">
        <f ca="1">AVERAGE(OFFSET($GY$3,0,0,'Données projet'!$E$18+1,1))-AVERAGE(OFFSET($H$3,0,0,'Données projet'!$E$18+1,1))</f>
        <v>296.67751292332753</v>
      </c>
      <c r="HA111" s="59">
        <f t="shared" si="106"/>
        <v>197.99510031603018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28.757563425261885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28.757563425261885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1.1000000000000001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4.0333333333333341</v>
      </c>
      <c r="H112" s="67">
        <f t="shared" si="56"/>
        <v>240.5333333333333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352.79999999999984</v>
      </c>
      <c r="O112" s="13">
        <f>N112*VLOOKUP('Données projet'!$B$9,Paramètres!$A$1:$I$89,3,0)*VLOOKUP('Données projet'!$B$9,Paramètres!$A$1:$I$89,5,0)</f>
        <v>319.21343999999982</v>
      </c>
      <c r="P112" s="13">
        <f t="shared" si="87"/>
        <v>75.189671124171639</v>
      </c>
      <c r="Q112" s="20">
        <f t="shared" si="107"/>
        <v>686.91875187459857</v>
      </c>
      <c r="R112" s="59">
        <f t="shared" si="55"/>
        <v>977.25832235216831</v>
      </c>
      <c r="S112" s="59">
        <f ca="1">AVERAGE(OFFSET($R$3,0,0,'Données projet'!$E$9+1,1))-AVERAGE(OFFSET($H$3,0,0,'Données projet'!$E$9+1,1))</f>
        <v>461.20962581398715</v>
      </c>
      <c r="T112" s="59">
        <f t="shared" si="88"/>
        <v>348.44322874953923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41.857661850513949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41.857661850513949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352.79999999999984</v>
      </c>
      <c r="AJ112" s="13">
        <f>AI112*VLOOKUP('Données projet'!$B$10,Paramètres!$A$1:$I$89,3,0)*VLOOKUP('Données projet'!$B$10,Paramètres!$A$1:$I$89,5,0)</f>
        <v>357.73919999999987</v>
      </c>
      <c r="AK112" s="13">
        <f t="shared" si="89"/>
        <v>83.154058764636403</v>
      </c>
      <c r="AL112" s="20">
        <f t="shared" si="58"/>
        <v>767.8890923484081</v>
      </c>
      <c r="AM112" s="59">
        <f t="shared" si="59"/>
        <v>1058.2286628259778</v>
      </c>
      <c r="AN112" s="59">
        <f ca="1">AVERAGE(OFFSET($AM$3,0,0,'Données projet'!$E$10+1,1))-AVERAGE(OFFSET($H$3,0,0,'Données projet'!$E$10+1,1))</f>
        <v>510.86584023875525</v>
      </c>
      <c r="AO112" s="59">
        <f t="shared" si="90"/>
        <v>384.62921487244125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46.90944862557599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46.90944862557599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4.1677594708744434E-14</v>
      </c>
      <c r="BF112" s="13">
        <f t="shared" si="91"/>
        <v>6.9326303456159188E-13</v>
      </c>
      <c r="BG112" s="20">
        <f t="shared" si="61"/>
        <v>1.2800215959791691E-12</v>
      </c>
      <c r="BH112" s="59">
        <f t="shared" si="62"/>
        <v>290.33957047757099</v>
      </c>
      <c r="BI112" s="59">
        <f ca="1">AVERAGE(OFFSET($BH$3,0,0,'Données projet'!$E$11+1,1))-AVERAGE(OFFSET($H$3,0,0,'Données projet'!$E$11+1,1))</f>
        <v>201.7253431547006</v>
      </c>
      <c r="BJ112" s="59">
        <f t="shared" si="92"/>
        <v>229.70004720044096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18.285786014741479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18.285786014741479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-1.2710188457276673E-13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462.09240749760784</v>
      </c>
      <c r="CE112" s="59">
        <f t="shared" si="94"/>
        <v>403.52202223463337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193.71522043006317</v>
      </c>
      <c r="CL112" s="21">
        <f>EXP(-LN(2)/25)*CL111+(1-EXP(-LN(2)/25))/(LN(2)/25)*Calculateur!CG112*Calculateur!CI112*VLOOKUP('Données projet'!$B$12,Paramètres!$A$1:$I$89,3,0)*0.475*44/12</f>
        <v>15.431187763848026</v>
      </c>
      <c r="CM112" s="21">
        <f>EXP(-LN(2)/2)*CM111+(1-EXP(-LN(2)/2))/(LN(2)/2)*CG112*CJ112*VLOOKUP('Données projet'!$B$12,Paramètres!$A$1:$I$89,3,0)*0.475*44/12</f>
        <v>7.5747752870560404E-4</v>
      </c>
      <c r="CN112" s="22">
        <f t="shared" si="66"/>
        <v>209.14716567143989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319.88925869887464</v>
      </c>
      <c r="CZ112" s="59">
        <f t="shared" si="96"/>
        <v>258.2857172412098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92.615773485945098</v>
      </c>
      <c r="DG112" s="21">
        <f>EXP(-LN(2)/25)*DG111+(1-EXP(-LN(2)/25))/(LN(2)/25)*Calculateur!DB112*Calculateur!DD112*VLOOKUP('Données projet'!$B$13,Paramètres!$A$1:$I$89,3,0)*0.475*44/12</f>
        <v>21.385273540486594</v>
      </c>
      <c r="DH112" s="21">
        <f>EXP(-LN(2)/2)*DH111+(1-EXP(-LN(2)/2))/(LN(2)/2)*DB112*DE112*VLOOKUP('Données projet'!$B$13,Paramètres!$A$1:$I$89,3,0)*0.475*44/12</f>
        <v>1.8188601659569852E-3</v>
      </c>
      <c r="DI112" s="22">
        <f t="shared" si="69"/>
        <v>114.00286588659765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-5.6843418860808015E-13</v>
      </c>
      <c r="DP112" s="17">
        <f>DO112*VLOOKUP('Données projet'!$B$14,Paramètres!$A$1:$I$89,3,0)*VLOOKUP('Données projet'!$B$14,Paramètres!$A$1:$I$89,5,0)</f>
        <v>-3.39923644787632E-13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443.64905827069435</v>
      </c>
      <c r="DU112" s="59">
        <f t="shared" si="98"/>
        <v>381.14782516862385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120.75167087160878</v>
      </c>
      <c r="EB112" s="21">
        <f>EXP(-LN(2)/25)*EB111+(1-EXP(-LN(2)/25))/(LN(2)/25)*Calculateur!DW112*Calculateur!DY112*VLOOKUP('Données projet'!$B$14,Paramètres!$A$1:$I$89,3,0)*0.475*44/12</f>
        <v>18.646013806407751</v>
      </c>
      <c r="EC112" s="21">
        <f>EXP(-LN(2)/2)*EC111+(1-EXP(-LN(2)/2))/(LN(2)/2)*DW112*DZ112*VLOOKUP('Données projet'!$B$14,Paramètres!$A$1:$I$89,3,0)*0.475*44/12</f>
        <v>4.4522512419817908E-4</v>
      </c>
      <c r="ED112" s="22">
        <f t="shared" si="72"/>
        <v>139.39812990314073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-3.4106051316484809E-13</v>
      </c>
      <c r="EK112" s="17">
        <f>EJ112*VLOOKUP('Données projet'!$B$15,Paramètres!$A$1:$I$89,3,0)*VLOOKUP('Données projet'!$B$15,Paramètres!$A$1:$I$89,5,0)</f>
        <v>-3.0859155231155454E-13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504.37890861635196</v>
      </c>
      <c r="EP112" s="59">
        <f t="shared" si="100"/>
        <v>611.82129317522913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26.498509806458401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26.498509806458401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3</v>
      </c>
      <c r="FE112" s="12">
        <f>IF('Données projet'!$A$218&gt;35,FE111+FD112-FM111,IF(A112&lt;'Données projet'!$A$218,$FB$205^A112,IF(A112='Données projet'!$A$218,'Données projet'!$B$218,FE111+FD112-FM111)))</f>
        <v>215.99999999999991</v>
      </c>
      <c r="FF112" s="17">
        <f>FE112*VLOOKUP('Données projet'!$B$16,Paramètres!$A$1:$I$89,3,0)*VLOOKUP('Données projet'!$B$16,Paramètres!$A$1:$I$89,5,0)</f>
        <v>232.50239999999991</v>
      </c>
      <c r="FG112" s="13">
        <f t="shared" si="101"/>
        <v>56.823417677671891</v>
      </c>
      <c r="FH112" s="20">
        <f t="shared" si="76"/>
        <v>503.90913245527832</v>
      </c>
      <c r="FI112" s="59">
        <f t="shared" si="77"/>
        <v>794.248702932848</v>
      </c>
      <c r="FJ112" s="59">
        <f ca="1">AVERAGE(OFFSET($FI$3,0,0,'Données projet'!$E$16+1,1))-AVERAGE(OFFSET($H$3,0,0,'Données projet'!$E$16+1,1))</f>
        <v>334.01098870576732</v>
      </c>
      <c r="FK112" s="59">
        <f t="shared" si="102"/>
        <v>171.1802153303471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27.382354370252642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27.382354370252642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-1.7053025658242404E-13</v>
      </c>
      <c r="GA112" s="17">
        <f>FZ112*VLOOKUP('Données projet'!$B$17,Paramètres!$A$1:$I$89,3,0)*VLOOKUP('Données projet'!$B$17,Paramètres!$A$1:$I$89,5,0)</f>
        <v>-1.4897523215040567E-13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330.12856974146598</v>
      </c>
      <c r="GF112" s="59">
        <f t="shared" si="104"/>
        <v>321.23368446552286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65.954758652647214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65.954758652647214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69.183519221155365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4.4000000000000004</v>
      </c>
      <c r="GU112" s="12">
        <f>IF('Données projet'!$A$270&gt;35,GU111+GT112-HC111,IF(A112&lt;'Données projet'!$A$270,$GR$205^A112,IF(A112='Données projet'!$A$270,'Données projet'!$B$270,GU111+GT112-HC111)))</f>
        <v>300.59999999999968</v>
      </c>
      <c r="GV112" s="17">
        <f>GU112*VLOOKUP('Données projet'!$B$18,Paramètres!$A$1:$I$89,3,0)*VLOOKUP('Données projet'!$B$18,Paramètres!$A$1:$I$89,5,0)</f>
        <v>201.64247999999981</v>
      </c>
      <c r="GW112" s="13">
        <f t="shared" si="105"/>
        <v>50.104963112864461</v>
      </c>
      <c r="GX112" s="20">
        <f t="shared" si="82"/>
        <v>438.46013008823849</v>
      </c>
      <c r="GY112" s="59">
        <f t="shared" si="83"/>
        <v>728.79970056580817</v>
      </c>
      <c r="GZ112" s="59">
        <f ca="1">AVERAGE(OFFSET($GY$3,0,0,'Données projet'!$E$18+1,1))-AVERAGE(OFFSET($H$3,0,0,'Données projet'!$E$18+1,1))</f>
        <v>296.67751292332753</v>
      </c>
      <c r="HA112" s="59">
        <f t="shared" si="106"/>
        <v>197.99510031603018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28.193645146874221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28.193645146874221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1.1000000000000001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4.0333333333333341</v>
      </c>
      <c r="H113" s="67">
        <f t="shared" si="56"/>
        <v>240.5333333333333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357.99999999999983</v>
      </c>
      <c r="O113" s="13">
        <f>N113*VLOOKUP('Données projet'!$B$9,Paramètres!$A$1:$I$89,3,0)*VLOOKUP('Données projet'!$B$9,Paramètres!$A$1:$I$89,5,0)</f>
        <v>323.91839999999979</v>
      </c>
      <c r="P113" s="13">
        <f t="shared" si="87"/>
        <v>76.168074587293034</v>
      </c>
      <c r="Q113" s="20">
        <f t="shared" si="107"/>
        <v>696.81727657286831</v>
      </c>
      <c r="R113" s="59">
        <f t="shared" si="55"/>
        <v>987.20878214293441</v>
      </c>
      <c r="S113" s="59">
        <f ca="1">AVERAGE(OFFSET($R$3,0,0,'Données projet'!$E$9+1,1))-AVERAGE(OFFSET($H$3,0,0,'Données projet'!$E$9+1,1))</f>
        <v>461.20962581398715</v>
      </c>
      <c r="T113" s="59">
        <f t="shared" si="88"/>
        <v>348.44322874953923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58.584886724176549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58.584886724176549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357.99999999999983</v>
      </c>
      <c r="AJ113" s="13">
        <f>AI113*VLOOKUP('Données projet'!$B$10,Paramètres!$A$1:$I$89,3,0)*VLOOKUP('Données projet'!$B$10,Paramètres!$A$1:$I$89,5,0)</f>
        <v>363.01199999999989</v>
      </c>
      <c r="AK113" s="13">
        <f t="shared" si="89"/>
        <v>84.236098596059009</v>
      </c>
      <c r="AL113" s="20">
        <f t="shared" si="58"/>
        <v>778.95710505480247</v>
      </c>
      <c r="AM113" s="59">
        <f t="shared" si="59"/>
        <v>1069.3486106248686</v>
      </c>
      <c r="AN113" s="59">
        <f ca="1">AVERAGE(OFFSET($AM$3,0,0,'Données projet'!$E$10+1,1))-AVERAGE(OFFSET($H$3,0,0,'Données projet'!$E$10+1,1))</f>
        <v>510.86584023875525</v>
      </c>
      <c r="AO113" s="59">
        <f t="shared" si="90"/>
        <v>384.62921487244125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65.655476501232357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65.655476501232357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4.1677594708744434E-14</v>
      </c>
      <c r="BF113" s="13">
        <f t="shared" si="91"/>
        <v>6.9326303456159188E-13</v>
      </c>
      <c r="BG113" s="20">
        <f t="shared" si="61"/>
        <v>1.2800215959791691E-12</v>
      </c>
      <c r="BH113" s="59">
        <f t="shared" si="62"/>
        <v>290.39150557006741</v>
      </c>
      <c r="BI113" s="59">
        <f ca="1">AVERAGE(OFFSET($BH$3,0,0,'Données projet'!$E$11+1,1))-AVERAGE(OFFSET($H$3,0,0,'Données projet'!$E$11+1,1))</f>
        <v>201.7253431547006</v>
      </c>
      <c r="BJ113" s="59">
        <f t="shared" si="92"/>
        <v>229.70004720044096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17.927212904220578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17.927212904220578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-1.2710188457276673E-13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462.09240749760784</v>
      </c>
      <c r="CE113" s="59">
        <f t="shared" si="94"/>
        <v>403.52202223463337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189.91658311204731</v>
      </c>
      <c r="CL113" s="21">
        <f>EXP(-LN(2)/25)*CL112+(1-EXP(-LN(2)/25))/(LN(2)/25)*Calculateur!CG113*Calculateur!CI113*VLOOKUP('Données projet'!$B$12,Paramètres!$A$1:$I$89,3,0)*0.475*44/12</f>
        <v>15.009221122954706</v>
      </c>
      <c r="CM113" s="21">
        <f>EXP(-LN(2)/2)*CM112+(1-EXP(-LN(2)/2))/(LN(2)/2)*CG113*CJ113*VLOOKUP('Données projet'!$B$12,Paramètres!$A$1:$I$89,3,0)*0.475*44/12</f>
        <v>5.3561749714416032E-4</v>
      </c>
      <c r="CN113" s="22">
        <f t="shared" si="66"/>
        <v>204.92633985249915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319.88925869887464</v>
      </c>
      <c r="CZ113" s="59">
        <f t="shared" si="96"/>
        <v>258.2857172412098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90.799634657929616</v>
      </c>
      <c r="DG113" s="21">
        <f>EXP(-LN(2)/25)*DG112+(1-EXP(-LN(2)/25))/(LN(2)/25)*Calculateur!DB113*Calculateur!DD113*VLOOKUP('Données projet'!$B$13,Paramètres!$A$1:$I$89,3,0)*0.475*44/12</f>
        <v>20.800492110919329</v>
      </c>
      <c r="DH113" s="21">
        <f>EXP(-LN(2)/2)*DH112+(1-EXP(-LN(2)/2))/(LN(2)/2)*DB113*DE113*VLOOKUP('Données projet'!$B$13,Paramètres!$A$1:$I$89,3,0)*0.475*44/12</f>
        <v>1.2861283573782736E-3</v>
      </c>
      <c r="DI113" s="22">
        <f t="shared" si="69"/>
        <v>111.60141289720633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-5.6843418860808015E-13</v>
      </c>
      <c r="DP113" s="17">
        <f>DO113*VLOOKUP('Données projet'!$B$14,Paramètres!$A$1:$I$89,3,0)*VLOOKUP('Données projet'!$B$14,Paramètres!$A$1:$I$89,5,0)</f>
        <v>-3.39923644787632E-13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443.64905827069435</v>
      </c>
      <c r="DU113" s="59">
        <f t="shared" si="98"/>
        <v>381.14782516862385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118.3838042570633</v>
      </c>
      <c r="EB113" s="21">
        <f>EXP(-LN(2)/25)*EB112+(1-EXP(-LN(2)/25))/(LN(2)/25)*Calculateur!DW113*Calculateur!DY113*VLOOKUP('Données projet'!$B$14,Paramètres!$A$1:$I$89,3,0)*0.475*44/12</f>
        <v>18.13613757832028</v>
      </c>
      <c r="EC113" s="21">
        <f>EXP(-LN(2)/2)*EC112+(1-EXP(-LN(2)/2))/(LN(2)/2)*DW113*DZ113*VLOOKUP('Données projet'!$B$14,Paramètres!$A$1:$I$89,3,0)*0.475*44/12</f>
        <v>3.1482170447515525E-4</v>
      </c>
      <c r="ED113" s="22">
        <f t="shared" si="72"/>
        <v>136.52025665708805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-3.4106051316484809E-13</v>
      </c>
      <c r="EK113" s="17">
        <f>EJ113*VLOOKUP('Données projet'!$B$15,Paramètres!$A$1:$I$89,3,0)*VLOOKUP('Données projet'!$B$15,Paramètres!$A$1:$I$89,5,0)</f>
        <v>-3.0859155231155454E-13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504.37890861635196</v>
      </c>
      <c r="EP113" s="59">
        <f t="shared" si="100"/>
        <v>611.82129317522913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25.978890191648819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25.978890191648819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219</v>
      </c>
      <c r="FC113" s="12">
        <f>VLOOKUP(A113,'Données projet'!$A$217:$I$237,9,0)</f>
        <v>3</v>
      </c>
      <c r="FD113" s="12">
        <f t="array" ref="FD113">INDEX(FC:FC,MIN(IF(ISNUMBER(FC113:FC309),ROW(FC113:FC309),"")))</f>
        <v>3</v>
      </c>
      <c r="FE113" s="12">
        <f>IF('Données projet'!$A$218&gt;35,FE112+FD113-FM112,IF(A113&lt;'Données projet'!$A$218,$FB$205^A113,IF(A113='Données projet'!$A$218,'Données projet'!$B$218,FE112+FD113-FM112)))</f>
        <v>218.99999999999991</v>
      </c>
      <c r="FF113" s="17">
        <f>FE113*VLOOKUP('Données projet'!$B$16,Paramètres!$A$1:$I$89,3,0)*VLOOKUP('Données projet'!$B$16,Paramètres!$A$1:$I$89,5,0)</f>
        <v>235.7315999999999</v>
      </c>
      <c r="FG113" s="13">
        <f t="shared" si="101"/>
        <v>57.520206488125218</v>
      </c>
      <c r="FH113" s="20">
        <f t="shared" si="76"/>
        <v>510.74689630015126</v>
      </c>
      <c r="FI113" s="59">
        <f t="shared" si="77"/>
        <v>801.13840187021742</v>
      </c>
      <c r="FJ113" s="59">
        <f ca="1">AVERAGE(OFFSET($FI$3,0,0,'Données projet'!$E$16+1,1))-AVERAGE(OFFSET($H$3,0,0,'Données projet'!$E$16+1,1))</f>
        <v>334.01098870576732</v>
      </c>
      <c r="FK113" s="59">
        <f t="shared" si="102"/>
        <v>171.1802153303471</v>
      </c>
      <c r="FL113" s="15">
        <f>IF(ISNA(VLOOKUP(A113,'Données projet'!$A$217:$I$237,3,0)),0,VLOOKUP(A113,'Données projet'!$A$217:$I$237,3,0))</f>
        <v>18</v>
      </c>
      <c r="FM113" s="15">
        <f>IF(ISNA(VLOOKUP(A113,'Données projet'!$A$217:$I$237,4,0)),0,VLOOKUP(A113,'Données projet'!$A$217:$I$237,4,0))</f>
        <v>13</v>
      </c>
      <c r="FN113" s="16">
        <f>IF(ISNA(VLOOKUP(A113,'Données projet'!$A$217:$I$237,5,0)),0%,VLOOKUP(A113,'Données projet'!$A$217:$I$237,5,0)*VLOOKUP('Données projet'!$B$16,Paramètres!$A$1:$I$89,7,0))</f>
        <v>0.30099999999999999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31.501592605218033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31.501592605218033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-1.7053025658242404E-13</v>
      </c>
      <c r="GA113" s="17">
        <f>FZ113*VLOOKUP('Données projet'!$B$17,Paramètres!$A$1:$I$89,3,0)*VLOOKUP('Données projet'!$B$17,Paramètres!$A$1:$I$89,5,0)</f>
        <v>-1.4897523215040567E-13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330.12856974146598</v>
      </c>
      <c r="GF113" s="59">
        <f t="shared" si="104"/>
        <v>321.23368446552286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64.661426063899356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64.661426063899356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69.197683337290755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305</v>
      </c>
      <c r="GS113" s="12">
        <f>VLOOKUP(A113,'Données projet'!$A$269:$I$289,9,0)</f>
        <v>4.4000000000000004</v>
      </c>
      <c r="GT113" s="12">
        <f t="array" ref="GT113">INDEX(GS:GS,MIN(IF(ISNUMBER(GS113:GS309),ROW(GS113:GS309),"")))</f>
        <v>4.4000000000000004</v>
      </c>
      <c r="GU113" s="12">
        <f>IF('Données projet'!$A$270&gt;35,GU112+GT113-HC112,IF(A113&lt;'Données projet'!$A$270,$GR$205^A113,IF(A113='Données projet'!$A$270,'Données projet'!$B$270,GU112+GT113-HC112)))</f>
        <v>304.99999999999966</v>
      </c>
      <c r="GV113" s="17">
        <f>GU113*VLOOKUP('Données projet'!$B$18,Paramètres!$A$1:$I$89,3,0)*VLOOKUP('Données projet'!$B$18,Paramètres!$A$1:$I$89,5,0)</f>
        <v>204.5939999999998</v>
      </c>
      <c r="GW113" s="13">
        <f t="shared" si="105"/>
        <v>50.752451560432398</v>
      </c>
      <c r="GX113" s="20">
        <f t="shared" si="82"/>
        <v>444.72840313441935</v>
      </c>
      <c r="GY113" s="59">
        <f t="shared" si="83"/>
        <v>735.1199087044854</v>
      </c>
      <c r="GZ113" s="59">
        <f ca="1">AVERAGE(OFFSET($GY$3,0,0,'Données projet'!$E$18+1,1))-AVERAGE(OFFSET($H$3,0,0,'Données projet'!$E$18+1,1))</f>
        <v>296.67751292332753</v>
      </c>
      <c r="HA113" s="59">
        <f t="shared" si="106"/>
        <v>197.99510031603018</v>
      </c>
      <c r="HB113" s="15">
        <f>IF(ISNA(VLOOKUP(A113,'Données projet'!$A$269:$I$289,3,0)),0,VLOOKUP(A113,'Données projet'!$A$269:$I$289,3,0))</f>
        <v>19</v>
      </c>
      <c r="HC113" s="15">
        <f>IF(ISNA(VLOOKUP(A113,'Données projet'!$A$269:$I$289,4,0)),0,VLOOKUP(A113,'Données projet'!$A$269:$I$289,4,0))</f>
        <v>39</v>
      </c>
      <c r="HD113" s="16">
        <f>IF(ISNA(VLOOKUP(A113,'Données projet'!$A$269:$I$289,5,0)),0%,VLOOKUP(A113,'Données projet'!$A$269:$I$289,5,0)*VLOOKUP('Données projet'!$B$18,Paramètres!$A$1:$I$89,7,0))</f>
        <v>0.42400000000000004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39.903047999817417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39.903047999817417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1.1000000000000001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4.0333333333333341</v>
      </c>
      <c r="H114" s="67">
        <f t="shared" si="56"/>
        <v>240.5333333333333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311.79999999999984</v>
      </c>
      <c r="O114" s="13">
        <f>N114*VLOOKUP('Données projet'!$B$9,Paramètres!$A$1:$I$89,3,0)*VLOOKUP('Données projet'!$B$9,Paramètres!$A$1:$I$89,5,0)</f>
        <v>282.11663999999985</v>
      </c>
      <c r="P114" s="13">
        <f t="shared" si="87"/>
        <v>67.414119514142243</v>
      </c>
      <c r="Q114" s="20">
        <f t="shared" si="107"/>
        <v>608.76607282046416</v>
      </c>
      <c r="R114" s="59">
        <f t="shared" si="55"/>
        <v>899.2086125252813</v>
      </c>
      <c r="S114" s="59">
        <f ca="1">AVERAGE(OFFSET($R$3,0,0,'Données projet'!$E$9+1,1))-AVERAGE(OFFSET($H$3,0,0,'Données projet'!$E$9+1,1))</f>
        <v>461.20962581398715</v>
      </c>
      <c r="T114" s="59">
        <f t="shared" si="88"/>
        <v>348.44322874953923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57.436072828767983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57.436072828767983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311.79999999999984</v>
      </c>
      <c r="AJ114" s="13">
        <f>AI114*VLOOKUP('Données projet'!$B$10,Paramètres!$A$1:$I$89,3,0)*VLOOKUP('Données projet'!$B$10,Paramètres!$A$1:$I$89,5,0)</f>
        <v>316.16519999999986</v>
      </c>
      <c r="AK114" s="13">
        <f t="shared" si="89"/>
        <v>74.554889944758472</v>
      </c>
      <c r="AL114" s="20">
        <f t="shared" si="58"/>
        <v>680.50415665378739</v>
      </c>
      <c r="AM114" s="59">
        <f t="shared" si="59"/>
        <v>970.94669635860464</v>
      </c>
      <c r="AN114" s="59">
        <f ca="1">AVERAGE(OFFSET($AM$3,0,0,'Données projet'!$E$10+1,1))-AVERAGE(OFFSET($H$3,0,0,'Données projet'!$E$10+1,1))</f>
        <v>510.86584023875525</v>
      </c>
      <c r="AO114" s="59">
        <f t="shared" si="90"/>
        <v>384.62921487244125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64.36801265292965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64.36801265292965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4.1677594708744434E-14</v>
      </c>
      <c r="BF114" s="13">
        <f t="shared" si="91"/>
        <v>6.9326303456159188E-13</v>
      </c>
      <c r="BG114" s="20">
        <f t="shared" si="61"/>
        <v>1.2800215959791691E-12</v>
      </c>
      <c r="BH114" s="59">
        <f t="shared" si="62"/>
        <v>290.4425397048185</v>
      </c>
      <c r="BI114" s="59">
        <f ca="1">AVERAGE(OFFSET($BH$3,0,0,'Données projet'!$E$11+1,1))-AVERAGE(OFFSET($H$3,0,0,'Données projet'!$E$11+1,1))</f>
        <v>201.7253431547006</v>
      </c>
      <c r="BJ114" s="59">
        <f t="shared" si="92"/>
        <v>229.70004720044096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17.57567119368899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17.57567119368899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-1.2710188457276673E-13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462.09240749760784</v>
      </c>
      <c r="CE114" s="59">
        <f t="shared" si="94"/>
        <v>403.52202223463337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186.19243475489773</v>
      </c>
      <c r="CL114" s="21">
        <f>EXP(-LN(2)/25)*CL113+(1-EXP(-LN(2)/25))/(LN(2)/25)*Calculateur!CG114*Calculateur!CI114*VLOOKUP('Données projet'!$B$12,Paramètres!$A$1:$I$89,3,0)*0.475*44/12</f>
        <v>14.598793182046874</v>
      </c>
      <c r="CM114" s="21">
        <f>EXP(-LN(2)/2)*CM113+(1-EXP(-LN(2)/2))/(LN(2)/2)*CG114*CJ114*VLOOKUP('Données projet'!$B$12,Paramètres!$A$1:$I$89,3,0)*0.475*44/12</f>
        <v>3.7873876435280202E-4</v>
      </c>
      <c r="CN114" s="22">
        <f t="shared" si="66"/>
        <v>200.79160667570895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319.88925869887464</v>
      </c>
      <c r="CZ114" s="59">
        <f t="shared" si="96"/>
        <v>258.2857172412098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89.019109204596205</v>
      </c>
      <c r="DG114" s="21">
        <f>EXP(-LN(2)/25)*DG113+(1-EXP(-LN(2)/25))/(LN(2)/25)*Calculateur!DB114*Calculateur!DD114*VLOOKUP('Données projet'!$B$13,Paramètres!$A$1:$I$89,3,0)*0.475*44/12</f>
        <v>20.2317015602959</v>
      </c>
      <c r="DH114" s="21">
        <f>EXP(-LN(2)/2)*DH113+(1-EXP(-LN(2)/2))/(LN(2)/2)*DB114*DE114*VLOOKUP('Données projet'!$B$13,Paramètres!$A$1:$I$89,3,0)*0.475*44/12</f>
        <v>9.094300829784927E-4</v>
      </c>
      <c r="DI114" s="22">
        <f t="shared" si="69"/>
        <v>109.25172019497509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-5.6843418860808015E-13</v>
      </c>
      <c r="DP114" s="17">
        <f>DO114*VLOOKUP('Données projet'!$B$14,Paramètres!$A$1:$I$89,3,0)*VLOOKUP('Données projet'!$B$14,Paramètres!$A$1:$I$89,5,0)</f>
        <v>-3.39923644787632E-13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443.64905827069435</v>
      </c>
      <c r="DU114" s="59">
        <f t="shared" si="98"/>
        <v>381.14782516862385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116.06237006257304</v>
      </c>
      <c r="EB114" s="21">
        <f>EXP(-LN(2)/25)*EB113+(1-EXP(-LN(2)/25))/(LN(2)/25)*Calculateur!DW114*Calculateur!DY114*VLOOKUP('Données projet'!$B$14,Paramètres!$A$1:$I$89,3,0)*0.475*44/12</f>
        <v>17.640203942503089</v>
      </c>
      <c r="EC114" s="21">
        <f>EXP(-LN(2)/2)*EC113+(1-EXP(-LN(2)/2))/(LN(2)/2)*DW114*DZ114*VLOOKUP('Données projet'!$B$14,Paramètres!$A$1:$I$89,3,0)*0.475*44/12</f>
        <v>2.2261256209908954E-4</v>
      </c>
      <c r="ED114" s="22">
        <f t="shared" si="72"/>
        <v>133.70279661763823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-3.4106051316484809E-13</v>
      </c>
      <c r="EK114" s="17">
        <f>EJ114*VLOOKUP('Données projet'!$B$15,Paramètres!$A$1:$I$89,3,0)*VLOOKUP('Données projet'!$B$15,Paramètres!$A$1:$I$89,5,0)</f>
        <v>-3.0859155231155454E-13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504.37890861635196</v>
      </c>
      <c r="EP114" s="59">
        <f t="shared" si="100"/>
        <v>611.82129317522913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25.469460000548985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25.469460000548985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2.6</v>
      </c>
      <c r="FE114" s="12">
        <f>IF('Données projet'!$A$218&gt;35,FE113+FD114-FM113,IF(A114&lt;'Données projet'!$A$218,$FB$205^A114,IF(A114='Données projet'!$A$218,'Données projet'!$B$218,FE113+FD114-FM113)))</f>
        <v>208.59999999999991</v>
      </c>
      <c r="FF114" s="17">
        <f>FE114*VLOOKUP('Données projet'!$B$16,Paramètres!$A$1:$I$89,3,0)*VLOOKUP('Données projet'!$B$16,Paramètres!$A$1:$I$89,5,0)</f>
        <v>224.53703999999988</v>
      </c>
      <c r="FG114" s="13">
        <f t="shared" si="101"/>
        <v>55.099814359746397</v>
      </c>
      <c r="FH114" s="20">
        <f t="shared" si="76"/>
        <v>487.03418800989147</v>
      </c>
      <c r="FI114" s="59">
        <f t="shared" si="77"/>
        <v>777.47672771470866</v>
      </c>
      <c r="FJ114" s="59">
        <f ca="1">AVERAGE(OFFSET($FI$3,0,0,'Données projet'!$E$16+1,1))-AVERAGE(OFFSET($H$3,0,0,'Données projet'!$E$16+1,1))</f>
        <v>334.01098870576732</v>
      </c>
      <c r="FK114" s="59">
        <f t="shared" si="102"/>
        <v>171.1802153303471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30.883865588303966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30.883865588303966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-1.7053025658242404E-13</v>
      </c>
      <c r="GA114" s="17">
        <f>FZ114*VLOOKUP('Données projet'!$B$17,Paramètres!$A$1:$I$89,3,0)*VLOOKUP('Données projet'!$B$17,Paramètres!$A$1:$I$89,5,0)</f>
        <v>-1.4897523215040567E-13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330.12856974146598</v>
      </c>
      <c r="GF114" s="59">
        <f t="shared" si="104"/>
        <v>321.23368446552286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63.393454938361856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63.393454938361856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69.211601737677412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3.8</v>
      </c>
      <c r="GU114" s="12">
        <f>IF('Données projet'!$A$270&gt;35,GU113+GT114-HC113,IF(A114&lt;'Données projet'!$A$270,$GR$205^A114,IF(A114='Données projet'!$A$270,'Données projet'!$B$270,GU113+GT114-HC113)))</f>
        <v>269.79999999999967</v>
      </c>
      <c r="GV114" s="17">
        <f>GU114*VLOOKUP('Données projet'!$B$18,Paramètres!$A$1:$I$89,3,0)*VLOOKUP('Données projet'!$B$18,Paramètres!$A$1:$I$89,5,0)</f>
        <v>180.98183999999978</v>
      </c>
      <c r="GW114" s="13">
        <f t="shared" si="105"/>
        <v>45.540558270866825</v>
      </c>
      <c r="GX114" s="20">
        <f t="shared" si="82"/>
        <v>394.5265103217593</v>
      </c>
      <c r="GY114" s="59">
        <f t="shared" si="83"/>
        <v>684.9690500265765</v>
      </c>
      <c r="GZ114" s="59">
        <f ca="1">AVERAGE(OFFSET($GY$3,0,0,'Données projet'!$E$18+1,1))-AVERAGE(OFFSET($H$3,0,0,'Données projet'!$E$18+1,1))</f>
        <v>296.67751292332753</v>
      </c>
      <c r="HA114" s="59">
        <f t="shared" si="106"/>
        <v>197.99510031603018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39.120573566997052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39.120573566997052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1.1000000000000001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4.0333333333333341</v>
      </c>
      <c r="H115" s="67">
        <f t="shared" si="56"/>
        <v>240.5333333333333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316.59999999999985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9">
        <f t="shared" si="55"/>
        <v>908.41858354154306</v>
      </c>
      <c r="S115" s="59">
        <f ca="1">AVERAGE(OFFSET($R$3,0,0,'Données projet'!$E$9+1,1))-AVERAGE(OFFSET($H$3,0,0,'Données projet'!$E$9+1,1))</f>
        <v>461.20962581398715</v>
      </c>
      <c r="T115" s="59">
        <f t="shared" si="88"/>
        <v>348.44322874953923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56.309786473141095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56.309786473141095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316.59999999999985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9">
        <f t="shared" si="59"/>
        <v>981.23860162288702</v>
      </c>
      <c r="AN115" s="59">
        <f ca="1">AVERAGE(OFFSET($AM$3,0,0,'Données projet'!$E$10+1,1))-AVERAGE(OFFSET($H$3,0,0,'Données projet'!$E$10+1,1))</f>
        <v>510.86584023875525</v>
      </c>
      <c r="AO115" s="59">
        <f t="shared" si="90"/>
        <v>384.62921487244125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63.105795185416753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63.105795185416753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4.1677594708744434E-14</v>
      </c>
      <c r="BF115" s="13">
        <f t="shared" si="91"/>
        <v>6.9326303456159188E-13</v>
      </c>
      <c r="BG115" s="20">
        <f t="shared" si="61"/>
        <v>1.2800215959791691E-12</v>
      </c>
      <c r="BH115" s="59">
        <f t="shared" si="62"/>
        <v>290.49268851142688</v>
      </c>
      <c r="BI115" s="59">
        <f ca="1">AVERAGE(OFFSET($BH$3,0,0,'Données projet'!$E$11+1,1))-AVERAGE(OFFSET($H$3,0,0,'Données projet'!$E$11+1,1))</f>
        <v>201.7253431547006</v>
      </c>
      <c r="BJ115" s="59">
        <f t="shared" si="92"/>
        <v>229.70004720044096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17.231023001681656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17.231023001681656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-1.2710188457276673E-13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462.09240749760784</v>
      </c>
      <c r="CE115" s="59">
        <f t="shared" si="94"/>
        <v>403.52202223463337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182.54131467552565</v>
      </c>
      <c r="CL115" s="21">
        <f>EXP(-LN(2)/25)*CL114+(1-EXP(-LN(2)/25))/(LN(2)/25)*Calculateur!CG115*Calculateur!CI115*VLOOKUP('Données projet'!$B$12,Paramètres!$A$1:$I$89,3,0)*0.475*44/12</f>
        <v>14.199588414766636</v>
      </c>
      <c r="CM115" s="21">
        <f>EXP(-LN(2)/2)*CM114+(1-EXP(-LN(2)/2))/(LN(2)/2)*CG115*CJ115*VLOOKUP('Données projet'!$B$12,Paramètres!$A$1:$I$89,3,0)*0.475*44/12</f>
        <v>2.6780874857208016E-4</v>
      </c>
      <c r="CN115" s="22">
        <f t="shared" si="66"/>
        <v>196.74117089904084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319.88925869887464</v>
      </c>
      <c r="CZ115" s="59">
        <f t="shared" si="96"/>
        <v>258.2857172412098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87.273498769389377</v>
      </c>
      <c r="DG115" s="21">
        <f>EXP(-LN(2)/25)*DG114+(1-EXP(-LN(2)/25))/(LN(2)/25)*Calculateur!DB115*Calculateur!DD115*VLOOKUP('Données projet'!$B$13,Paramètres!$A$1:$I$89,3,0)*0.475*44/12</f>
        <v>19.678464617190663</v>
      </c>
      <c r="DH115" s="21">
        <f>EXP(-LN(2)/2)*DH114+(1-EXP(-LN(2)/2))/(LN(2)/2)*DB115*DE115*VLOOKUP('Données projet'!$B$13,Paramètres!$A$1:$I$89,3,0)*0.475*44/12</f>
        <v>6.4306417868913689E-4</v>
      </c>
      <c r="DI115" s="22">
        <f t="shared" si="69"/>
        <v>106.95260645075874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-5.6843418860808015E-13</v>
      </c>
      <c r="DP115" s="17">
        <f>DO115*VLOOKUP('Données projet'!$B$14,Paramètres!$A$1:$I$89,3,0)*VLOOKUP('Données projet'!$B$14,Paramètres!$A$1:$I$89,5,0)</f>
        <v>-3.39923644787632E-13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443.64905827069435</v>
      </c>
      <c r="DU115" s="59">
        <f t="shared" si="98"/>
        <v>381.14782516862385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113.78645777670168</v>
      </c>
      <c r="EB115" s="21">
        <f>EXP(-LN(2)/25)*EB114+(1-EXP(-LN(2)/25))/(LN(2)/25)*Calculateur!DW115*Calculateur!DY115*VLOOKUP('Données projet'!$B$14,Paramètres!$A$1:$I$89,3,0)*0.475*44/12</f>
        <v>17.157831638037333</v>
      </c>
      <c r="EC115" s="21">
        <f>EXP(-LN(2)/2)*EC114+(1-EXP(-LN(2)/2))/(LN(2)/2)*DW115*DZ115*VLOOKUP('Données projet'!$B$14,Paramètres!$A$1:$I$89,3,0)*0.475*44/12</f>
        <v>1.5741085223757763E-4</v>
      </c>
      <c r="ED115" s="22">
        <f t="shared" si="72"/>
        <v>130.94444682559126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-3.4106051316484809E-13</v>
      </c>
      <c r="EK115" s="17">
        <f>EJ115*VLOOKUP('Données projet'!$B$15,Paramètres!$A$1:$I$89,3,0)*VLOOKUP('Données projet'!$B$15,Paramètres!$A$1:$I$89,5,0)</f>
        <v>-3.0859155231155454E-13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504.37890861635196</v>
      </c>
      <c r="EP115" s="59">
        <f t="shared" si="100"/>
        <v>611.82129317522913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24.970019424774883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24.970019424774883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2.6</v>
      </c>
      <c r="FE115" s="12">
        <f>IF('Données projet'!$A$218&gt;35,FE114+FD115-FM114,IF(A115&lt;'Données projet'!$A$218,$FB$205^A115,IF(A115='Données projet'!$A$218,'Données projet'!$B$218,FE114+FD115-FM114)))</f>
        <v>211.1999999999999</v>
      </c>
      <c r="FF115" s="17">
        <f>FE115*VLOOKUP('Données projet'!$B$16,Paramètres!$A$1:$I$89,3,0)*VLOOKUP('Données projet'!$B$16,Paramètres!$A$1:$I$89,5,0)</f>
        <v>227.33567999999988</v>
      </c>
      <c r="FG115" s="13">
        <f t="shared" si="101"/>
        <v>55.706203178450444</v>
      </c>
      <c r="FH115" s="20">
        <f t="shared" si="76"/>
        <v>492.96461320246772</v>
      </c>
      <c r="FI115" s="59">
        <f t="shared" si="77"/>
        <v>783.45730171389323</v>
      </c>
      <c r="FJ115" s="59">
        <f ca="1">AVERAGE(OFFSET($FI$3,0,0,'Données projet'!$E$16+1,1))-AVERAGE(OFFSET($H$3,0,0,'Données projet'!$E$16+1,1))</f>
        <v>334.01098870576732</v>
      </c>
      <c r="FK115" s="59">
        <f t="shared" si="102"/>
        <v>171.1802153303471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30.278251821415306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30.278251821415306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-1.7053025658242404E-13</v>
      </c>
      <c r="GA115" s="17">
        <f>FZ115*VLOOKUP('Données projet'!$B$17,Paramètres!$A$1:$I$89,3,0)*VLOOKUP('Données projet'!$B$17,Paramètres!$A$1:$I$89,5,0)</f>
        <v>-1.4897523215040567E-13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330.12856974146598</v>
      </c>
      <c r="GF115" s="59">
        <f t="shared" si="104"/>
        <v>321.23368446552286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62.150347953210122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62.150347953210122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69.225278684934253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3.8</v>
      </c>
      <c r="GU115" s="12">
        <f>IF('Données projet'!$A$270&gt;35,GU114+GT115-HC114,IF(A115&lt;'Données projet'!$A$270,$GR$205^A115,IF(A115='Données projet'!$A$270,'Données projet'!$B$270,GU114+GT115-HC114)))</f>
        <v>273.59999999999968</v>
      </c>
      <c r="GV115" s="17">
        <f>GU115*VLOOKUP('Données projet'!$B$18,Paramètres!$A$1:$I$89,3,0)*VLOOKUP('Données projet'!$B$18,Paramètres!$A$1:$I$89,5,0)</f>
        <v>183.5308799999998</v>
      </c>
      <c r="GW115" s="13">
        <f t="shared" si="105"/>
        <v>46.106851562826662</v>
      </c>
      <c r="GX115" s="20">
        <f t="shared" si="82"/>
        <v>399.9523824719227</v>
      </c>
      <c r="GY115" s="59">
        <f t="shared" si="83"/>
        <v>690.44507098334827</v>
      </c>
      <c r="GZ115" s="59">
        <f ca="1">AVERAGE(OFFSET($GY$3,0,0,'Données projet'!$E$18+1,1))-AVERAGE(OFFSET($H$3,0,0,'Données projet'!$E$18+1,1))</f>
        <v>296.67751292332753</v>
      </c>
      <c r="HA115" s="59">
        <f t="shared" si="106"/>
        <v>197.99510031603018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38.35344298054202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38.35344298054202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1.1000000000000001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4.0333333333333341</v>
      </c>
      <c r="H116" s="67">
        <f t="shared" si="56"/>
        <v>240.5333333333333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321.39999999999986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9">
        <f t="shared" si="55"/>
        <v>917.62487095535471</v>
      </c>
      <c r="S116" s="59">
        <f ca="1">AVERAGE(OFFSET($R$3,0,0,'Données projet'!$E$9+1,1))-AVERAGE(OFFSET($H$3,0,0,'Données projet'!$E$9+1,1))</f>
        <v>461.20962581398715</v>
      </c>
      <c r="T116" s="59">
        <f t="shared" si="88"/>
        <v>348.44322874953923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55.205585905981202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55.205585905981202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321.39999999999986</v>
      </c>
      <c r="AJ116" s="13">
        <f>AI116*VLOOKUP('Données projet'!$B$10,Paramètres!$A$1:$I$89,3,0)*VLOOKUP('Données projet'!$B$10,Paramètres!$A$1:$I$89,5,0)</f>
        <v>325.89959999999985</v>
      </c>
      <c r="AK116" s="13">
        <f t="shared" si="89"/>
        <v>76.579572003009432</v>
      </c>
      <c r="AL116" s="20">
        <f t="shared" si="58"/>
        <v>700.9845579052411</v>
      </c>
      <c r="AM116" s="59">
        <f t="shared" si="59"/>
        <v>991.52652525359645</v>
      </c>
      <c r="AN116" s="59">
        <f ca="1">AVERAGE(OFFSET($AM$3,0,0,'Données projet'!$E$10+1,1))-AVERAGE(OFFSET($H$3,0,0,'Données projet'!$E$10+1,1))</f>
        <v>510.86584023875525</v>
      </c>
      <c r="AO116" s="59">
        <f t="shared" si="90"/>
        <v>384.62921487244125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61.86832903256515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61.86832903256515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4.1677594708744434E-14</v>
      </c>
      <c r="BF116" s="13">
        <f t="shared" si="91"/>
        <v>6.9326303456159188E-13</v>
      </c>
      <c r="BG116" s="20">
        <f t="shared" si="61"/>
        <v>1.2800215959791691E-12</v>
      </c>
      <c r="BH116" s="59">
        <f t="shared" si="62"/>
        <v>290.54196734835659</v>
      </c>
      <c r="BI116" s="59">
        <f ca="1">AVERAGE(OFFSET($BH$3,0,0,'Données projet'!$E$11+1,1))-AVERAGE(OFFSET($H$3,0,0,'Données projet'!$E$11+1,1))</f>
        <v>201.7253431547006</v>
      </c>
      <c r="BJ116" s="59">
        <f t="shared" si="92"/>
        <v>229.70004720044096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16.893133150504944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16.893133150504944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-1.2710188457276673E-13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462.09240749760784</v>
      </c>
      <c r="CE116" s="59">
        <f t="shared" si="94"/>
        <v>403.52202223463337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178.96179083394671</v>
      </c>
      <c r="CL116" s="21">
        <f>EXP(-LN(2)/25)*CL115+(1-EXP(-LN(2)/25))/(LN(2)/25)*Calculateur!CG116*Calculateur!CI116*VLOOKUP('Données projet'!$B$12,Paramètres!$A$1:$I$89,3,0)*0.475*44/12</f>
        <v>13.811299922840941</v>
      </c>
      <c r="CM116" s="21">
        <f>EXP(-LN(2)/2)*CM115+(1-EXP(-LN(2)/2))/(LN(2)/2)*CG116*CJ116*VLOOKUP('Données projet'!$B$12,Paramètres!$A$1:$I$89,3,0)*0.475*44/12</f>
        <v>1.8936938217640101E-4</v>
      </c>
      <c r="CN116" s="22">
        <f t="shared" si="66"/>
        <v>192.77328012616982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319.88925869887464</v>
      </c>
      <c r="CZ116" s="59">
        <f t="shared" si="96"/>
        <v>258.2857172412098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85.562118690099723</v>
      </c>
      <c r="DG116" s="21">
        <f>EXP(-LN(2)/25)*DG115+(1-EXP(-LN(2)/25))/(LN(2)/25)*Calculateur!DB116*Calculateur!DD116*VLOOKUP('Données projet'!$B$13,Paramètres!$A$1:$I$89,3,0)*0.475*44/12</f>
        <v>19.140355967388107</v>
      </c>
      <c r="DH116" s="21">
        <f>EXP(-LN(2)/2)*DH115+(1-EXP(-LN(2)/2))/(LN(2)/2)*DB116*DE116*VLOOKUP('Données projet'!$B$13,Paramètres!$A$1:$I$89,3,0)*0.475*44/12</f>
        <v>4.5471504148924646E-4</v>
      </c>
      <c r="DI116" s="22">
        <f t="shared" si="69"/>
        <v>104.70292937252931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-5.6843418860808015E-13</v>
      </c>
      <c r="DP116" s="17">
        <f>DO116*VLOOKUP('Données projet'!$B$14,Paramètres!$A$1:$I$89,3,0)*VLOOKUP('Données projet'!$B$14,Paramètres!$A$1:$I$89,5,0)</f>
        <v>-3.39923644787632E-13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443.64905827069435</v>
      </c>
      <c r="DU116" s="59">
        <f t="shared" si="98"/>
        <v>381.14782516862385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111.55517474258684</v>
      </c>
      <c r="EB116" s="21">
        <f>EXP(-LN(2)/25)*EB115+(1-EXP(-LN(2)/25))/(LN(2)/25)*Calculateur!DW116*Calculateur!DY116*VLOOKUP('Données projet'!$B$14,Paramètres!$A$1:$I$89,3,0)*0.475*44/12</f>
        <v>16.688649829604049</v>
      </c>
      <c r="EC116" s="21">
        <f>EXP(-LN(2)/2)*EC115+(1-EXP(-LN(2)/2))/(LN(2)/2)*DW116*DZ116*VLOOKUP('Données projet'!$B$14,Paramètres!$A$1:$I$89,3,0)*0.475*44/12</f>
        <v>1.1130628104954477E-4</v>
      </c>
      <c r="ED116" s="22">
        <f t="shared" si="72"/>
        <v>128.24393587847194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-3.4106051316484809E-13</v>
      </c>
      <c r="EK116" s="17">
        <f>EJ116*VLOOKUP('Données projet'!$B$15,Paramètres!$A$1:$I$89,3,0)*VLOOKUP('Données projet'!$B$15,Paramètres!$A$1:$I$89,5,0)</f>
        <v>-3.0859155231155454E-13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504.37890861635196</v>
      </c>
      <c r="EP116" s="59">
        <f t="shared" si="100"/>
        <v>611.82129317522913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24.48037257406304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24.48037257406304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2.6</v>
      </c>
      <c r="FE116" s="12">
        <f>IF('Données projet'!$A$218&gt;35,FE115+FD116-FM115,IF(A116&lt;'Données projet'!$A$218,$FB$205^A116,IF(A116='Données projet'!$A$218,'Données projet'!$B$218,FE115+FD116-FM115)))</f>
        <v>213.7999999999999</v>
      </c>
      <c r="FF116" s="17">
        <f>FE116*VLOOKUP('Données projet'!$B$16,Paramètres!$A$1:$I$89,3,0)*VLOOKUP('Données projet'!$B$16,Paramètres!$A$1:$I$89,5,0)</f>
        <v>230.13431999999986</v>
      </c>
      <c r="FG116" s="13">
        <f t="shared" si="101"/>
        <v>56.311723668616636</v>
      </c>
      <c r="FH116" s="20">
        <f t="shared" si="76"/>
        <v>498.89352605617364</v>
      </c>
      <c r="FI116" s="59">
        <f t="shared" si="77"/>
        <v>789.43549340452887</v>
      </c>
      <c r="FJ116" s="59">
        <f ca="1">AVERAGE(OFFSET($FI$3,0,0,'Données projet'!$E$16+1,1))-AVERAGE(OFFSET($H$3,0,0,'Données projet'!$E$16+1,1))</f>
        <v>334.01098870576732</v>
      </c>
      <c r="FK116" s="59">
        <f t="shared" si="102"/>
        <v>171.1802153303471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29.684513771107408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29.684513771107408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-1.7053025658242404E-13</v>
      </c>
      <c r="GA116" s="17">
        <f>FZ116*VLOOKUP('Données projet'!$B$17,Paramètres!$A$1:$I$89,3,0)*VLOOKUP('Données projet'!$B$17,Paramètres!$A$1:$I$89,5,0)</f>
        <v>-1.4897523215040567E-13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330.12856974146598</v>
      </c>
      <c r="GF116" s="59">
        <f t="shared" si="104"/>
        <v>321.23368446552286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60.93161753781682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60.93161753781682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69.238718367733256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3.8</v>
      </c>
      <c r="GU116" s="12">
        <f>IF('Données projet'!$A$270&gt;35,GU115+GT116-HC115,IF(A116&lt;'Données projet'!$A$270,$GR$205^A116,IF(A116='Données projet'!$A$270,'Données projet'!$B$270,GU115+GT116-HC115)))</f>
        <v>277.39999999999969</v>
      </c>
      <c r="GV116" s="17">
        <f>GU116*VLOOKUP('Données projet'!$B$18,Paramètres!$A$1:$I$89,3,0)*VLOOKUP('Données projet'!$B$18,Paramètres!$A$1:$I$89,5,0)</f>
        <v>186.07991999999979</v>
      </c>
      <c r="GW116" s="13">
        <f t="shared" si="105"/>
        <v>46.672230055835392</v>
      </c>
      <c r="GX116" s="20">
        <f t="shared" si="82"/>
        <v>405.37666134724623</v>
      </c>
      <c r="GY116" s="59">
        <f t="shared" si="83"/>
        <v>695.91862869560146</v>
      </c>
      <c r="GZ116" s="59">
        <f ca="1">AVERAGE(OFFSET($GY$3,0,0,'Données projet'!$E$18+1,1))-AVERAGE(OFFSET($H$3,0,0,'Données projet'!$E$18+1,1))</f>
        <v>296.67751292332753</v>
      </c>
      <c r="HA116" s="59">
        <f t="shared" si="106"/>
        <v>197.99510031603018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37.601355356983916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37.601355356983916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1.1000000000000001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4.0333333333333341</v>
      </c>
      <c r="H117" s="67">
        <f t="shared" si="56"/>
        <v>240.5333333333333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326.19999999999987</v>
      </c>
      <c r="O117" s="13">
        <f>N117*VLOOKUP('Données projet'!$B$9,Paramètres!$A$1:$I$89,3,0)*VLOOKUP('Données projet'!$B$9,Paramètres!$A$1:$I$89,5,0)</f>
        <v>295.14575999999988</v>
      </c>
      <c r="P117" s="13">
        <f t="shared" si="87"/>
        <v>70.157864167878188</v>
      </c>
      <c r="Q117" s="20">
        <f t="shared" si="107"/>
        <v>636.237145425721</v>
      </c>
      <c r="R117" s="59">
        <f t="shared" si="55"/>
        <v>926.82753673335628</v>
      </c>
      <c r="S117" s="59">
        <f ca="1">AVERAGE(OFFSET($R$3,0,0,'Données projet'!$E$9+1,1))-AVERAGE(OFFSET($H$3,0,0,'Données projet'!$E$9+1,1))</f>
        <v>461.20962581398715</v>
      </c>
      <c r="T117" s="59">
        <f t="shared" si="88"/>
        <v>348.44322874953923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54.123038038447469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54.123038038447469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326.19999999999987</v>
      </c>
      <c r="AJ117" s="13">
        <f>AI117*VLOOKUP('Données projet'!$B$10,Paramètres!$A$1:$I$89,3,0)*VLOOKUP('Données projet'!$B$10,Paramètres!$A$1:$I$89,5,0)</f>
        <v>330.76679999999988</v>
      </c>
      <c r="AK117" s="13">
        <f t="shared" si="89"/>
        <v>77.589262894669801</v>
      </c>
      <c r="AL117" s="20">
        <f t="shared" si="58"/>
        <v>711.22014287488298</v>
      </c>
      <c r="AM117" s="59">
        <f t="shared" si="59"/>
        <v>1001.8105341825183</v>
      </c>
      <c r="AN117" s="59">
        <f ca="1">AVERAGE(OFFSET($AM$3,0,0,'Données projet'!$E$10+1,1))-AVERAGE(OFFSET($H$3,0,0,'Données projet'!$E$10+1,1))</f>
        <v>510.86584023875525</v>
      </c>
      <c r="AO117" s="59">
        <f t="shared" si="90"/>
        <v>384.62921487244125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60.655128836191139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60.655128836191139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4.1677594708744434E-14</v>
      </c>
      <c r="BF117" s="13">
        <f t="shared" si="91"/>
        <v>6.9326303456159188E-13</v>
      </c>
      <c r="BG117" s="20">
        <f t="shared" si="61"/>
        <v>1.2800215959791691E-12</v>
      </c>
      <c r="BH117" s="59">
        <f t="shared" si="62"/>
        <v>290.59039130763654</v>
      </c>
      <c r="BI117" s="59">
        <f ca="1">AVERAGE(OFFSET($BH$3,0,0,'Données projet'!$E$11+1,1))-AVERAGE(OFFSET($H$3,0,0,'Données projet'!$E$11+1,1))</f>
        <v>201.7253431547006</v>
      </c>
      <c r="BJ117" s="59">
        <f t="shared" si="92"/>
        <v>229.70004720044096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16.561869113217348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16.561869113217348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-1.2710188457276673E-13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462.09240749760784</v>
      </c>
      <c r="CE117" s="59">
        <f t="shared" si="94"/>
        <v>403.52202223463337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175.45245927160718</v>
      </c>
      <c r="CL117" s="21">
        <f>EXP(-LN(2)/25)*CL116+(1-EXP(-LN(2)/25))/(LN(2)/25)*Calculateur!CG117*Calculateur!CI117*VLOOKUP('Données projet'!$B$12,Paramètres!$A$1:$I$89,3,0)*0.475*44/12</f>
        <v>13.433629200146159</v>
      </c>
      <c r="CM117" s="21">
        <f>EXP(-LN(2)/2)*CM116+(1-EXP(-LN(2)/2))/(LN(2)/2)*CG117*CJ117*VLOOKUP('Données projet'!$B$12,Paramètres!$A$1:$I$89,3,0)*0.475*44/12</f>
        <v>1.3390437428604008E-4</v>
      </c>
      <c r="CN117" s="22">
        <f t="shared" si="66"/>
        <v>188.88622237612762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319.88925869887464</v>
      </c>
      <c r="CZ117" s="59">
        <f t="shared" si="96"/>
        <v>258.2857172412098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83.884297730326153</v>
      </c>
      <c r="DG117" s="21">
        <f>EXP(-LN(2)/25)*DG116+(1-EXP(-LN(2)/25))/(LN(2)/25)*Calculateur!DB117*Calculateur!DD117*VLOOKUP('Données projet'!$B$13,Paramètres!$A$1:$I$89,3,0)*0.475*44/12</f>
        <v>18.616961926912303</v>
      </c>
      <c r="DH117" s="21">
        <f>EXP(-LN(2)/2)*DH116+(1-EXP(-LN(2)/2))/(LN(2)/2)*DB117*DE117*VLOOKUP('Données projet'!$B$13,Paramètres!$A$1:$I$89,3,0)*0.475*44/12</f>
        <v>3.215320893445685E-4</v>
      </c>
      <c r="DI117" s="22">
        <f t="shared" si="69"/>
        <v>102.50158118932779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-5.6843418860808015E-13</v>
      </c>
      <c r="DP117" s="17">
        <f>DO117*VLOOKUP('Données projet'!$B$14,Paramètres!$A$1:$I$89,3,0)*VLOOKUP('Données projet'!$B$14,Paramètres!$A$1:$I$89,5,0)</f>
        <v>-3.39923644787632E-13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443.64905827069435</v>
      </c>
      <c r="DU117" s="59">
        <f t="shared" si="98"/>
        <v>381.14782516862385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109.36764580782273</v>
      </c>
      <c r="EB117" s="21">
        <f>EXP(-LN(2)/25)*EB116+(1-EXP(-LN(2)/25))/(LN(2)/25)*Calculateur!DW117*Calculateur!DY117*VLOOKUP('Données projet'!$B$14,Paramètres!$A$1:$I$89,3,0)*0.475*44/12</f>
        <v>16.232297822395573</v>
      </c>
      <c r="EC117" s="21">
        <f>EXP(-LN(2)/2)*EC116+(1-EXP(-LN(2)/2))/(LN(2)/2)*DW117*DZ117*VLOOKUP('Données projet'!$B$14,Paramètres!$A$1:$I$89,3,0)*0.475*44/12</f>
        <v>7.8705426118788813E-5</v>
      </c>
      <c r="ED117" s="22">
        <f t="shared" si="72"/>
        <v>125.60002233564441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-3.4106051316484809E-13</v>
      </c>
      <c r="EK117" s="17">
        <f>EJ117*VLOOKUP('Données projet'!$B$15,Paramètres!$A$1:$I$89,3,0)*VLOOKUP('Données projet'!$B$15,Paramètres!$A$1:$I$89,5,0)</f>
        <v>-3.0859155231155454E-13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504.37890861635196</v>
      </c>
      <c r="EP117" s="59">
        <f t="shared" si="100"/>
        <v>611.82129317522913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24.000327399438564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24.000327399438564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2.6</v>
      </c>
      <c r="FE117" s="12">
        <f>IF('Données projet'!$A$218&gt;35,FE116+FD117-FM116,IF(A117&lt;'Données projet'!$A$218,$FB$205^A117,IF(A117='Données projet'!$A$218,'Données projet'!$B$218,FE116+FD117-FM116)))</f>
        <v>216.39999999999989</v>
      </c>
      <c r="FF117" s="17">
        <f>FE117*VLOOKUP('Données projet'!$B$16,Paramètres!$A$1:$I$89,3,0)*VLOOKUP('Données projet'!$B$16,Paramètres!$A$1:$I$89,5,0)</f>
        <v>232.93295999999987</v>
      </c>
      <c r="FG117" s="13">
        <f t="shared" si="101"/>
        <v>56.916387611287774</v>
      </c>
      <c r="FH117" s="20">
        <f t="shared" si="76"/>
        <v>504.82094708965923</v>
      </c>
      <c r="FI117" s="59">
        <f t="shared" si="77"/>
        <v>795.41133839729446</v>
      </c>
      <c r="FJ117" s="59">
        <f ca="1">AVERAGE(OFFSET($FI$3,0,0,'Données projet'!$E$16+1,1))-AVERAGE(OFFSET($H$3,0,0,'Données projet'!$E$16+1,1))</f>
        <v>334.01098870576732</v>
      </c>
      <c r="FK117" s="59">
        <f t="shared" si="102"/>
        <v>171.1802153303471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29.102418561821597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29.102418561821597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-1.7053025658242404E-13</v>
      </c>
      <c r="GA117" s="17">
        <f>FZ117*VLOOKUP('Données projet'!$B$17,Paramètres!$A$1:$I$89,3,0)*VLOOKUP('Données projet'!$B$17,Paramètres!$A$1:$I$89,5,0)</f>
        <v>-1.4897523215040567E-13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330.12856974146598</v>
      </c>
      <c r="GF117" s="59">
        <f t="shared" si="104"/>
        <v>321.23368446552286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59.73678568251723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59.73678568251723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69.251924902082337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3.8</v>
      </c>
      <c r="GU117" s="12">
        <f>IF('Données projet'!$A$270&gt;35,GU116+GT117-HC116,IF(A117&lt;'Données projet'!$A$270,$GR$205^A117,IF(A117='Données projet'!$A$270,'Données projet'!$B$270,GU116+GT117-HC116)))</f>
        <v>281.1999999999997</v>
      </c>
      <c r="GV117" s="17">
        <f>GU117*VLOOKUP('Données projet'!$B$18,Paramètres!$A$1:$I$89,3,0)*VLOOKUP('Données projet'!$B$18,Paramètres!$A$1:$I$89,5,0)</f>
        <v>188.62895999999981</v>
      </c>
      <c r="GW117" s="13">
        <f t="shared" si="105"/>
        <v>47.236707729783255</v>
      </c>
      <c r="GX117" s="20">
        <f t="shared" si="82"/>
        <v>410.79937129603883</v>
      </c>
      <c r="GY117" s="59">
        <f t="shared" si="83"/>
        <v>701.38976260367406</v>
      </c>
      <c r="GZ117" s="59">
        <f ca="1">AVERAGE(OFFSET($GY$3,0,0,'Données projet'!$E$18+1,1))-AVERAGE(OFFSET($H$3,0,0,'Données projet'!$E$18+1,1))</f>
        <v>296.67751292332753</v>
      </c>
      <c r="HA117" s="59">
        <f t="shared" si="106"/>
        <v>197.99510031603018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36.864015712995631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36.864015712995631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1.1000000000000001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4.0333333333333341</v>
      </c>
      <c r="H118" s="67">
        <f t="shared" si="56"/>
        <v>240.5333333333333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330.99999999999989</v>
      </c>
      <c r="O118" s="13">
        <f>N118*VLOOKUP('Données projet'!$B$9,Paramètres!$A$1:$I$89,3,0)*VLOOKUP('Données projet'!$B$9,Paramètres!$A$1:$I$89,5,0)</f>
        <v>299.48879999999991</v>
      </c>
      <c r="P118" s="13">
        <f t="shared" si="87"/>
        <v>71.069285685467293</v>
      </c>
      <c r="Q118" s="20">
        <f t="shared" si="107"/>
        <v>645.38866590218868</v>
      </c>
      <c r="R118" s="59">
        <f t="shared" si="55"/>
        <v>936.02664112167008</v>
      </c>
      <c r="S118" s="59">
        <f ca="1">AVERAGE(OFFSET($R$3,0,0,'Données projet'!$E$9+1,1))-AVERAGE(OFFSET($H$3,0,0,'Données projet'!$E$9+1,1))</f>
        <v>461.20962581398715</v>
      </c>
      <c r="T118" s="59">
        <f t="shared" si="88"/>
        <v>348.44322874953923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61.31961384696514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61.31961384696514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330.99999999999989</v>
      </c>
      <c r="AJ118" s="13">
        <f>AI118*VLOOKUP('Données projet'!$B$10,Paramètres!$A$1:$I$89,3,0)*VLOOKUP('Données projet'!$B$10,Paramètres!$A$1:$I$89,5,0)</f>
        <v>335.6339999999999</v>
      </c>
      <c r="AK118" s="13">
        <f t="shared" si="89"/>
        <v>78.597225787708638</v>
      </c>
      <c r="AL118" s="20">
        <f t="shared" si="58"/>
        <v>721.45271824692566</v>
      </c>
      <c r="AM118" s="59">
        <f t="shared" si="59"/>
        <v>1012.0906934664071</v>
      </c>
      <c r="AN118" s="59">
        <f ca="1">AVERAGE(OFFSET($AM$3,0,0,'Données projet'!$E$10+1,1))-AVERAGE(OFFSET($H$3,0,0,'Données projet'!$E$10+1,1))</f>
        <v>510.86584023875525</v>
      </c>
      <c r="AO118" s="59">
        <f t="shared" si="90"/>
        <v>384.62921487244125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68.720256897460942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68.720256897460942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4.1677594708744434E-14</v>
      </c>
      <c r="BF118" s="13">
        <f t="shared" si="91"/>
        <v>6.9326303456159188E-13</v>
      </c>
      <c r="BG118" s="20">
        <f t="shared" si="61"/>
        <v>1.2800215959791691E-12</v>
      </c>
      <c r="BH118" s="59">
        <f t="shared" si="62"/>
        <v>290.63797521948271</v>
      </c>
      <c r="BI118" s="59">
        <f ca="1">AVERAGE(OFFSET($BH$3,0,0,'Données projet'!$E$11+1,1))-AVERAGE(OFFSET($H$3,0,0,'Données projet'!$E$11+1,1))</f>
        <v>201.7253431547006</v>
      </c>
      <c r="BJ118" s="59">
        <f t="shared" si="92"/>
        <v>229.70004720044096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16.237100961649851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16.237100961649851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-1.2710188457276673E-13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462.09240749760784</v>
      </c>
      <c r="CE118" s="59">
        <f t="shared" si="94"/>
        <v>403.52202223463337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172.01194356072423</v>
      </c>
      <c r="CL118" s="21">
        <f>EXP(-LN(2)/25)*CL117+(1-EXP(-LN(2)/25))/(LN(2)/25)*Calculateur!CG118*Calculateur!CI118*VLOOKUP('Données projet'!$B$12,Paramètres!$A$1:$I$89,3,0)*0.475*44/12</f>
        <v>13.066285903224305</v>
      </c>
      <c r="CM118" s="21">
        <f>EXP(-LN(2)/2)*CM117+(1-EXP(-LN(2)/2))/(LN(2)/2)*CG118*CJ118*VLOOKUP('Données projet'!$B$12,Paramètres!$A$1:$I$89,3,0)*0.475*44/12</f>
        <v>9.4684691088200504E-5</v>
      </c>
      <c r="CN118" s="22">
        <f t="shared" si="66"/>
        <v>185.07832414863961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319.88925869887464</v>
      </c>
      <c r="CZ118" s="59">
        <f t="shared" si="96"/>
        <v>258.2857172412098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82.239377816204012</v>
      </c>
      <c r="DG118" s="21">
        <f>EXP(-LN(2)/25)*DG117+(1-EXP(-LN(2)/25))/(LN(2)/25)*Calculateur!DB118*Calculateur!DD118*VLOOKUP('Données projet'!$B$13,Paramètres!$A$1:$I$89,3,0)*0.475*44/12</f>
        <v>18.107880123997408</v>
      </c>
      <c r="DH118" s="21">
        <f>EXP(-LN(2)/2)*DH117+(1-EXP(-LN(2)/2))/(LN(2)/2)*DB118*DE118*VLOOKUP('Données projet'!$B$13,Paramètres!$A$1:$I$89,3,0)*0.475*44/12</f>
        <v>2.2735752074462326E-4</v>
      </c>
      <c r="DI118" s="22">
        <f t="shared" si="69"/>
        <v>100.34748529772216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-5.6843418860808015E-13</v>
      </c>
      <c r="DP118" s="17">
        <f>DO118*VLOOKUP('Données projet'!$B$14,Paramètres!$A$1:$I$89,3,0)*VLOOKUP('Données projet'!$B$14,Paramètres!$A$1:$I$89,5,0)</f>
        <v>-3.39923644787632E-13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443.64905827069435</v>
      </c>
      <c r="DU118" s="59">
        <f t="shared" si="98"/>
        <v>381.14782516862385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107.22301298120843</v>
      </c>
      <c r="EB118" s="21">
        <f>EXP(-LN(2)/25)*EB117+(1-EXP(-LN(2)/25))/(LN(2)/25)*Calculateur!DW118*Calculateur!DY118*VLOOKUP('Données projet'!$B$14,Paramètres!$A$1:$I$89,3,0)*0.475*44/12</f>
        <v>15.788424784822723</v>
      </c>
      <c r="EC118" s="21">
        <f>EXP(-LN(2)/2)*EC117+(1-EXP(-LN(2)/2))/(LN(2)/2)*DW118*DZ118*VLOOKUP('Données projet'!$B$14,Paramètres!$A$1:$I$89,3,0)*0.475*44/12</f>
        <v>5.5653140524772385E-5</v>
      </c>
      <c r="ED118" s="22">
        <f t="shared" si="72"/>
        <v>123.01149341917167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-3.4106051316484809E-13</v>
      </c>
      <c r="EK118" s="17">
        <f>EJ118*VLOOKUP('Données projet'!$B$15,Paramètres!$A$1:$I$89,3,0)*VLOOKUP('Données projet'!$B$15,Paramètres!$A$1:$I$89,5,0)</f>
        <v>-3.0859155231155454E-13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504.37890861635196</v>
      </c>
      <c r="EP118" s="59">
        <f t="shared" si="100"/>
        <v>611.82129317522913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23.529695617889832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23.529695617889832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219</v>
      </c>
      <c r="FC118" s="12">
        <f>VLOOKUP(A118,'Données projet'!$A$217:$I$237,9,0)</f>
        <v>2.6</v>
      </c>
      <c r="FD118" s="12">
        <f t="array" ref="FD118">INDEX(FC:FC,MIN(IF(ISNUMBER(FC118:FC314),ROW(FC118:FC314),"")))</f>
        <v>2.6</v>
      </c>
      <c r="FE118" s="12">
        <f>IF('Données projet'!$A$218&gt;35,FE117+FD118-FM117,IF(A118&lt;'Données projet'!$A$218,$FB$205^A118,IF(A118='Données projet'!$A$218,'Données projet'!$B$218,FE117+FD118-FM117)))</f>
        <v>218.99999999999989</v>
      </c>
      <c r="FF118" s="17">
        <f>FE118*VLOOKUP('Données projet'!$B$16,Paramètres!$A$1:$I$89,3,0)*VLOOKUP('Données projet'!$B$16,Paramètres!$A$1:$I$89,5,0)</f>
        <v>235.73159999999984</v>
      </c>
      <c r="FG118" s="13">
        <f t="shared" si="101"/>
        <v>57.520206488125218</v>
      </c>
      <c r="FH118" s="20">
        <f t="shared" si="76"/>
        <v>510.74689630015109</v>
      </c>
      <c r="FI118" s="59">
        <f t="shared" si="77"/>
        <v>801.3848715196325</v>
      </c>
      <c r="FJ118" s="59">
        <f ca="1">AVERAGE(OFFSET($FI$3,0,0,'Données projet'!$E$16+1,1))-AVERAGE(OFFSET($H$3,0,0,'Données projet'!$E$16+1,1))</f>
        <v>334.01098870576732</v>
      </c>
      <c r="FK118" s="59">
        <f t="shared" si="102"/>
        <v>171.1802153303471</v>
      </c>
      <c r="FL118" s="15">
        <f>IF(ISNA(VLOOKUP(A118,'Données projet'!$A$217:$I$237,3,0)),0,VLOOKUP(A118,'Données projet'!$A$217:$I$237,3,0))</f>
        <v>19</v>
      </c>
      <c r="FM118" s="15">
        <f>IF(ISNA(VLOOKUP(A118,'Données projet'!$A$217:$I$237,4,0)),0,VLOOKUP(A118,'Données projet'!$A$217:$I$237,4,0))</f>
        <v>13</v>
      </c>
      <c r="FN118" s="16">
        <f>IF(ISNA(VLOOKUP(A118,'Données projet'!$A$217:$I$237,5,0)),0%,VLOOKUP(A118,'Données projet'!$A$217:$I$237,5,0)*VLOOKUP('Données projet'!$B$16,Paramètres!$A$1:$I$89,7,0))</f>
        <v>0.30099999999999999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33.187927387125882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33.187927387125882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-1.7053025658242404E-13</v>
      </c>
      <c r="GA118" s="17">
        <f>FZ118*VLOOKUP('Données projet'!$B$17,Paramètres!$A$1:$I$89,3,0)*VLOOKUP('Données projet'!$B$17,Paramètres!$A$1:$I$89,5,0)</f>
        <v>-1.4897523215040567E-13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330.12856974146598</v>
      </c>
      <c r="GF118" s="59">
        <f t="shared" si="104"/>
        <v>321.23368446552286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58.565383751124592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58.565383751124592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69.264902332585834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>
        <f>VLOOKUP(A118,'Données projet'!$A$269:$I$289,2,0)</f>
        <v>285</v>
      </c>
      <c r="GS118" s="12">
        <f>VLOOKUP(A118,'Données projet'!$A$269:$I$289,9,0)</f>
        <v>3.8</v>
      </c>
      <c r="GT118" s="12">
        <f t="array" ref="GT118">INDEX(GS:GS,MIN(IF(ISNUMBER(GS118:GS314),ROW(GS118:GS314),"")))</f>
        <v>3.8</v>
      </c>
      <c r="GU118" s="12">
        <f>IF('Données projet'!$A$270&gt;35,GU117+GT118-HC117,IF(A118&lt;'Données projet'!$A$270,$GR$205^A118,IF(A118='Données projet'!$A$270,'Données projet'!$B$270,GU117+GT118-HC117)))</f>
        <v>284.99999999999972</v>
      </c>
      <c r="GV118" s="17">
        <f>GU118*VLOOKUP('Données projet'!$B$18,Paramètres!$A$1:$I$89,3,0)*VLOOKUP('Données projet'!$B$18,Paramètres!$A$1:$I$89,5,0)</f>
        <v>191.1779999999998</v>
      </c>
      <c r="GW118" s="13">
        <f t="shared" si="105"/>
        <v>47.800298165013608</v>
      </c>
      <c r="GX118" s="20">
        <f t="shared" si="82"/>
        <v>416.22053597073165</v>
      </c>
      <c r="GY118" s="59">
        <f t="shared" si="83"/>
        <v>706.85851119021299</v>
      </c>
      <c r="GZ118" s="59">
        <f ca="1">AVERAGE(OFFSET($GY$3,0,0,'Données projet'!$E$18+1,1))-AVERAGE(OFFSET($H$3,0,0,'Données projet'!$E$18+1,1))</f>
        <v>296.67751292332753</v>
      </c>
      <c r="HA118" s="59">
        <f t="shared" si="106"/>
        <v>197.99510031603018</v>
      </c>
      <c r="HB118" s="15">
        <f>IF(ISNA(VLOOKUP(A118,'Données projet'!$A$269:$I$289,3,0)),0,VLOOKUP(A118,'Données projet'!$A$269:$I$289,3,0))</f>
        <v>20</v>
      </c>
      <c r="HC118" s="15">
        <f>IF(ISNA(VLOOKUP(A118,'Données projet'!$A$269:$I$289,4,0)),0,VLOOKUP(A118,'Données projet'!$A$269:$I$289,4,0))</f>
        <v>18</v>
      </c>
      <c r="HD118" s="16">
        <f>IF(ISNA(VLOOKUP(A118,'Données projet'!$A$269:$I$289,5,0)),0%,VLOOKUP(A118,'Données projet'!$A$269:$I$289,5,0)*VLOOKUP('Données projet'!$B$18,Paramètres!$A$1:$I$89,7,0))</f>
        <v>0.42400000000000004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41.800640867161427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41.800640867161427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1.1000000000000001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4.0333333333333341</v>
      </c>
      <c r="H119" s="67">
        <f t="shared" si="56"/>
        <v>240.5333333333333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4.2</v>
      </c>
      <c r="N119" s="13">
        <f>IF('Données projet'!$A$36&gt;35,N118+M119-V118,IF(A119&lt;'Données projet'!$A$36,$K$205^A119,IF(A119='Données projet'!$A$36,'Données projet'!$B$36,N118+M119-V118)))</f>
        <v>311.19999999999987</v>
      </c>
      <c r="O119" s="13">
        <f>N119*VLOOKUP('Données projet'!$B$9,Paramètres!$A$1:$I$89,3,0)*VLOOKUP('Données projet'!$B$9,Paramètres!$A$1:$I$89,5,0)</f>
        <v>281.57375999999988</v>
      </c>
      <c r="P119" s="13">
        <f t="shared" si="87"/>
        <v>67.299481043334993</v>
      </c>
      <c r="Q119" s="20">
        <f t="shared" si="107"/>
        <v>607.62089481714156</v>
      </c>
      <c r="R119" s="59">
        <f t="shared" si="55"/>
        <v>898.30562847398028</v>
      </c>
      <c r="S119" s="59">
        <f ca="1">AVERAGE(OFFSET($R$3,0,0,'Données projet'!$E$9+1,1))-AVERAGE(OFFSET($H$3,0,0,'Données projet'!$E$9+1,1))</f>
        <v>461.20962581398715</v>
      </c>
      <c r="T119" s="59">
        <f t="shared" si="88"/>
        <v>348.44322874953923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60.117173620697528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60.117173620697528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4.2</v>
      </c>
      <c r="AI119" s="13">
        <f>IF('Données projet'!$A$62&gt;35,AI118+AH119-AQ118,IF(A119&lt;'Données projet'!$A$62,$AF$205^A119,IF(A119='Données projet'!$A$62,'Données projet'!$B$62,AI118+AH119-AQ118)))</f>
        <v>311.19999999999987</v>
      </c>
      <c r="AJ119" s="13">
        <f>AI119*VLOOKUP('Données projet'!$B$10,Paramètres!$A$1:$I$89,3,0)*VLOOKUP('Données projet'!$B$10,Paramètres!$A$1:$I$89,5,0)</f>
        <v>315.5567999999999</v>
      </c>
      <c r="AK119" s="13">
        <f t="shared" si="89"/>
        <v>74.428108513271013</v>
      </c>
      <c r="AL119" s="20">
        <f t="shared" si="58"/>
        <v>679.22371566061349</v>
      </c>
      <c r="AM119" s="59">
        <f t="shared" si="59"/>
        <v>969.90844931745221</v>
      </c>
      <c r="AN119" s="59">
        <f ca="1">AVERAGE(OFFSET($AM$3,0,0,'Données projet'!$E$10+1,1))-AVERAGE(OFFSET($H$3,0,0,'Données projet'!$E$10+1,1))</f>
        <v>510.86584023875525</v>
      </c>
      <c r="AO119" s="59">
        <f t="shared" si="90"/>
        <v>384.62921487244125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67.372694574919663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67.372694574919663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4.1677594708744434E-14</v>
      </c>
      <c r="BF119" s="13">
        <f t="shared" si="91"/>
        <v>6.9326303456159188E-13</v>
      </c>
      <c r="BG119" s="20">
        <f t="shared" si="61"/>
        <v>1.2800215959791691E-12</v>
      </c>
      <c r="BH119" s="59">
        <f t="shared" si="62"/>
        <v>290.68473365684002</v>
      </c>
      <c r="BI119" s="59">
        <f ca="1">AVERAGE(OFFSET($BH$3,0,0,'Données projet'!$E$11+1,1))-AVERAGE(OFFSET($H$3,0,0,'Données projet'!$E$11+1,1))</f>
        <v>201.7253431547006</v>
      </c>
      <c r="BJ119" s="59">
        <f t="shared" si="92"/>
        <v>229.70004720044096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15.918701315445579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15.918701315445579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-1.2710188457276673E-13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462.09240749760784</v>
      </c>
      <c r="CE119" s="59">
        <f t="shared" si="94"/>
        <v>403.52202223463337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168.63889426442432</v>
      </c>
      <c r="CL119" s="21">
        <f>EXP(-LN(2)/25)*CL118+(1-EXP(-LN(2)/25))/(LN(2)/25)*Calculateur!CG119*Calculateur!CI119*VLOOKUP('Données projet'!$B$12,Paramètres!$A$1:$I$89,3,0)*0.475*44/12</f>
        <v>12.708987628074524</v>
      </c>
      <c r="CM119" s="21">
        <f>EXP(-LN(2)/2)*CM118+(1-EXP(-LN(2)/2))/(LN(2)/2)*CG119*CJ119*VLOOKUP('Données projet'!$B$12,Paramètres!$A$1:$I$89,3,0)*0.475*44/12</f>
        <v>6.695218714302004E-5</v>
      </c>
      <c r="CN119" s="22">
        <f t="shared" si="66"/>
        <v>181.34794884468599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319.88925869887464</v>
      </c>
      <c r="CZ119" s="59">
        <f t="shared" si="96"/>
        <v>258.2857172412098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80.626713778295724</v>
      </c>
      <c r="DG119" s="21">
        <f>EXP(-LN(2)/25)*DG118+(1-EXP(-LN(2)/25))/(LN(2)/25)*Calculateur!DB119*Calculateur!DD119*VLOOKUP('Données projet'!$B$13,Paramètres!$A$1:$I$89,3,0)*0.475*44/12</f>
        <v>17.612719189754667</v>
      </c>
      <c r="DH119" s="21">
        <f>EXP(-LN(2)/2)*DH118+(1-EXP(-LN(2)/2))/(LN(2)/2)*DB119*DE119*VLOOKUP('Données projet'!$B$13,Paramètres!$A$1:$I$89,3,0)*0.475*44/12</f>
        <v>1.6076604467228428E-4</v>
      </c>
      <c r="DI119" s="22">
        <f t="shared" si="69"/>
        <v>98.239593734095067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-5.6843418860808015E-13</v>
      </c>
      <c r="DP119" s="17">
        <f>DO119*VLOOKUP('Données projet'!$B$14,Paramètres!$A$1:$I$89,3,0)*VLOOKUP('Données projet'!$B$14,Paramètres!$A$1:$I$89,5,0)</f>
        <v>-3.39923644787632E-13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443.64905827069435</v>
      </c>
      <c r="DU119" s="59">
        <f t="shared" si="98"/>
        <v>381.14782516862385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105.12043509622718</v>
      </c>
      <c r="EB119" s="21">
        <f>EXP(-LN(2)/25)*EB118+(1-EXP(-LN(2)/25))/(LN(2)/25)*Calculateur!DW119*Calculateur!DY119*VLOOKUP('Données projet'!$B$14,Paramètres!$A$1:$I$89,3,0)*0.475*44/12</f>
        <v>15.356689478804572</v>
      </c>
      <c r="EC119" s="21">
        <f>EXP(-LN(2)/2)*EC118+(1-EXP(-LN(2)/2))/(LN(2)/2)*DW119*DZ119*VLOOKUP('Données projet'!$B$14,Paramètres!$A$1:$I$89,3,0)*0.475*44/12</f>
        <v>3.9352713059394407E-5</v>
      </c>
      <c r="ED119" s="22">
        <f t="shared" si="72"/>
        <v>120.47716392774481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-3.4106051316484809E-13</v>
      </c>
      <c r="EK119" s="17">
        <f>EJ119*VLOOKUP('Données projet'!$B$15,Paramètres!$A$1:$I$89,3,0)*VLOOKUP('Données projet'!$B$15,Paramètres!$A$1:$I$89,5,0)</f>
        <v>-3.0859155231155454E-13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504.37890861635196</v>
      </c>
      <c r="EP119" s="59">
        <f t="shared" si="100"/>
        <v>611.82129317522913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23.068292638520226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23.068292638520226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3</v>
      </c>
      <c r="FE119" s="12">
        <f>IF('Données projet'!$A$218&gt;35,FE118+FD119-FM118,IF(A119&lt;'Données projet'!$A$218,$FB$205^A119,IF(A119='Données projet'!$A$218,'Données projet'!$B$218,FE118+FD119-FM118)))</f>
        <v>208.99999999999989</v>
      </c>
      <c r="FF119" s="17">
        <f>FE119*VLOOKUP('Données projet'!$B$16,Paramètres!$A$1:$I$89,3,0)*VLOOKUP('Données projet'!$B$16,Paramètres!$A$1:$I$89,5,0)</f>
        <v>224.96759999999989</v>
      </c>
      <c r="FG119" s="13">
        <f t="shared" si="101"/>
        <v>55.193161946335238</v>
      </c>
      <c r="FH119" s="20">
        <f t="shared" si="76"/>
        <v>487.94666038986696</v>
      </c>
      <c r="FI119" s="59">
        <f t="shared" si="77"/>
        <v>778.63139404670574</v>
      </c>
      <c r="FJ119" s="59">
        <f ca="1">AVERAGE(OFFSET($FI$3,0,0,'Données projet'!$E$16+1,1))-AVERAGE(OFFSET($H$3,0,0,'Données projet'!$E$16+1,1))</f>
        <v>334.01098870576732</v>
      </c>
      <c r="FK119" s="59">
        <f t="shared" si="102"/>
        <v>171.1802153303471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32.537132373701255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32.537132373701255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-1.7053025658242404E-13</v>
      </c>
      <c r="GA119" s="17">
        <f>FZ119*VLOOKUP('Données projet'!$B$17,Paramètres!$A$1:$I$89,3,0)*VLOOKUP('Données projet'!$B$17,Paramètres!$A$1:$I$89,5,0)</f>
        <v>-1.4897523215040567E-13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330.12856974146598</v>
      </c>
      <c r="GF119" s="59">
        <f t="shared" si="104"/>
        <v>321.23368446552286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57.416952297121938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57.416952297121938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69.277654633683284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3.6</v>
      </c>
      <c r="GU119" s="12">
        <f>IF('Données projet'!$A$270&gt;35,GU118+GT119-HC118,IF(A119&lt;'Données projet'!$A$270,$GR$205^A119,IF(A119='Données projet'!$A$270,'Données projet'!$B$270,GU118+GT119-HC118)))</f>
        <v>270.59999999999974</v>
      </c>
      <c r="GV119" s="17">
        <f>GU119*VLOOKUP('Données projet'!$B$18,Paramètres!$A$1:$I$89,3,0)*VLOOKUP('Données projet'!$B$18,Paramètres!$A$1:$I$89,5,0)</f>
        <v>181.51847999999984</v>
      </c>
      <c r="GW119" s="13">
        <f t="shared" si="105"/>
        <v>45.659854640601097</v>
      </c>
      <c r="GX119" s="20">
        <f t="shared" si="82"/>
        <v>395.66893283237999</v>
      </c>
      <c r="GY119" s="59">
        <f t="shared" si="83"/>
        <v>686.35366648921877</v>
      </c>
      <c r="GZ119" s="59">
        <f ca="1">AVERAGE(OFFSET($GY$3,0,0,'Données projet'!$E$18+1,1))-AVERAGE(OFFSET($H$3,0,0,'Données projet'!$E$18+1,1))</f>
        <v>296.67751292332753</v>
      </c>
      <c r="HA119" s="59">
        <f t="shared" si="106"/>
        <v>197.99510031603018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40.980955795629811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40.980955795629811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1.1000000000000001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4.0333333333333341</v>
      </c>
      <c r="H120" s="67">
        <f t="shared" si="56"/>
        <v>240.5333333333333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4.2</v>
      </c>
      <c r="N120" s="13">
        <f>IF('Données projet'!$A$36&gt;35,N119+M120-V119,IF(A120&lt;'Données projet'!$A$36,$K$205^A120,IF(A120='Données projet'!$A$36,'Données projet'!$B$36,N119+M120-V119)))</f>
        <v>315.39999999999986</v>
      </c>
      <c r="O120" s="13">
        <f>N120*VLOOKUP('Données projet'!$B$9,Paramètres!$A$1:$I$89,3,0)*VLOOKUP('Données projet'!$B$9,Paramètres!$A$1:$I$89,5,0)</f>
        <v>285.37391999999988</v>
      </c>
      <c r="P120" s="13">
        <f t="shared" si="87"/>
        <v>68.101413083167643</v>
      </c>
      <c r="Q120" s="20">
        <f t="shared" si="107"/>
        <v>615.63620511985016</v>
      </c>
      <c r="R120" s="59">
        <f t="shared" si="55"/>
        <v>906.36688605969425</v>
      </c>
      <c r="S120" s="59">
        <f ca="1">AVERAGE(OFFSET($R$3,0,0,'Données projet'!$E$9+1,1))-AVERAGE(OFFSET($H$3,0,0,'Données projet'!$E$9+1,1))</f>
        <v>461.20962581398715</v>
      </c>
      <c r="T120" s="59">
        <f t="shared" si="88"/>
        <v>348.44322874953923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58.93831251385091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58.93831251385091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4.2</v>
      </c>
      <c r="AI120" s="13">
        <f>IF('Données projet'!$A$62&gt;35,AI119+AH120-AQ119,IF(A120&lt;'Données projet'!$A$62,$AF$205^A120,IF(A120='Données projet'!$A$62,'Données projet'!$B$62,AI119+AH120-AQ119)))</f>
        <v>315.39999999999986</v>
      </c>
      <c r="AJ120" s="13">
        <f>AI120*VLOOKUP('Données projet'!$B$10,Paramètres!$A$1:$I$89,3,0)*VLOOKUP('Données projet'!$B$10,Paramètres!$A$1:$I$89,5,0)</f>
        <v>319.81559999999985</v>
      </c>
      <c r="AK120" s="13">
        <f t="shared" si="89"/>
        <v>75.314984369601916</v>
      </c>
      <c r="AL120" s="20">
        <f t="shared" si="58"/>
        <v>688.1857677770563</v>
      </c>
      <c r="AM120" s="59">
        <f t="shared" si="59"/>
        <v>978.9164487169005</v>
      </c>
      <c r="AN120" s="59">
        <f ca="1">AVERAGE(OFFSET($AM$3,0,0,'Données projet'!$E$10+1,1))-AVERAGE(OFFSET($H$3,0,0,'Données projet'!$E$10+1,1))</f>
        <v>510.86584023875525</v>
      </c>
      <c r="AO120" s="59">
        <f t="shared" si="90"/>
        <v>384.62921487244125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66.051557127591551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66.051557127591551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4.1677594708744434E-14</v>
      </c>
      <c r="BF120" s="13">
        <f t="shared" si="91"/>
        <v>6.9326303456159188E-13</v>
      </c>
      <c r="BG120" s="20">
        <f t="shared" si="61"/>
        <v>1.2800215959791691E-12</v>
      </c>
      <c r="BH120" s="59">
        <f t="shared" si="62"/>
        <v>290.73068093984546</v>
      </c>
      <c r="BI120" s="59">
        <f ca="1">AVERAGE(OFFSET($BH$3,0,0,'Données projet'!$E$11+1,1))-AVERAGE(OFFSET($H$3,0,0,'Données projet'!$E$11+1,1))</f>
        <v>201.7253431547006</v>
      </c>
      <c r="BJ120" s="59">
        <f t="shared" si="92"/>
        <v>229.70004720044096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15.606545292098765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15.606545292098765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-1.2710188457276673E-13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462.09240749760784</v>
      </c>
      <c r="CE120" s="59">
        <f t="shared" si="94"/>
        <v>403.52202223463337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165.33198840746792</v>
      </c>
      <c r="CL120" s="21">
        <f>EXP(-LN(2)/25)*CL119+(1-EXP(-LN(2)/25))/(LN(2)/25)*Calculateur!CG120*Calculateur!CI120*VLOOKUP('Données projet'!$B$12,Paramètres!$A$1:$I$89,3,0)*0.475*44/12</f>
        <v>12.361459693048214</v>
      </c>
      <c r="CM120" s="21">
        <f>EXP(-LN(2)/2)*CM119+(1-EXP(-LN(2)/2))/(LN(2)/2)*CG120*CJ120*VLOOKUP('Données projet'!$B$12,Paramètres!$A$1:$I$89,3,0)*0.475*44/12</f>
        <v>4.7342345544100252E-5</v>
      </c>
      <c r="CN120" s="22">
        <f t="shared" si="66"/>
        <v>177.69349544286166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319.88925869887464</v>
      </c>
      <c r="CZ120" s="59">
        <f t="shared" si="96"/>
        <v>258.2857172412098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79.045673098542878</v>
      </c>
      <c r="DG120" s="21">
        <f>EXP(-LN(2)/25)*DG119+(1-EXP(-LN(2)/25))/(LN(2)/25)*Calculateur!DB120*Calculateur!DD120*VLOOKUP('Données projet'!$B$13,Paramètres!$A$1:$I$89,3,0)*0.475*44/12</f>
        <v>17.131098457298179</v>
      </c>
      <c r="DH120" s="21">
        <f>EXP(-LN(2)/2)*DH119+(1-EXP(-LN(2)/2))/(LN(2)/2)*DB120*DE120*VLOOKUP('Données projet'!$B$13,Paramètres!$A$1:$I$89,3,0)*0.475*44/12</f>
        <v>1.1367876037231166E-4</v>
      </c>
      <c r="DI120" s="22">
        <f t="shared" si="69"/>
        <v>96.176885234601428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-5.6843418860808015E-13</v>
      </c>
      <c r="DP120" s="17">
        <f>DO120*VLOOKUP('Données projet'!$B$14,Paramètres!$A$1:$I$89,3,0)*VLOOKUP('Données projet'!$B$14,Paramètres!$A$1:$I$89,5,0)</f>
        <v>-3.39923644787632E-13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443.64905827069435</v>
      </c>
      <c r="DU120" s="59">
        <f t="shared" si="98"/>
        <v>381.14782516862385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103.05908748112454</v>
      </c>
      <c r="EB120" s="21">
        <f>EXP(-LN(2)/25)*EB119+(1-EXP(-LN(2)/25))/(LN(2)/25)*Calculateur!DW120*Calculateur!DY120*VLOOKUP('Données projet'!$B$14,Paramètres!$A$1:$I$89,3,0)*0.475*44/12</f>
        <v>14.936759997433459</v>
      </c>
      <c r="EC120" s="21">
        <f>EXP(-LN(2)/2)*EC119+(1-EXP(-LN(2)/2))/(LN(2)/2)*DW120*DZ120*VLOOKUP('Données projet'!$B$14,Paramètres!$A$1:$I$89,3,0)*0.475*44/12</f>
        <v>2.7826570262386192E-5</v>
      </c>
      <c r="ED120" s="22">
        <f t="shared" si="72"/>
        <v>117.99587530512825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-3.4106051316484809E-13</v>
      </c>
      <c r="EK120" s="17">
        <f>EJ120*VLOOKUP('Données projet'!$B$15,Paramètres!$A$1:$I$89,3,0)*VLOOKUP('Données projet'!$B$15,Paramètres!$A$1:$I$89,5,0)</f>
        <v>-3.0859155231155454E-13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504.37890861635196</v>
      </c>
      <c r="EP120" s="59">
        <f t="shared" si="100"/>
        <v>611.82129317522913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22.615937490148031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22.615937490148031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3</v>
      </c>
      <c r="FE120" s="12">
        <f>IF('Données projet'!$A$218&gt;35,FE119+FD120-FM119,IF(A120&lt;'Données projet'!$A$218,$FB$205^A120,IF(A120='Données projet'!$A$218,'Données projet'!$B$218,FE119+FD120-FM119)))</f>
        <v>211.99999999999989</v>
      </c>
      <c r="FF120" s="17">
        <f>FE120*VLOOKUP('Données projet'!$B$16,Paramètres!$A$1:$I$89,3,0)*VLOOKUP('Données projet'!$B$16,Paramètres!$A$1:$I$89,5,0)</f>
        <v>228.19679999999988</v>
      </c>
      <c r="FG120" s="13">
        <f t="shared" si="101"/>
        <v>55.892609107161952</v>
      </c>
      <c r="FH120" s="20">
        <f t="shared" si="76"/>
        <v>494.78905419497352</v>
      </c>
      <c r="FI120" s="59">
        <f t="shared" si="77"/>
        <v>785.51973513481767</v>
      </c>
      <c r="FJ120" s="59">
        <f ca="1">AVERAGE(OFFSET($FI$3,0,0,'Données projet'!$E$16+1,1))-AVERAGE(OFFSET($H$3,0,0,'Données projet'!$E$16+1,1))</f>
        <v>334.01098870576732</v>
      </c>
      <c r="FK120" s="59">
        <f t="shared" si="102"/>
        <v>171.1802153303471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31.89909905354412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31.89909905354412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-1.7053025658242404E-13</v>
      </c>
      <c r="GA120" s="17">
        <f>FZ120*VLOOKUP('Données projet'!$B$17,Paramètres!$A$1:$I$89,3,0)*VLOOKUP('Données projet'!$B$17,Paramètres!$A$1:$I$89,5,0)</f>
        <v>-1.4897523215040567E-13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330.12856974146598</v>
      </c>
      <c r="GF120" s="59">
        <f t="shared" si="104"/>
        <v>321.23368446552286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56.291040883458251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56.291040883458251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69.290185710866581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3.6</v>
      </c>
      <c r="GU120" s="12">
        <f>IF('Données projet'!$A$270&gt;35,GU119+GT120-HC119,IF(A120&lt;'Données projet'!$A$270,$GR$205^A120,IF(A120='Données projet'!$A$270,'Données projet'!$B$270,GU119+GT120-HC119)))</f>
        <v>274.19999999999976</v>
      </c>
      <c r="GV120" s="17">
        <f>GU120*VLOOKUP('Données projet'!$B$18,Paramètres!$A$1:$I$89,3,0)*VLOOKUP('Données projet'!$B$18,Paramètres!$A$1:$I$89,5,0)</f>
        <v>183.93335999999985</v>
      </c>
      <c r="GW120" s="13">
        <f t="shared" si="105"/>
        <v>46.196182305298308</v>
      </c>
      <c r="GX120" s="20">
        <f t="shared" si="82"/>
        <v>400.80895284839431</v>
      </c>
      <c r="GY120" s="59">
        <f t="shared" si="83"/>
        <v>691.53963378823846</v>
      </c>
      <c r="GZ120" s="59">
        <f ca="1">AVERAGE(OFFSET($GY$3,0,0,'Données projet'!$E$18+1,1))-AVERAGE(OFFSET($H$3,0,0,'Données projet'!$E$18+1,1))</f>
        <v>296.67751292332753</v>
      </c>
      <c r="HA120" s="59">
        <f t="shared" si="106"/>
        <v>197.99510031603018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40.177344248392401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40.177344248392401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1.1000000000000001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4.0333333333333341</v>
      </c>
      <c r="H121" s="67">
        <f t="shared" si="56"/>
        <v>240.5333333333333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4.2</v>
      </c>
      <c r="N121" s="13">
        <f>IF('Données projet'!$A$36&gt;35,N120+M121-V120,IF(A121&lt;'Données projet'!$A$36,$K$205^A121,IF(A121='Données projet'!$A$36,'Données projet'!$B$36,N120+M121-V120)))</f>
        <v>319.59999999999985</v>
      </c>
      <c r="O121" s="13">
        <f>N121*VLOOKUP('Données projet'!$B$9,Paramètres!$A$1:$I$89,3,0)*VLOOKUP('Données projet'!$B$9,Paramètres!$A$1:$I$89,5,0)</f>
        <v>289.17407999999989</v>
      </c>
      <c r="P121" s="13">
        <f t="shared" si="87"/>
        <v>68.902103026957676</v>
      </c>
      <c r="Q121" s="20">
        <f t="shared" si="107"/>
        <v>623.64935210528438</v>
      </c>
      <c r="R121" s="59">
        <f t="shared" si="55"/>
        <v>914.42518324549644</v>
      </c>
      <c r="S121" s="59">
        <f ca="1">AVERAGE(OFFSET($R$3,0,0,'Données projet'!$E$9+1,1))-AVERAGE(OFFSET($H$3,0,0,'Données projet'!$E$9+1,1))</f>
        <v>461.20962581398715</v>
      </c>
      <c r="T121" s="59">
        <f t="shared" si="88"/>
        <v>348.44322874953923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57.782568154275275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57.782568154275275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4.2</v>
      </c>
      <c r="AI121" s="13">
        <f>IF('Données projet'!$A$62&gt;35,AI120+AH121-AQ120,IF(A121&lt;'Données projet'!$A$62,$AF$205^A121,IF(A121='Données projet'!$A$62,'Données projet'!$B$62,AI120+AH121-AQ120)))</f>
        <v>319.59999999999985</v>
      </c>
      <c r="AJ121" s="13">
        <f>AI121*VLOOKUP('Données projet'!$B$10,Paramètres!$A$1:$I$89,3,0)*VLOOKUP('Données projet'!$B$10,Paramètres!$A$1:$I$89,5,0)</f>
        <v>324.07439999999991</v>
      </c>
      <c r="AK121" s="13">
        <f t="shared" si="89"/>
        <v>76.200486562159924</v>
      </c>
      <c r="AL121" s="20">
        <f t="shared" si="58"/>
        <v>697.14542742909498</v>
      </c>
      <c r="AM121" s="59">
        <f t="shared" si="59"/>
        <v>987.92125856930704</v>
      </c>
      <c r="AN121" s="59">
        <f ca="1">AVERAGE(OFFSET($AM$3,0,0,'Données projet'!$E$10+1,1))-AVERAGE(OFFSET($H$3,0,0,'Données projet'!$E$10+1,1))</f>
        <v>510.86584023875525</v>
      </c>
      <c r="AO121" s="59">
        <f t="shared" si="90"/>
        <v>384.62921487244125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64.756326379791275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64.756326379791275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4.1677594708744434E-14</v>
      </c>
      <c r="BF121" s="13">
        <f t="shared" si="91"/>
        <v>6.9326303456159188E-13</v>
      </c>
      <c r="BG121" s="20">
        <f t="shared" si="61"/>
        <v>1.2800215959791691E-12</v>
      </c>
      <c r="BH121" s="59">
        <f t="shared" si="62"/>
        <v>290.77583114021337</v>
      </c>
      <c r="BI121" s="59">
        <f ca="1">AVERAGE(OFFSET($BH$3,0,0,'Données projet'!$E$11+1,1))-AVERAGE(OFFSET($H$3,0,0,'Données projet'!$E$11+1,1))</f>
        <v>201.7253431547006</v>
      </c>
      <c r="BJ121" s="59">
        <f t="shared" si="92"/>
        <v>229.70004720044096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15.300510457973408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15.300510457973408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-1.2710188457276673E-13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462.09240749760784</v>
      </c>
      <c r="CE121" s="59">
        <f t="shared" si="94"/>
        <v>403.52202223463337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162.08992895735304</v>
      </c>
      <c r="CL121" s="21">
        <f>EXP(-LN(2)/25)*CL120+(1-EXP(-LN(2)/25))/(LN(2)/25)*Calculateur!CG121*Calculateur!CI121*VLOOKUP('Données projet'!$B$12,Paramètres!$A$1:$I$89,3,0)*0.475*44/12</f>
        <v>12.023434927680897</v>
      </c>
      <c r="CM121" s="21">
        <f>EXP(-LN(2)/2)*CM120+(1-EXP(-LN(2)/2))/(LN(2)/2)*CG121*CJ121*VLOOKUP('Données projet'!$B$12,Paramètres!$A$1:$I$89,3,0)*0.475*44/12</f>
        <v>3.347609357151002E-5</v>
      </c>
      <c r="CN121" s="22">
        <f t="shared" si="66"/>
        <v>174.11339736112751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319.88925869887464</v>
      </c>
      <c r="CZ121" s="59">
        <f t="shared" si="96"/>
        <v>258.2857172412098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77.495635662180391</v>
      </c>
      <c r="DG121" s="21">
        <f>EXP(-LN(2)/25)*DG120+(1-EXP(-LN(2)/25))/(LN(2)/25)*Calculateur!DB121*Calculateur!DD121*VLOOKUP('Données projet'!$B$13,Paramètres!$A$1:$I$89,3,0)*0.475*44/12</f>
        <v>16.662647669098046</v>
      </c>
      <c r="DH121" s="21">
        <f>EXP(-LN(2)/2)*DH120+(1-EXP(-LN(2)/2))/(LN(2)/2)*DB121*DE121*VLOOKUP('Données projet'!$B$13,Paramètres!$A$1:$I$89,3,0)*0.475*44/12</f>
        <v>8.0383022336142151E-5</v>
      </c>
      <c r="DI121" s="22">
        <f t="shared" si="69"/>
        <v>94.158363714300776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-5.6843418860808015E-13</v>
      </c>
      <c r="DP121" s="17">
        <f>DO121*VLOOKUP('Données projet'!$B$14,Paramètres!$A$1:$I$89,3,0)*VLOOKUP('Données projet'!$B$14,Paramètres!$A$1:$I$89,5,0)</f>
        <v>-3.39923644787632E-13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443.64905827069435</v>
      </c>
      <c r="DU121" s="59">
        <f t="shared" si="98"/>
        <v>381.14782516862385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101.03816163545615</v>
      </c>
      <c r="EB121" s="21">
        <f>EXP(-LN(2)/25)*EB120+(1-EXP(-LN(2)/25))/(LN(2)/25)*Calculateur!DW121*Calculateur!DY121*VLOOKUP('Données projet'!$B$14,Paramètres!$A$1:$I$89,3,0)*0.475*44/12</f>
        <v>14.528313509813572</v>
      </c>
      <c r="EC121" s="21">
        <f>EXP(-LN(2)/2)*EC120+(1-EXP(-LN(2)/2))/(LN(2)/2)*DW121*DZ121*VLOOKUP('Données projet'!$B$14,Paramètres!$A$1:$I$89,3,0)*0.475*44/12</f>
        <v>1.9676356529697203E-5</v>
      </c>
      <c r="ED121" s="22">
        <f t="shared" si="72"/>
        <v>115.56649482162625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-3.4106051316484809E-13</v>
      </c>
      <c r="EK121" s="17">
        <f>EJ121*VLOOKUP('Données projet'!$B$15,Paramètres!$A$1:$I$89,3,0)*VLOOKUP('Données projet'!$B$15,Paramètres!$A$1:$I$89,5,0)</f>
        <v>-3.0859155231155454E-13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504.37890861635196</v>
      </c>
      <c r="EP121" s="59">
        <f t="shared" si="100"/>
        <v>611.82129317522913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22.172452750326016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22.172452750326016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3</v>
      </c>
      <c r="FE121" s="12">
        <f>IF('Données projet'!$A$218&gt;35,FE120+FD121-FM120,IF(A121&lt;'Données projet'!$A$218,$FB$205^A121,IF(A121='Données projet'!$A$218,'Données projet'!$B$218,FE120+FD121-FM120)))</f>
        <v>214.99999999999989</v>
      </c>
      <c r="FF121" s="17">
        <f>FE121*VLOOKUP('Données projet'!$B$16,Paramètres!$A$1:$I$89,3,0)*VLOOKUP('Données projet'!$B$16,Paramètres!$A$1:$I$89,5,0)</f>
        <v>231.42599999999987</v>
      </c>
      <c r="FG121" s="13">
        <f t="shared" si="101"/>
        <v>56.590905067453171</v>
      </c>
      <c r="FH121" s="20">
        <f t="shared" si="76"/>
        <v>501.62944299248062</v>
      </c>
      <c r="FI121" s="59">
        <f t="shared" si="77"/>
        <v>792.40527413269274</v>
      </c>
      <c r="FJ121" s="59">
        <f ca="1">AVERAGE(OFFSET($FI$3,0,0,'Données projet'!$E$16+1,1))-AVERAGE(OFFSET($H$3,0,0,'Données projet'!$E$16+1,1))</f>
        <v>334.01098870576732</v>
      </c>
      <c r="FK121" s="59">
        <f t="shared" si="102"/>
        <v>171.1802153303471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31.273577177633371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31.273577177633371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-1.7053025658242404E-13</v>
      </c>
      <c r="GA121" s="17">
        <f>FZ121*VLOOKUP('Données projet'!$B$17,Paramètres!$A$1:$I$89,3,0)*VLOOKUP('Données projet'!$B$17,Paramètres!$A$1:$I$89,5,0)</f>
        <v>-1.4897523215040567E-13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330.12856974146598</v>
      </c>
      <c r="GF121" s="59">
        <f t="shared" si="104"/>
        <v>321.23368446552286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55.18720790587836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55.18720790587836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69.30249940187602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3.6</v>
      </c>
      <c r="GU121" s="12">
        <f>IF('Données projet'!$A$270&gt;35,GU120+GT121-HC120,IF(A121&lt;'Données projet'!$A$270,$GR$205^A121,IF(A121='Données projet'!$A$270,'Données projet'!$B$270,GU120+GT121-HC120)))</f>
        <v>277.79999999999978</v>
      </c>
      <c r="GV121" s="17">
        <f>GU121*VLOOKUP('Données projet'!$B$18,Paramètres!$A$1:$I$89,3,0)*VLOOKUP('Données projet'!$B$18,Paramètres!$A$1:$I$89,5,0)</f>
        <v>186.34823999999986</v>
      </c>
      <c r="GW121" s="13">
        <f t="shared" si="105"/>
        <v>46.731690940362114</v>
      </c>
      <c r="GX121" s="20">
        <f t="shared" si="82"/>
        <v>405.9475463877971</v>
      </c>
      <c r="GY121" s="59">
        <f t="shared" si="83"/>
        <v>696.72337752800922</v>
      </c>
      <c r="GZ121" s="59">
        <f ca="1">AVERAGE(OFFSET($GY$3,0,0,'Données projet'!$E$18+1,1))-AVERAGE(OFFSET($H$3,0,0,'Données projet'!$E$18+1,1))</f>
        <v>296.67751292332753</v>
      </c>
      <c r="HA121" s="59">
        <f t="shared" si="106"/>
        <v>197.99510031603018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39.389491033441672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39.389491033441672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1.1000000000000001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4.0333333333333341</v>
      </c>
      <c r="H122" s="67">
        <f t="shared" si="56"/>
        <v>240.5333333333333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4.2</v>
      </c>
      <c r="N122" s="13">
        <f>IF('Données projet'!$A$36&gt;35,N121+M122-V121,IF(A122&lt;'Données projet'!$A$36,$K$205^A122,IF(A122='Données projet'!$A$36,'Données projet'!$B$36,N121+M122-V121)))</f>
        <v>323.79999999999984</v>
      </c>
      <c r="O122" s="13">
        <f>N122*VLOOKUP('Données projet'!$B$9,Paramètres!$A$1:$I$89,3,0)*VLOOKUP('Données projet'!$B$9,Paramètres!$A$1:$I$89,5,0)</f>
        <v>292.97423999999984</v>
      </c>
      <c r="P122" s="13">
        <f t="shared" si="87"/>
        <v>69.70156908473075</v>
      </c>
      <c r="Q122" s="20">
        <f t="shared" si="107"/>
        <v>631.66036748923909</v>
      </c>
      <c r="R122" s="59">
        <f t="shared" si="55"/>
        <v>922.48056557478355</v>
      </c>
      <c r="S122" s="59">
        <f ca="1">AVERAGE(OFFSET($R$3,0,0,'Données projet'!$E$9+1,1))-AVERAGE(OFFSET($H$3,0,0,'Données projet'!$E$9+1,1))</f>
        <v>461.20962581398715</v>
      </c>
      <c r="T122" s="59">
        <f t="shared" si="88"/>
        <v>348.44322874953923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56.649487236656469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56.649487236656469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4.2</v>
      </c>
      <c r="AI122" s="13">
        <f>IF('Données projet'!$A$62&gt;35,AI121+AH122-AQ121,IF(A122&lt;'Données projet'!$A$62,$AF$205^A122,IF(A122='Données projet'!$A$62,'Données projet'!$B$62,AI121+AH122-AQ121)))</f>
        <v>323.79999999999984</v>
      </c>
      <c r="AJ122" s="13">
        <f>AI122*VLOOKUP('Données projet'!$B$10,Paramètres!$A$1:$I$89,3,0)*VLOOKUP('Données projet'!$B$10,Paramètres!$A$1:$I$89,5,0)</f>
        <v>328.33319999999986</v>
      </c>
      <c r="AK122" s="13">
        <f t="shared" si="89"/>
        <v>77.084635229848772</v>
      </c>
      <c r="AL122" s="20">
        <f t="shared" si="58"/>
        <v>706.10272969198616</v>
      </c>
      <c r="AM122" s="59">
        <f t="shared" si="59"/>
        <v>996.92292777753062</v>
      </c>
      <c r="AN122" s="59">
        <f ca="1">AVERAGE(OFFSET($AM$3,0,0,'Données projet'!$E$10+1,1))-AVERAGE(OFFSET($H$3,0,0,'Données projet'!$E$10+1,1))</f>
        <v>510.86584023875525</v>
      </c>
      <c r="AO122" s="59">
        <f t="shared" si="90"/>
        <v>384.62921487244125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63.486494316942611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63.486494316942611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4.1677594708744434E-14</v>
      </c>
      <c r="BF122" s="13">
        <f t="shared" si="91"/>
        <v>6.9326303456159188E-13</v>
      </c>
      <c r="BG122" s="20">
        <f t="shared" si="61"/>
        <v>1.2800215959791691E-12</v>
      </c>
      <c r="BH122" s="59">
        <f t="shared" si="62"/>
        <v>290.82019808554577</v>
      </c>
      <c r="BI122" s="59">
        <f ca="1">AVERAGE(OFFSET($BH$3,0,0,'Données projet'!$E$11+1,1))-AVERAGE(OFFSET($H$3,0,0,'Données projet'!$E$11+1,1))</f>
        <v>201.7253431547006</v>
      </c>
      <c r="BJ122" s="59">
        <f t="shared" si="92"/>
        <v>229.70004720044096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15.000476780282431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15.000476780282431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-1.2710188457276673E-13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462.09240749760784</v>
      </c>
      <c r="CE122" s="59">
        <f t="shared" si="94"/>
        <v>403.52202223463337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158.91144431559388</v>
      </c>
      <c r="CL122" s="21">
        <f>EXP(-LN(2)/25)*CL121+(1-EXP(-LN(2)/25))/(LN(2)/25)*Calculateur!CG122*Calculateur!CI122*VLOOKUP('Données projet'!$B$12,Paramètres!$A$1:$I$89,3,0)*0.475*44/12</f>
        <v>11.694653467298501</v>
      </c>
      <c r="CM122" s="21">
        <f>EXP(-LN(2)/2)*CM121+(1-EXP(-LN(2)/2))/(LN(2)/2)*CG122*CJ122*VLOOKUP('Données projet'!$B$12,Paramètres!$A$1:$I$89,3,0)*0.475*44/12</f>
        <v>2.3671172772050126E-5</v>
      </c>
      <c r="CN122" s="22">
        <f t="shared" si="66"/>
        <v>170.60612145406517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319.88925869887464</v>
      </c>
      <c r="CZ122" s="59">
        <f t="shared" si="96"/>
        <v>258.2857172412098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75.975993514515494</v>
      </c>
      <c r="DG122" s="21">
        <f>EXP(-LN(2)/25)*DG121+(1-EXP(-LN(2)/25))/(LN(2)/25)*Calculateur!DB122*Calculateur!DD122*VLOOKUP('Données projet'!$B$13,Paramètres!$A$1:$I$89,3,0)*0.475*44/12</f>
        <v>16.207006692336002</v>
      </c>
      <c r="DH122" s="21">
        <f>EXP(-LN(2)/2)*DH121+(1-EXP(-LN(2)/2))/(LN(2)/2)*DB122*DE122*VLOOKUP('Données projet'!$B$13,Paramètres!$A$1:$I$89,3,0)*0.475*44/12</f>
        <v>5.6839380186155834E-5</v>
      </c>
      <c r="DI122" s="22">
        <f t="shared" si="69"/>
        <v>92.183057046231681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-5.6843418860808015E-13</v>
      </c>
      <c r="DP122" s="17">
        <f>DO122*VLOOKUP('Données projet'!$B$14,Paramètres!$A$1:$I$89,3,0)*VLOOKUP('Données projet'!$B$14,Paramètres!$A$1:$I$89,5,0)</f>
        <v>-3.39923644787632E-13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443.64905827069435</v>
      </c>
      <c r="DU122" s="59">
        <f t="shared" si="98"/>
        <v>381.14782516862385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99.05686491297827</v>
      </c>
      <c r="EB122" s="21">
        <f>EXP(-LN(2)/25)*EB121+(1-EXP(-LN(2)/25))/(LN(2)/25)*Calculateur!DW122*Calculateur!DY122*VLOOKUP('Données projet'!$B$14,Paramètres!$A$1:$I$89,3,0)*0.475*44/12</f>
        <v>14.131036012876917</v>
      </c>
      <c r="EC122" s="21">
        <f>EXP(-LN(2)/2)*EC121+(1-EXP(-LN(2)/2))/(LN(2)/2)*DW122*DZ122*VLOOKUP('Données projet'!$B$14,Paramètres!$A$1:$I$89,3,0)*0.475*44/12</f>
        <v>1.3913285131193096E-5</v>
      </c>
      <c r="ED122" s="22">
        <f t="shared" si="72"/>
        <v>113.18791483914032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-3.4106051316484809E-13</v>
      </c>
      <c r="EK122" s="17">
        <f>EJ122*VLOOKUP('Données projet'!$B$15,Paramètres!$A$1:$I$89,3,0)*VLOOKUP('Données projet'!$B$15,Paramètres!$A$1:$I$89,5,0)</f>
        <v>-3.0859155231155454E-13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504.37890861635196</v>
      </c>
      <c r="EP122" s="59">
        <f t="shared" si="100"/>
        <v>611.82129317522913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21.737664475752929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21.737664475752929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3</v>
      </c>
      <c r="FE122" s="12">
        <f>IF('Données projet'!$A$218&gt;35,FE121+FD122-FM121,IF(A122&lt;'Données projet'!$A$218,$FB$205^A122,IF(A122='Données projet'!$A$218,'Données projet'!$B$218,FE121+FD122-FM121)))</f>
        <v>217.99999999999989</v>
      </c>
      <c r="FF122" s="17">
        <f>FE122*VLOOKUP('Données projet'!$B$16,Paramètres!$A$1:$I$89,3,0)*VLOOKUP('Données projet'!$B$16,Paramètres!$A$1:$I$89,5,0)</f>
        <v>234.65519999999987</v>
      </c>
      <c r="FG122" s="13">
        <f t="shared" si="101"/>
        <v>57.288067746850942</v>
      </c>
      <c r="FH122" s="20">
        <f t="shared" si="76"/>
        <v>508.46785799243179</v>
      </c>
      <c r="FI122" s="59">
        <f t="shared" si="77"/>
        <v>799.28805607797631</v>
      </c>
      <c r="FJ122" s="59">
        <f ca="1">AVERAGE(OFFSET($FI$3,0,0,'Données projet'!$E$16+1,1))-AVERAGE(OFFSET($H$3,0,0,'Données projet'!$E$16+1,1))</f>
        <v>334.01098870576732</v>
      </c>
      <c r="FK122" s="59">
        <f t="shared" si="102"/>
        <v>171.1802153303471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30.660321404178561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30.660321404178561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-1.7053025658242404E-13</v>
      </c>
      <c r="GA122" s="17">
        <f>FZ122*VLOOKUP('Données projet'!$B$17,Paramètres!$A$1:$I$89,3,0)*VLOOKUP('Données projet'!$B$17,Paramètres!$A$1:$I$89,5,0)</f>
        <v>-1.4897523215040567E-13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330.12856974146598</v>
      </c>
      <c r="GF122" s="59">
        <f t="shared" si="104"/>
        <v>321.23368446552286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54.105020419717171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54.105020419717171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69.31459947787576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3.6</v>
      </c>
      <c r="GU122" s="12">
        <f>IF('Données projet'!$A$270&gt;35,GU121+GT122-HC121,IF(A122&lt;'Données projet'!$A$270,$GR$205^A122,IF(A122='Données projet'!$A$270,'Données projet'!$B$270,GU121+GT122-HC121)))</f>
        <v>281.39999999999981</v>
      </c>
      <c r="GV122" s="17">
        <f>GU122*VLOOKUP('Données projet'!$B$18,Paramètres!$A$1:$I$89,3,0)*VLOOKUP('Données projet'!$B$18,Paramètres!$A$1:$I$89,5,0)</f>
        <v>188.76311999999987</v>
      </c>
      <c r="GW122" s="13">
        <f t="shared" si="105"/>
        <v>47.266392386745324</v>
      </c>
      <c r="GX122" s="20">
        <f t="shared" si="82"/>
        <v>411.08473407358116</v>
      </c>
      <c r="GY122" s="59">
        <f t="shared" si="83"/>
        <v>701.90493215912556</v>
      </c>
      <c r="GZ122" s="59">
        <f ca="1">AVERAGE(OFFSET($GY$3,0,0,'Données projet'!$E$18+1,1))-AVERAGE(OFFSET($H$3,0,0,'Données projet'!$E$18+1,1))</f>
        <v>296.67751292332753</v>
      </c>
      <c r="HA122" s="59">
        <f t="shared" si="106"/>
        <v>197.99510031603018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38.617087139493115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38.617087139493115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1.1000000000000001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4.0333333333333341</v>
      </c>
      <c r="H123" s="67">
        <f t="shared" si="56"/>
        <v>240.5333333333333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328</v>
      </c>
      <c r="L123" s="12">
        <f>VLOOKUP(A123,'Données projet'!$A$35:$I$55,9,0)</f>
        <v>4.2</v>
      </c>
      <c r="M123" s="12">
        <f t="array" ref="M123">INDEX(L:L,MIN(IF(ISNUMBER(L123:L319),ROW(L123:L319),"")))</f>
        <v>4.2</v>
      </c>
      <c r="N123" s="13">
        <f>IF('Données projet'!$A$36&gt;35,N122+M123-V122,IF(A123&lt;'Données projet'!$A$36,$K$205^A123,IF(A123='Données projet'!$A$36,'Données projet'!$B$36,N122+M123-V122)))</f>
        <v>327.99999999999983</v>
      </c>
      <c r="O123" s="13">
        <f>N123*VLOOKUP('Données projet'!$B$9,Paramètres!$A$1:$I$89,3,0)*VLOOKUP('Données projet'!$B$9,Paramètres!$A$1:$I$89,5,0)</f>
        <v>296.77439999999984</v>
      </c>
      <c r="P123" s="13">
        <f t="shared" si="87"/>
        <v>70.499828966950673</v>
      </c>
      <c r="Q123" s="20">
        <f t="shared" si="107"/>
        <v>639.6692821174388</v>
      </c>
      <c r="R123" s="59">
        <f t="shared" si="55"/>
        <v>930.5330774810036</v>
      </c>
      <c r="S123" s="59">
        <f ca="1">AVERAGE(OFFSET($R$3,0,0,'Données projet'!$E$9+1,1))-AVERAGE(OFFSET($H$3,0,0,'Données projet'!$E$9+1,1))</f>
        <v>461.20962581398715</v>
      </c>
      <c r="T123" s="59">
        <f t="shared" si="88"/>
        <v>348.44322874953923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328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182.50376977433885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182.50376977433885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328</v>
      </c>
      <c r="AG123" s="12">
        <f>VLOOKUP(A123,'Données projet'!$A$61:$I$81,9,0)</f>
        <v>4.2</v>
      </c>
      <c r="AH123" s="12">
        <f t="array" ref="AH123">INDEX(AG:AG,MIN(IF(ISNUMBER(AG123:AG319),ROW(AG123:AG319),"")))</f>
        <v>4.2</v>
      </c>
      <c r="AI123" s="13">
        <f>IF('Données projet'!$A$62&gt;35,AI122+AH123-AQ122,IF(A123&lt;'Données projet'!$A$62,$AF$205^A123,IF(A123='Données projet'!$A$62,'Données projet'!$B$62,AI122+AH123-AQ122)))</f>
        <v>327.99999999999983</v>
      </c>
      <c r="AJ123" s="13">
        <f>AI123*VLOOKUP('Données projet'!$B$10,Paramètres!$A$1:$I$89,3,0)*VLOOKUP('Données projet'!$B$10,Paramètres!$A$1:$I$89,5,0)</f>
        <v>332.59199999999987</v>
      </c>
      <c r="AK123" s="13">
        <f t="shared" si="89"/>
        <v>77.967449959094594</v>
      </c>
      <c r="AL123" s="20">
        <f t="shared" si="58"/>
        <v>715.05770867875617</v>
      </c>
      <c r="AM123" s="59">
        <f t="shared" si="59"/>
        <v>1005.921504042321</v>
      </c>
      <c r="AN123" s="59">
        <f ca="1">AVERAGE(OFFSET($AM$3,0,0,'Données projet'!$E$10+1,1))-AVERAGE(OFFSET($H$3,0,0,'Données projet'!$E$10+1,1))</f>
        <v>510.86584023875525</v>
      </c>
      <c r="AO123" s="59">
        <f t="shared" si="90"/>
        <v>384.62921487244125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328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204.53008681606946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204.53008681606946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4.1677594708744434E-14</v>
      </c>
      <c r="BF123" s="13">
        <f t="shared" si="91"/>
        <v>6.9326303456159188E-13</v>
      </c>
      <c r="BG123" s="20">
        <f t="shared" si="61"/>
        <v>1.2800215959791691E-12</v>
      </c>
      <c r="BH123" s="59">
        <f t="shared" si="62"/>
        <v>290.86379536356617</v>
      </c>
      <c r="BI123" s="59">
        <f ca="1">AVERAGE(OFFSET($BH$3,0,0,'Données projet'!$E$11+1,1))-AVERAGE(OFFSET($H$3,0,0,'Données projet'!$E$11+1,1))</f>
        <v>201.7253431547006</v>
      </c>
      <c r="BJ123" s="59">
        <f t="shared" si="92"/>
        <v>229.70004720044096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14.706326580008502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14.706326580008502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-1.2710188457276673E-13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462.09240749760784</v>
      </c>
      <c r="CE123" s="59">
        <f t="shared" si="94"/>
        <v>403.52202223463337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155.79528781897542</v>
      </c>
      <c r="CL123" s="21">
        <f>EXP(-LN(2)/25)*CL122+(1-EXP(-LN(2)/25))/(LN(2)/25)*Calculateur!CG123*Calculateur!CI123*VLOOKUP('Données projet'!$B$12,Paramètres!$A$1:$I$89,3,0)*0.475*44/12</f>
        <v>11.374862553240126</v>
      </c>
      <c r="CM123" s="21">
        <f>EXP(-LN(2)/2)*CM122+(1-EXP(-LN(2)/2))/(LN(2)/2)*CG123*CJ123*VLOOKUP('Données projet'!$B$12,Paramètres!$A$1:$I$89,3,0)*0.475*44/12</f>
        <v>1.673804678575501E-5</v>
      </c>
      <c r="CN123" s="22">
        <f t="shared" si="66"/>
        <v>167.17016711026233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319.88925869887464</v>
      </c>
      <c r="CZ123" s="59">
        <f t="shared" si="96"/>
        <v>258.2857172412098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74.486150622476117</v>
      </c>
      <c r="DG123" s="21">
        <f>EXP(-LN(2)/25)*DG122+(1-EXP(-LN(2)/25))/(LN(2)/25)*Calculateur!DB123*Calculateur!DD123*VLOOKUP('Données projet'!$B$13,Paramètres!$A$1:$I$89,3,0)*0.475*44/12</f>
        <v>15.763825242044634</v>
      </c>
      <c r="DH123" s="21">
        <f>EXP(-LN(2)/2)*DH122+(1-EXP(-LN(2)/2))/(LN(2)/2)*DB123*DE123*VLOOKUP('Données projet'!$B$13,Paramètres!$A$1:$I$89,3,0)*0.475*44/12</f>
        <v>4.0191511168071083E-5</v>
      </c>
      <c r="DI123" s="22">
        <f t="shared" si="69"/>
        <v>90.25001605603191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-5.6843418860808015E-13</v>
      </c>
      <c r="DP123" s="17">
        <f>DO123*VLOOKUP('Données projet'!$B$14,Paramètres!$A$1:$I$89,3,0)*VLOOKUP('Données projet'!$B$14,Paramètres!$A$1:$I$89,5,0)</f>
        <v>-3.39923644787632E-13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443.64905827069435</v>
      </c>
      <c r="DU123" s="59">
        <f t="shared" si="98"/>
        <v>381.14782516862385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97.114420210756506</v>
      </c>
      <c r="EB123" s="21">
        <f>EXP(-LN(2)/25)*EB122+(1-EXP(-LN(2)/25))/(LN(2)/25)*Calculateur!DW123*Calculateur!DY123*VLOOKUP('Données projet'!$B$14,Paramètres!$A$1:$I$89,3,0)*0.475*44/12</f>
        <v>13.744622089985912</v>
      </c>
      <c r="EC123" s="21">
        <f>EXP(-LN(2)/2)*EC122+(1-EXP(-LN(2)/2))/(LN(2)/2)*DW123*DZ123*VLOOKUP('Données projet'!$B$14,Paramètres!$A$1:$I$89,3,0)*0.475*44/12</f>
        <v>9.8381782648486017E-6</v>
      </c>
      <c r="ED123" s="22">
        <f t="shared" si="72"/>
        <v>110.85905213892067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-3.4106051316484809E-13</v>
      </c>
      <c r="EK123" s="17">
        <f>EJ123*VLOOKUP('Données projet'!$B$15,Paramètres!$A$1:$I$89,3,0)*VLOOKUP('Données projet'!$B$15,Paramètres!$A$1:$I$89,5,0)</f>
        <v>-3.0859155231155454E-13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504.37890861635196</v>
      </c>
      <c r="EP123" s="59">
        <f t="shared" si="100"/>
        <v>611.82129317522913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21.311402134049558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21.311402134049558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221</v>
      </c>
      <c r="FC123" s="12">
        <f>VLOOKUP(A123,'Données projet'!$A$217:$I$237,9,0)</f>
        <v>3</v>
      </c>
      <c r="FD123" s="12">
        <f t="array" ref="FD123">INDEX(FC:FC,MIN(IF(ISNUMBER(FC123:FC319),ROW(FC123:FC319),"")))</f>
        <v>3</v>
      </c>
      <c r="FE123" s="12">
        <f>IF('Données projet'!$A$218&gt;35,FE122+FD123-FM122,IF(A123&lt;'Données projet'!$A$218,$FB$205^A123,IF(A123='Données projet'!$A$218,'Données projet'!$B$218,FE122+FD123-FM122)))</f>
        <v>220.99999999999989</v>
      </c>
      <c r="FF123" s="17">
        <f>FE123*VLOOKUP('Données projet'!$B$16,Paramètres!$A$1:$I$89,3,0)*VLOOKUP('Données projet'!$B$16,Paramètres!$A$1:$I$89,5,0)</f>
        <v>237.88439999999989</v>
      </c>
      <c r="FG123" s="13">
        <f t="shared" si="101"/>
        <v>57.984114543460535</v>
      </c>
      <c r="FH123" s="20">
        <f t="shared" si="76"/>
        <v>515.30432949652698</v>
      </c>
      <c r="FI123" s="59">
        <f t="shared" si="77"/>
        <v>806.16812486009189</v>
      </c>
      <c r="FJ123" s="59">
        <f ca="1">AVERAGE(OFFSET($FI$3,0,0,'Données projet'!$E$16+1,1))-AVERAGE(OFFSET($H$3,0,0,'Données projet'!$E$16+1,1))</f>
        <v>334.01098870576732</v>
      </c>
      <c r="FK123" s="59">
        <f t="shared" si="102"/>
        <v>171.1802153303471</v>
      </c>
      <c r="FL123" s="15">
        <f>IF(ISNA(VLOOKUP(A123,'Données projet'!$A$217:$I$237,3,0)),0,VLOOKUP(A123,'Données projet'!$A$217:$I$237,3,0))</f>
        <v>20</v>
      </c>
      <c r="FM123" s="15">
        <f>IF(ISNA(VLOOKUP(A123,'Données projet'!$A$217:$I$237,4,0)),0,VLOOKUP(A123,'Données projet'!$A$217:$I$237,4,0))</f>
        <v>221</v>
      </c>
      <c r="FN123" s="16">
        <f>IF(ISNA(VLOOKUP(A123,'Données projet'!$A$217:$I$237,5,0)),0%,VLOOKUP(A123,'Données projet'!$A$217:$I$237,5,0)*VLOOKUP('Données projet'!$B$16,Paramètres!$A$1:$I$89,7,0))</f>
        <v>0.34400000000000003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120.52220153821315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120.52220153821315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-1.7053025658242404E-13</v>
      </c>
      <c r="GA123" s="17">
        <f>FZ123*VLOOKUP('Données projet'!$B$17,Paramètres!$A$1:$I$89,3,0)*VLOOKUP('Données projet'!$B$17,Paramètres!$A$1:$I$89,5,0)</f>
        <v>-1.4897523215040567E-13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330.12856974146598</v>
      </c>
      <c r="GF123" s="59">
        <f t="shared" si="104"/>
        <v>321.23368446552286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53.044053970090417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53.044053970090417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69.3264896446086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>
        <f>VLOOKUP(A123,'Données projet'!$A$269:$I$289,2,0)</f>
        <v>285</v>
      </c>
      <c r="GS123" s="12">
        <f>VLOOKUP(A123,'Données projet'!$A$269:$I$289,9,0)</f>
        <v>3.6</v>
      </c>
      <c r="GT123" s="12">
        <f t="array" ref="GT123">INDEX(GS:GS,MIN(IF(ISNUMBER(GS123:GS319),ROW(GS123:GS319),"")))</f>
        <v>3.6</v>
      </c>
      <c r="GU123" s="12">
        <f>IF('Données projet'!$A$270&gt;35,GU122+GT123-HC122,IF(A123&lt;'Données projet'!$A$270,$GR$205^A123,IF(A123='Données projet'!$A$270,'Données projet'!$B$270,GU122+GT123-HC122)))</f>
        <v>284.99999999999983</v>
      </c>
      <c r="GV123" s="17">
        <f>GU123*VLOOKUP('Données projet'!$B$18,Paramètres!$A$1:$I$89,3,0)*VLOOKUP('Données projet'!$B$18,Paramètres!$A$1:$I$89,5,0)</f>
        <v>191.17799999999988</v>
      </c>
      <c r="GW123" s="13">
        <f t="shared" si="105"/>
        <v>47.80029816501365</v>
      </c>
      <c r="GX123" s="20">
        <f t="shared" si="82"/>
        <v>416.22053597073187</v>
      </c>
      <c r="GY123" s="59">
        <f t="shared" si="83"/>
        <v>707.08433133429673</v>
      </c>
      <c r="GZ123" s="59">
        <f ca="1">AVERAGE(OFFSET($GY$3,0,0,'Données projet'!$E$18+1,1))-AVERAGE(OFFSET($H$3,0,0,'Données projet'!$E$18+1,1))</f>
        <v>296.67751292332753</v>
      </c>
      <c r="HA123" s="59">
        <f t="shared" si="106"/>
        <v>197.99510031603018</v>
      </c>
      <c r="HB123" s="15">
        <f>IF(ISNA(VLOOKUP(A123,'Données projet'!$A$269:$I$289,3,0)),0,VLOOKUP(A123,'Données projet'!$A$269:$I$289,3,0))</f>
        <v>21</v>
      </c>
      <c r="HC123" s="15">
        <f>IF(ISNA(VLOOKUP(A123,'Données projet'!$A$269:$I$289,4,0)),0,VLOOKUP(A123,'Données projet'!$A$269:$I$289,4,0))</f>
        <v>285</v>
      </c>
      <c r="HD123" s="16">
        <f>IF(ISNA(VLOOKUP(A123,'Données projet'!$A$269:$I$289,5,0)),0%,VLOOKUP(A123,'Données projet'!$A$269:$I$289,5,0)*VLOOKUP('Données projet'!$B$18,Paramètres!$A$1:$I$89,7,0))</f>
        <v>0.42400000000000004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127.46867489136559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127.46867489136559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1.1000000000000001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4.0333333333333341</v>
      </c>
      <c r="H124" s="67">
        <f t="shared" si="56"/>
        <v>240.5333333333333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-1.5429577615577727E-13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461.20962581398715</v>
      </c>
      <c r="T124" s="59">
        <f t="shared" si="88"/>
        <v>348.44322874953923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178.92498216537206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178.92498216537206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-1.72917680174578E-13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510.86584023875525</v>
      </c>
      <c r="AO124" s="59">
        <f t="shared" si="90"/>
        <v>384.62921487244125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200.51937656464116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200.51937656464116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4.1677594708744434E-14</v>
      </c>
      <c r="BF124" s="13">
        <f t="shared" si="91"/>
        <v>6.9326303456159188E-13</v>
      </c>
      <c r="BG124" s="20">
        <f t="shared" si="61"/>
        <v>1.2800215959791691E-12</v>
      </c>
      <c r="BH124" s="59">
        <f t="shared" si="62"/>
        <v>290.9066363262819</v>
      </c>
      <c r="BI124" s="59">
        <f ca="1">AVERAGE(OFFSET($BH$3,0,0,'Données projet'!$E$11+1,1))-AVERAGE(OFFSET($H$3,0,0,'Données projet'!$E$11+1,1))</f>
        <v>201.7253431547006</v>
      </c>
      <c r="BJ124" s="59">
        <f t="shared" si="92"/>
        <v>229.70004720044096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14.417944485748038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14.417944485748038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-1.2710188457276673E-13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462.09240749760784</v>
      </c>
      <c r="CE124" s="59">
        <f t="shared" si="94"/>
        <v>403.52202223463337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152.74023725058788</v>
      </c>
      <c r="CL124" s="21">
        <f>EXP(-LN(2)/25)*CL123+(1-EXP(-LN(2)/25))/(LN(2)/25)*Calculateur!CG124*Calculateur!CI124*VLOOKUP('Données projet'!$B$12,Paramètres!$A$1:$I$89,3,0)*0.475*44/12</f>
        <v>11.06381633854375</v>
      </c>
      <c r="CM124" s="21">
        <f>EXP(-LN(2)/2)*CM123+(1-EXP(-LN(2)/2))/(LN(2)/2)*CG124*CJ124*VLOOKUP('Données projet'!$B$12,Paramètres!$A$1:$I$89,3,0)*0.475*44/12</f>
        <v>1.1835586386025063E-5</v>
      </c>
      <c r="CN124" s="22">
        <f t="shared" si="66"/>
        <v>163.804065424718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319.88925869887464</v>
      </c>
      <c r="CZ124" s="59">
        <f t="shared" si="96"/>
        <v>258.2857172412098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73.025522640835192</v>
      </c>
      <c r="DG124" s="21">
        <f>EXP(-LN(2)/25)*DG123+(1-EXP(-LN(2)/25))/(LN(2)/25)*Calculateur!DB124*Calculateur!DD124*VLOOKUP('Données projet'!$B$13,Paramètres!$A$1:$I$89,3,0)*0.475*44/12</f>
        <v>15.332762611817383</v>
      </c>
      <c r="DH124" s="21">
        <f>EXP(-LN(2)/2)*DH123+(1-EXP(-LN(2)/2))/(LN(2)/2)*DB124*DE124*VLOOKUP('Données projet'!$B$13,Paramètres!$A$1:$I$89,3,0)*0.475*44/12</f>
        <v>2.8419690093077921E-5</v>
      </c>
      <c r="DI124" s="22">
        <f t="shared" si="69"/>
        <v>88.358313672342675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-5.6843418860808015E-13</v>
      </c>
      <c r="DP124" s="17">
        <f>DO124*VLOOKUP('Données projet'!$B$14,Paramètres!$A$1:$I$89,3,0)*VLOOKUP('Données projet'!$B$14,Paramètres!$A$1:$I$89,5,0)</f>
        <v>-3.39923644787632E-13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443.64905827069435</v>
      </c>
      <c r="DU124" s="59">
        <f t="shared" si="98"/>
        <v>381.14782516862385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95.210065664371029</v>
      </c>
      <c r="EB124" s="21">
        <f>EXP(-LN(2)/25)*EB123+(1-EXP(-LN(2)/25))/(LN(2)/25)*Calculateur!DW124*Calculateur!DY124*VLOOKUP('Données projet'!$B$14,Paramètres!$A$1:$I$89,3,0)*0.475*44/12</f>
        <v>13.368774676136985</v>
      </c>
      <c r="EC124" s="21">
        <f>EXP(-LN(2)/2)*EC123+(1-EXP(-LN(2)/2))/(LN(2)/2)*DW124*DZ124*VLOOKUP('Données projet'!$B$14,Paramètres!$A$1:$I$89,3,0)*0.475*44/12</f>
        <v>6.9566425655965481E-6</v>
      </c>
      <c r="ED124" s="22">
        <f t="shared" si="72"/>
        <v>108.57884729715057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-3.4106051316484809E-13</v>
      </c>
      <c r="EK124" s="17">
        <f>EJ124*VLOOKUP('Données projet'!$B$15,Paramètres!$A$1:$I$89,3,0)*VLOOKUP('Données projet'!$B$15,Paramètres!$A$1:$I$89,5,0)</f>
        <v>-3.0859155231155454E-13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504.37890861635196</v>
      </c>
      <c r="EP124" s="59">
        <f t="shared" si="100"/>
        <v>611.82129317522913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20.893498536872634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20.893498536872634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-1.1368683772161603E-13</v>
      </c>
      <c r="FF124" s="17">
        <f>FE124*VLOOKUP('Données projet'!$B$16,Paramètres!$A$1:$I$89,3,0)*VLOOKUP('Données projet'!$B$16,Paramètres!$A$1:$I$89,5,0)</f>
        <v>-1.223725121235475E-13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334.01098870576732</v>
      </c>
      <c r="FK124" s="59">
        <f t="shared" si="102"/>
        <v>171.1802153303471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118.15883467733309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118.15883467733309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-1.7053025658242404E-13</v>
      </c>
      <c r="GA124" s="17">
        <f>FZ124*VLOOKUP('Données projet'!$B$17,Paramètres!$A$1:$I$89,3,0)*VLOOKUP('Données projet'!$B$17,Paramètres!$A$1:$I$89,5,0)</f>
        <v>-1.4897523215040567E-13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330.12856974146598</v>
      </c>
      <c r="GF124" s="59">
        <f t="shared" si="104"/>
        <v>321.23368446552286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52.003892425415202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52.003892425415202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69.33817354353107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-1.7053025658242404E-13</v>
      </c>
      <c r="GV124" s="17">
        <f>GU124*VLOOKUP('Données projet'!$B$18,Paramètres!$A$1:$I$89,3,0)*VLOOKUP('Données projet'!$B$18,Paramètres!$A$1:$I$89,5,0)</f>
        <v>-1.1439169611549005E-13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296.67751292332753</v>
      </c>
      <c r="HA124" s="59">
        <f t="shared" si="106"/>
        <v>197.99510031603018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124.96909192496059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124.96909192496059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1.1000000000000001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4.0333333333333341</v>
      </c>
      <c r="H125" s="67">
        <f t="shared" si="56"/>
        <v>240.5333333333333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-1.5429577615577727E-13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461.20962581398715</v>
      </c>
      <c r="T125" s="59">
        <f t="shared" si="88"/>
        <v>348.44322874953923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175.41637239857221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175.41637239857221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-1.72917680174578E-13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510.86584023875525</v>
      </c>
      <c r="AO125" s="59">
        <f t="shared" si="90"/>
        <v>384.62921487244125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196.58731389495168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196.58731389495168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4.1677594708744434E-14</v>
      </c>
      <c r="BF125" s="13">
        <f t="shared" si="91"/>
        <v>6.9326303456159188E-13</v>
      </c>
      <c r="BG125" s="20">
        <f t="shared" si="61"/>
        <v>1.2800215959791691E-12</v>
      </c>
      <c r="BH125" s="59">
        <f t="shared" si="62"/>
        <v>290.94873409407251</v>
      </c>
      <c r="BI125" s="59">
        <f ca="1">AVERAGE(OFFSET($BH$3,0,0,'Données projet'!$E$11+1,1))-AVERAGE(OFFSET($H$3,0,0,'Données projet'!$E$11+1,1))</f>
        <v>201.7253431547006</v>
      </c>
      <c r="BJ125" s="59">
        <f t="shared" si="92"/>
        <v>229.70004720044096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14.135217388460312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14.135217388460312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-1.2710188457276673E-13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462.09240749760784</v>
      </c>
      <c r="CE125" s="59">
        <f t="shared" si="94"/>
        <v>403.52202223463337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149.74509436044957</v>
      </c>
      <c r="CL125" s="21">
        <f>EXP(-LN(2)/25)*CL124+(1-EXP(-LN(2)/25))/(LN(2)/25)*Calculateur!CG125*Calculateur!CI125*VLOOKUP('Données projet'!$B$12,Paramètres!$A$1:$I$89,3,0)*0.475*44/12</f>
        <v>10.761275698945457</v>
      </c>
      <c r="CM125" s="21">
        <f>EXP(-LN(2)/2)*CM124+(1-EXP(-LN(2)/2))/(LN(2)/2)*CG125*CJ125*VLOOKUP('Données projet'!$B$12,Paramètres!$A$1:$I$89,3,0)*0.475*44/12</f>
        <v>8.3690233928775049E-6</v>
      </c>
      <c r="CN125" s="22">
        <f t="shared" si="66"/>
        <v>160.50637842841843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319.88925869887464</v>
      </c>
      <c r="CZ125" s="59">
        <f t="shared" si="96"/>
        <v>258.2857172412098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71.593536683019153</v>
      </c>
      <c r="DG125" s="21">
        <f>EXP(-LN(2)/25)*DG124+(1-EXP(-LN(2)/25))/(LN(2)/25)*Calculateur!DB125*Calculateur!DD125*VLOOKUP('Données projet'!$B$13,Paramètres!$A$1:$I$89,3,0)*0.475*44/12</f>
        <v>14.913487411882295</v>
      </c>
      <c r="DH125" s="21">
        <f>EXP(-LN(2)/2)*DH124+(1-EXP(-LN(2)/2))/(LN(2)/2)*DB125*DE125*VLOOKUP('Données projet'!$B$13,Paramètres!$A$1:$I$89,3,0)*0.475*44/12</f>
        <v>2.0095755584035545E-5</v>
      </c>
      <c r="DI125" s="22">
        <f t="shared" si="69"/>
        <v>86.507044190657041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-5.6843418860808015E-13</v>
      </c>
      <c r="DP125" s="17">
        <f>DO125*VLOOKUP('Données projet'!$B$14,Paramètres!$A$1:$I$89,3,0)*VLOOKUP('Données projet'!$B$14,Paramètres!$A$1:$I$89,5,0)</f>
        <v>-3.39923644787632E-13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443.64905827069435</v>
      </c>
      <c r="DU125" s="59">
        <f t="shared" si="98"/>
        <v>381.14782516862385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93.343054349098594</v>
      </c>
      <c r="EB125" s="21">
        <f>EXP(-LN(2)/25)*EB124+(1-EXP(-LN(2)/25))/(LN(2)/25)*Calculateur!DW125*Calculateur!DY125*VLOOKUP('Données projet'!$B$14,Paramètres!$A$1:$I$89,3,0)*0.475*44/12</f>
        <v>13.003204829584714</v>
      </c>
      <c r="EC125" s="21">
        <f>EXP(-LN(2)/2)*EC124+(1-EXP(-LN(2)/2))/(LN(2)/2)*DW125*DZ125*VLOOKUP('Données projet'!$B$14,Paramètres!$A$1:$I$89,3,0)*0.475*44/12</f>
        <v>4.9190891324243008E-6</v>
      </c>
      <c r="ED125" s="22">
        <f t="shared" si="72"/>
        <v>106.34626409777245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-3.4106051316484809E-13</v>
      </c>
      <c r="EK125" s="17">
        <f>EJ125*VLOOKUP('Données projet'!$B$15,Paramètres!$A$1:$I$89,3,0)*VLOOKUP('Données projet'!$B$15,Paramètres!$A$1:$I$89,5,0)</f>
        <v>-3.0859155231155454E-13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504.37890861635196</v>
      </c>
      <c r="EP125" s="59">
        <f t="shared" si="100"/>
        <v>611.82129317522913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20.483789774340327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20.483789774340327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-1.1368683772161603E-13</v>
      </c>
      <c r="FF125" s="17">
        <f>FE125*VLOOKUP('Données projet'!$B$16,Paramètres!$A$1:$I$89,3,0)*VLOOKUP('Données projet'!$B$16,Paramètres!$A$1:$I$89,5,0)</f>
        <v>-1.223725121235475E-13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334.01098870576732</v>
      </c>
      <c r="FK125" s="59">
        <f t="shared" si="102"/>
        <v>171.1802153303471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115.84181199908345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115.84181199908345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-1.7053025658242404E-13</v>
      </c>
      <c r="GA125" s="17">
        <f>FZ125*VLOOKUP('Données projet'!$B$17,Paramètres!$A$1:$I$89,3,0)*VLOOKUP('Données projet'!$B$17,Paramètres!$A$1:$I$89,5,0)</f>
        <v>-1.4897523215040567E-13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330.12856974146598</v>
      </c>
      <c r="GF125" s="59">
        <f t="shared" si="104"/>
        <v>321.23368446552286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50.984127814195176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50.984127814195176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69.349654752928501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-1.7053025658242404E-13</v>
      </c>
      <c r="GV125" s="17">
        <f>GU125*VLOOKUP('Données projet'!$B$18,Paramètres!$A$1:$I$89,3,0)*VLOOKUP('Données projet'!$B$18,Paramètres!$A$1:$I$89,5,0)</f>
        <v>-1.1439169611549005E-13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296.67751292332753</v>
      </c>
      <c r="HA125" s="59">
        <f t="shared" si="106"/>
        <v>197.99510031603018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122.51852425593174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122.51852425593174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1.1000000000000001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4.0333333333333341</v>
      </c>
      <c r="H126" s="67">
        <f t="shared" si="56"/>
        <v>240.5333333333333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-1.5429577615577727E-13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461.20962581398715</v>
      </c>
      <c r="T126" s="59">
        <f t="shared" si="88"/>
        <v>348.44322874953923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171.97656432925865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171.97656432925865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-1.72917680174578E-13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510.86584023875525</v>
      </c>
      <c r="AO126" s="59">
        <f t="shared" si="90"/>
        <v>384.62921487244125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192.73235657589336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192.73235657589336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4.1677594708744434E-14</v>
      </c>
      <c r="BF126" s="13">
        <f t="shared" si="91"/>
        <v>6.9326303456159188E-13</v>
      </c>
      <c r="BG126" s="20">
        <f t="shared" si="61"/>
        <v>1.2800215959791691E-12</v>
      </c>
      <c r="BH126" s="59">
        <f t="shared" si="62"/>
        <v>290.99010155970848</v>
      </c>
      <c r="BI126" s="59">
        <f ca="1">AVERAGE(OFFSET($BH$3,0,0,'Données projet'!$E$11+1,1))-AVERAGE(OFFSET($H$3,0,0,'Données projet'!$E$11+1,1))</f>
        <v>201.7253431547006</v>
      </c>
      <c r="BJ126" s="59">
        <f t="shared" si="92"/>
        <v>229.70004720044096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13.858034397103896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13.858034397103896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-1.2710188457276673E-13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462.09240749760784</v>
      </c>
      <c r="CE126" s="59">
        <f t="shared" si="94"/>
        <v>403.52202223463337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146.80868439553009</v>
      </c>
      <c r="CL126" s="21">
        <f>EXP(-LN(2)/25)*CL125+(1-EXP(-LN(2)/25))/(LN(2)/25)*Calculateur!CG126*Calculateur!CI126*VLOOKUP('Données projet'!$B$12,Paramètres!$A$1:$I$89,3,0)*0.475*44/12</f>
        <v>10.4670080490469</v>
      </c>
      <c r="CM126" s="21">
        <f>EXP(-LN(2)/2)*CM125+(1-EXP(-LN(2)/2))/(LN(2)/2)*CG126*CJ126*VLOOKUP('Données projet'!$B$12,Paramètres!$A$1:$I$89,3,0)*0.475*44/12</f>
        <v>5.9177931930125315E-6</v>
      </c>
      <c r="CN126" s="22">
        <f t="shared" si="66"/>
        <v>157.27569836237021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319.88925869887464</v>
      </c>
      <c r="CZ126" s="59">
        <f t="shared" si="96"/>
        <v>258.2857172412098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70.189631096410693</v>
      </c>
      <c r="DG126" s="21">
        <f>EXP(-LN(2)/25)*DG125+(1-EXP(-LN(2)/25))/(LN(2)/25)*Calculateur!DB126*Calculateur!DD126*VLOOKUP('Données projet'!$B$13,Paramètres!$A$1:$I$89,3,0)*0.475*44/12</f>
        <v>14.505677314338156</v>
      </c>
      <c r="DH126" s="21">
        <f>EXP(-LN(2)/2)*DH125+(1-EXP(-LN(2)/2))/(LN(2)/2)*DB126*DE126*VLOOKUP('Données projet'!$B$13,Paramètres!$A$1:$I$89,3,0)*0.475*44/12</f>
        <v>1.4209845046538964E-5</v>
      </c>
      <c r="DI126" s="22">
        <f t="shared" si="69"/>
        <v>84.695322620593899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-5.6843418860808015E-13</v>
      </c>
      <c r="DP126" s="17">
        <f>DO126*VLOOKUP('Données projet'!$B$14,Paramètres!$A$1:$I$89,3,0)*VLOOKUP('Données projet'!$B$14,Paramètres!$A$1:$I$89,5,0)</f>
        <v>-3.39923644787632E-13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443.64905827069435</v>
      </c>
      <c r="DU126" s="59">
        <f t="shared" si="98"/>
        <v>381.14782516862385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91.512653986954192</v>
      </c>
      <c r="EB126" s="21">
        <f>EXP(-LN(2)/25)*EB125+(1-EXP(-LN(2)/25))/(LN(2)/25)*Calculateur!DW126*Calculateur!DY126*VLOOKUP('Données projet'!$B$14,Paramètres!$A$1:$I$89,3,0)*0.475*44/12</f>
        <v>12.647631509710898</v>
      </c>
      <c r="EC126" s="21">
        <f>EXP(-LN(2)/2)*EC125+(1-EXP(-LN(2)/2))/(LN(2)/2)*DW126*DZ126*VLOOKUP('Données projet'!$B$14,Paramètres!$A$1:$I$89,3,0)*0.475*44/12</f>
        <v>3.4783212827982741E-6</v>
      </c>
      <c r="ED126" s="22">
        <f t="shared" si="72"/>
        <v>104.16028897498639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-3.4106051316484809E-13</v>
      </c>
      <c r="EK126" s="17">
        <f>EJ126*VLOOKUP('Données projet'!$B$15,Paramètres!$A$1:$I$89,3,0)*VLOOKUP('Données projet'!$B$15,Paramètres!$A$1:$I$89,5,0)</f>
        <v>-3.0859155231155454E-13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504.37890861635196</v>
      </c>
      <c r="EP126" s="59">
        <f t="shared" si="100"/>
        <v>611.82129317522913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20.082115150743608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20.082115150743608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-1.1368683772161603E-13</v>
      </c>
      <c r="FF126" s="17">
        <f>FE126*VLOOKUP('Données projet'!$B$16,Paramètres!$A$1:$I$89,3,0)*VLOOKUP('Données projet'!$B$16,Paramètres!$A$1:$I$89,5,0)</f>
        <v>-1.223725121235475E-13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334.01098870576732</v>
      </c>
      <c r="FK126" s="59">
        <f t="shared" si="102"/>
        <v>171.1802153303471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113.57022472230999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113.57022472230999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-1.7053025658242404E-13</v>
      </c>
      <c r="GA126" s="17">
        <f>FZ126*VLOOKUP('Données projet'!$B$17,Paramètres!$A$1:$I$89,3,0)*VLOOKUP('Données projet'!$B$17,Paramètres!$A$1:$I$89,5,0)</f>
        <v>-1.4897523215040567E-13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330.12856974146598</v>
      </c>
      <c r="GF126" s="59">
        <f t="shared" si="104"/>
        <v>321.23368446552286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49.98436016500618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49.98436016500618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69.360936789011049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-1.7053025658242404E-13</v>
      </c>
      <c r="GV126" s="17">
        <f>GU126*VLOOKUP('Données projet'!$B$18,Paramètres!$A$1:$I$89,3,0)*VLOOKUP('Données projet'!$B$18,Paramètres!$A$1:$I$89,5,0)</f>
        <v>-1.1439169611549005E-13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296.67751292332753</v>
      </c>
      <c r="HA126" s="59">
        <f t="shared" si="106"/>
        <v>197.99510031603018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120.11601072419384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120.11601072419384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1.1000000000000001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4.0333333333333341</v>
      </c>
      <c r="H127" s="67">
        <f t="shared" si="56"/>
        <v>240.5333333333333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-1.5429577615577727E-13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461.20962581398715</v>
      </c>
      <c r="T127" s="59">
        <f t="shared" si="88"/>
        <v>348.44322874953923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168.60420879810857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168.60420879810857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-1.72917680174578E-13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510.86584023875525</v>
      </c>
      <c r="AO127" s="59">
        <f t="shared" si="90"/>
        <v>384.62921487244125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188.95299261856999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188.95299261856999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4.1677594708744434E-14</v>
      </c>
      <c r="BF127" s="13">
        <f t="shared" si="91"/>
        <v>6.9326303456159188E-13</v>
      </c>
      <c r="BG127" s="20">
        <f t="shared" si="61"/>
        <v>1.2800215959791691E-12</v>
      </c>
      <c r="BH127" s="59">
        <f t="shared" si="62"/>
        <v>291.03075139229941</v>
      </c>
      <c r="BI127" s="59">
        <f ca="1">AVERAGE(OFFSET($BH$3,0,0,'Données projet'!$E$11+1,1))-AVERAGE(OFFSET($H$3,0,0,'Données projet'!$E$11+1,1))</f>
        <v>201.7253431547006</v>
      </c>
      <c r="BJ127" s="59">
        <f t="shared" si="92"/>
        <v>229.70004720044096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13.586286795143049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13.586286795143049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-1.2710188457276673E-13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462.09240749760784</v>
      </c>
      <c r="CE127" s="59">
        <f t="shared" si="94"/>
        <v>403.52202223463337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143.92985563898944</v>
      </c>
      <c r="CL127" s="21">
        <f>EXP(-LN(2)/25)*CL126+(1-EXP(-LN(2)/25))/(LN(2)/25)*Calculateur!CG127*Calculateur!CI127*VLOOKUP('Données projet'!$B$12,Paramètres!$A$1:$I$89,3,0)*0.475*44/12</f>
        <v>10.180787163509681</v>
      </c>
      <c r="CM127" s="21">
        <f>EXP(-LN(2)/2)*CM126+(1-EXP(-LN(2)/2))/(LN(2)/2)*CG127*CJ127*VLOOKUP('Données projet'!$B$12,Paramètres!$A$1:$I$89,3,0)*0.475*44/12</f>
        <v>4.1845116964387525E-6</v>
      </c>
      <c r="CN127" s="22">
        <f t="shared" si="66"/>
        <v>154.11064698701082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319.88925869887464</v>
      </c>
      <c r="CZ127" s="59">
        <f t="shared" si="96"/>
        <v>258.2857172412098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68.813255242057764</v>
      </c>
      <c r="DG127" s="21">
        <f>EXP(-LN(2)/25)*DG126+(1-EXP(-LN(2)/25))/(LN(2)/25)*Calculateur!DB127*Calculateur!DD127*VLOOKUP('Données projet'!$B$13,Paramètres!$A$1:$I$89,3,0)*0.475*44/12</f>
        <v>14.109018805357163</v>
      </c>
      <c r="DH127" s="21">
        <f>EXP(-LN(2)/2)*DH126+(1-EXP(-LN(2)/2))/(LN(2)/2)*DB127*DE127*VLOOKUP('Données projet'!$B$13,Paramètres!$A$1:$I$89,3,0)*0.475*44/12</f>
        <v>1.0047877792017774E-5</v>
      </c>
      <c r="DI127" s="22">
        <f t="shared" si="69"/>
        <v>82.922284095292724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-5.6843418860808015E-13</v>
      </c>
      <c r="DP127" s="17">
        <f>DO127*VLOOKUP('Données projet'!$B$14,Paramètres!$A$1:$I$89,3,0)*VLOOKUP('Données projet'!$B$14,Paramètres!$A$1:$I$89,5,0)</f>
        <v>-3.39923644787632E-13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443.64905827069435</v>
      </c>
      <c r="DU127" s="59">
        <f t="shared" si="98"/>
        <v>381.14782516862385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89.718146659477455</v>
      </c>
      <c r="EB127" s="21">
        <f>EXP(-LN(2)/25)*EB126+(1-EXP(-LN(2)/25))/(LN(2)/25)*Calculateur!DW127*Calculateur!DY127*VLOOKUP('Données projet'!$B$14,Paramètres!$A$1:$I$89,3,0)*0.475*44/12</f>
        <v>12.301781360967819</v>
      </c>
      <c r="EC127" s="21">
        <f>EXP(-LN(2)/2)*EC126+(1-EXP(-LN(2)/2))/(LN(2)/2)*DW127*DZ127*VLOOKUP('Données projet'!$B$14,Paramètres!$A$1:$I$89,3,0)*0.475*44/12</f>
        <v>2.4595445662121504E-6</v>
      </c>
      <c r="ED127" s="22">
        <f t="shared" si="72"/>
        <v>102.01993047998984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-3.4106051316484809E-13</v>
      </c>
      <c r="EK127" s="17">
        <f>EJ127*VLOOKUP('Données projet'!$B$15,Paramètres!$A$1:$I$89,3,0)*VLOOKUP('Données projet'!$B$15,Paramètres!$A$1:$I$89,5,0)</f>
        <v>-3.0859155231155454E-13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504.37890861635196</v>
      </c>
      <c r="EP127" s="59">
        <f t="shared" si="100"/>
        <v>611.82129317522913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19.688317121518292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19.688317121518292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-1.1368683772161603E-13</v>
      </c>
      <c r="FF127" s="17">
        <f>FE127*VLOOKUP('Données projet'!$B$16,Paramètres!$A$1:$I$89,3,0)*VLOOKUP('Données projet'!$B$16,Paramètres!$A$1:$I$89,5,0)</f>
        <v>-1.223725121235475E-13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334.01098870576732</v>
      </c>
      <c r="FK127" s="59">
        <f t="shared" si="102"/>
        <v>171.1802153303471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111.34318188650262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111.34318188650262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-1.7053025658242404E-13</v>
      </c>
      <c r="GA127" s="17">
        <f>FZ127*VLOOKUP('Données projet'!$B$17,Paramètres!$A$1:$I$89,3,0)*VLOOKUP('Données projet'!$B$17,Paramètres!$A$1:$I$89,5,0)</f>
        <v>-1.4897523215040567E-13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330.12856974146598</v>
      </c>
      <c r="GF127" s="59">
        <f t="shared" si="104"/>
        <v>321.23368446552286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49.004197349619723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49.004197349619723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69.372023106990397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-1.7053025658242404E-13</v>
      </c>
      <c r="GV127" s="17">
        <f>GU127*VLOOKUP('Données projet'!$B$18,Paramètres!$A$1:$I$89,3,0)*VLOOKUP('Données projet'!$B$18,Paramètres!$A$1:$I$89,5,0)</f>
        <v>-1.1439169611549005E-13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296.67751292332753</v>
      </c>
      <c r="HA127" s="59">
        <f t="shared" si="106"/>
        <v>197.99510031603018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117.76060901742477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117.76060901742477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1.1000000000000001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4.0333333333333341</v>
      </c>
      <c r="H128" s="67">
        <f t="shared" si="56"/>
        <v>240.5333333333333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-1.5429577615577727E-13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461.20962581398715</v>
      </c>
      <c r="T128" s="59">
        <f t="shared" si="88"/>
        <v>348.44322874953923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165.29798310199058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165.29798310199058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-1.72917680174578E-13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510.86584023875525</v>
      </c>
      <c r="AO128" s="59">
        <f t="shared" si="90"/>
        <v>384.62921487244125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185.24773968326534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185.24773968326534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4.1677594708744434E-14</v>
      </c>
      <c r="BF128" s="13">
        <f t="shared" si="91"/>
        <v>6.9326303456159188E-13</v>
      </c>
      <c r="BG128" s="20">
        <f t="shared" si="61"/>
        <v>1.2800215959791691E-12</v>
      </c>
      <c r="BH128" s="59">
        <f t="shared" si="62"/>
        <v>291.07069604117436</v>
      </c>
      <c r="BI128" s="59">
        <f ca="1">AVERAGE(OFFSET($BH$3,0,0,'Données projet'!$E$11+1,1))-AVERAGE(OFFSET($H$3,0,0,'Données projet'!$E$11+1,1))</f>
        <v>201.7253431547006</v>
      </c>
      <c r="BJ128" s="59">
        <f t="shared" si="92"/>
        <v>229.70004720044096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13.319867997906984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13.319867997906984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-1.2710188457276673E-13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462.09240749760784</v>
      </c>
      <c r="CE128" s="59">
        <f t="shared" si="94"/>
        <v>403.52202223463337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141.10747895845239</v>
      </c>
      <c r="CL128" s="21">
        <f>EXP(-LN(2)/25)*CL127+(1-EXP(-LN(2)/25))/(LN(2)/25)*Calculateur!CG128*Calculateur!CI128*VLOOKUP('Données projet'!$B$12,Paramètres!$A$1:$I$89,3,0)*0.475*44/12</f>
        <v>9.9023930031391796</v>
      </c>
      <c r="CM128" s="21">
        <f>EXP(-LN(2)/2)*CM127+(1-EXP(-LN(2)/2))/(LN(2)/2)*CG128*CJ128*VLOOKUP('Données projet'!$B$12,Paramètres!$A$1:$I$89,3,0)*0.475*44/12</f>
        <v>2.9588965965062658E-6</v>
      </c>
      <c r="CN128" s="22">
        <f t="shared" si="66"/>
        <v>151.00987492048816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319.88925869887464</v>
      </c>
      <c r="CZ128" s="59">
        <f t="shared" si="96"/>
        <v>258.2857172412098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67.463869278702319</v>
      </c>
      <c r="DG128" s="21">
        <f>EXP(-LN(2)/25)*DG127+(1-EXP(-LN(2)/25))/(LN(2)/25)*Calculateur!DB128*Calculateur!DD128*VLOOKUP('Données projet'!$B$13,Paramètres!$A$1:$I$89,3,0)*0.475*44/12</f>
        <v>13.72320694416362</v>
      </c>
      <c r="DH128" s="21">
        <f>EXP(-LN(2)/2)*DH127+(1-EXP(-LN(2)/2))/(LN(2)/2)*DB128*DE128*VLOOKUP('Données projet'!$B$13,Paramètres!$A$1:$I$89,3,0)*0.475*44/12</f>
        <v>7.1049225232694827E-6</v>
      </c>
      <c r="DI128" s="22">
        <f t="shared" si="69"/>
        <v>81.187083327788457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-5.6843418860808015E-13</v>
      </c>
      <c r="DP128" s="17">
        <f>DO128*VLOOKUP('Données projet'!$B$14,Paramètres!$A$1:$I$89,3,0)*VLOOKUP('Données projet'!$B$14,Paramètres!$A$1:$I$89,5,0)</f>
        <v>-3.39923644787632E-13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443.64905827069435</v>
      </c>
      <c r="DU128" s="59">
        <f t="shared" si="98"/>
        <v>381.14782516862385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87.958828526151152</v>
      </c>
      <c r="EB128" s="21">
        <f>EXP(-LN(2)/25)*EB127+(1-EXP(-LN(2)/25))/(LN(2)/25)*Calculateur!DW128*Calculateur!DY128*VLOOKUP('Données projet'!$B$14,Paramètres!$A$1:$I$89,3,0)*0.475*44/12</f>
        <v>11.965388502729589</v>
      </c>
      <c r="EC128" s="21">
        <f>EXP(-LN(2)/2)*EC127+(1-EXP(-LN(2)/2))/(LN(2)/2)*DW128*DZ128*VLOOKUP('Données projet'!$B$14,Paramètres!$A$1:$I$89,3,0)*0.475*44/12</f>
        <v>1.739160641399137E-6</v>
      </c>
      <c r="ED128" s="22">
        <f t="shared" si="72"/>
        <v>99.924218768041385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-3.4106051316484809E-13</v>
      </c>
      <c r="EK128" s="17">
        <f>EJ128*VLOOKUP('Données projet'!$B$15,Paramètres!$A$1:$I$89,3,0)*VLOOKUP('Données projet'!$B$15,Paramètres!$A$1:$I$89,5,0)</f>
        <v>-3.0859155231155454E-13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504.37890861635196</v>
      </c>
      <c r="EP128" s="59">
        <f t="shared" si="100"/>
        <v>611.82129317522913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19.302241231453003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19.302241231453003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-1.1368683772161603E-13</v>
      </c>
      <c r="FF128" s="17">
        <f>FE128*VLOOKUP('Données projet'!$B$16,Paramètres!$A$1:$I$89,3,0)*VLOOKUP('Données projet'!$B$16,Paramètres!$A$1:$I$89,5,0)</f>
        <v>-1.223725121235475E-13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334.01098870576732</v>
      </c>
      <c r="FK128" s="59">
        <f t="shared" si="102"/>
        <v>171.1802153303471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109.15981000234343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109.15981000234343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-1.7053025658242404E-13</v>
      </c>
      <c r="GA128" s="17">
        <f>FZ128*VLOOKUP('Données projet'!$B$17,Paramètres!$A$1:$I$89,3,0)*VLOOKUP('Données projet'!$B$17,Paramètres!$A$1:$I$89,5,0)</f>
        <v>-1.4897523215040567E-13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330.12856974146598</v>
      </c>
      <c r="GF128" s="59">
        <f t="shared" si="104"/>
        <v>321.23368446552286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48.04325492920271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48.04325492920271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69.382917102138109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-1.7053025658242404E-13</v>
      </c>
      <c r="GV128" s="17">
        <f>GU128*VLOOKUP('Données projet'!$B$18,Paramètres!$A$1:$I$89,3,0)*VLOOKUP('Données projet'!$B$18,Paramètres!$A$1:$I$89,5,0)</f>
        <v>-1.1439169611549005E-13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296.67751292332753</v>
      </c>
      <c r="HA128" s="59">
        <f t="shared" si="106"/>
        <v>197.99510031603018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115.45139530147226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115.45139530147226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1.1000000000000001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4.0333333333333341</v>
      </c>
      <c r="H129" s="67">
        <f t="shared" si="56"/>
        <v>240.5333333333333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-1.5429577615577727E-13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461.20962581398715</v>
      </c>
      <c r="T129" s="59">
        <f t="shared" si="88"/>
        <v>348.44322874953923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162.05659047517491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162.05659047517491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-1.72917680174578E-13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510.86584023875525</v>
      </c>
      <c r="AO129" s="59">
        <f t="shared" si="90"/>
        <v>384.62921487244125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181.61514449804088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181.61514449804088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4.1677594708744434E-14</v>
      </c>
      <c r="BF129" s="13">
        <f t="shared" si="91"/>
        <v>6.9326303456159188E-13</v>
      </c>
      <c r="BG129" s="20">
        <f t="shared" si="61"/>
        <v>1.2800215959791691E-12</v>
      </c>
      <c r="BH129" s="59">
        <f t="shared" si="62"/>
        <v>291.10994773969418</v>
      </c>
      <c r="BI129" s="59">
        <f ca="1">AVERAGE(OFFSET($BH$3,0,0,'Données projet'!$E$11+1,1))-AVERAGE(OFFSET($H$3,0,0,'Données projet'!$E$11+1,1))</f>
        <v>201.7253431547006</v>
      </c>
      <c r="BJ129" s="59">
        <f t="shared" si="92"/>
        <v>229.70004720044096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13.058673510785297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13.058673510785297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-1.2710188457276673E-13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462.09240749760784</v>
      </c>
      <c r="CE129" s="59">
        <f t="shared" si="94"/>
        <v>403.52202223463337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138.3404473631409</v>
      </c>
      <c r="CL129" s="21">
        <f>EXP(-LN(2)/25)*CL128+(1-EXP(-LN(2)/25))/(LN(2)/25)*Calculateur!CG129*Calculateur!CI129*VLOOKUP('Données projet'!$B$12,Paramètres!$A$1:$I$89,3,0)*0.475*44/12</f>
        <v>9.6316115457241231</v>
      </c>
      <c r="CM129" s="21">
        <f>EXP(-LN(2)/2)*CM128+(1-EXP(-LN(2)/2))/(LN(2)/2)*CG129*CJ129*VLOOKUP('Données projet'!$B$12,Paramètres!$A$1:$I$89,3,0)*0.475*44/12</f>
        <v>2.0922558482193762E-6</v>
      </c>
      <c r="CN129" s="22">
        <f t="shared" si="66"/>
        <v>147.97206100112086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319.88925869887464</v>
      </c>
      <c r="CZ129" s="59">
        <f t="shared" si="96"/>
        <v>258.2857172412098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66.140943951044108</v>
      </c>
      <c r="DG129" s="21">
        <f>EXP(-LN(2)/25)*DG128+(1-EXP(-LN(2)/25))/(LN(2)/25)*Calculateur!DB129*Calculateur!DD129*VLOOKUP('Données projet'!$B$13,Paramètres!$A$1:$I$89,3,0)*0.475*44/12</f>
        <v>13.347945128603376</v>
      </c>
      <c r="DH129" s="21">
        <f>EXP(-LN(2)/2)*DH128+(1-EXP(-LN(2)/2))/(LN(2)/2)*DB129*DE129*VLOOKUP('Données projet'!$B$13,Paramètres!$A$1:$I$89,3,0)*0.475*44/12</f>
        <v>5.0239388960088879E-6</v>
      </c>
      <c r="DI129" s="22">
        <f t="shared" si="69"/>
        <v>79.488894103586375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-5.6843418860808015E-13</v>
      </c>
      <c r="DP129" s="17">
        <f>DO129*VLOOKUP('Données projet'!$B$14,Paramètres!$A$1:$I$89,3,0)*VLOOKUP('Données projet'!$B$14,Paramètres!$A$1:$I$89,5,0)</f>
        <v>-3.39923644787632E-13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443.64905827069435</v>
      </c>
      <c r="DU129" s="59">
        <f t="shared" si="98"/>
        <v>381.14782516862385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86.234009548341277</v>
      </c>
      <c r="EB129" s="21">
        <f>EXP(-LN(2)/25)*EB128+(1-EXP(-LN(2)/25))/(LN(2)/25)*Calculateur!DW129*Calculateur!DY129*VLOOKUP('Données projet'!$B$14,Paramètres!$A$1:$I$89,3,0)*0.475*44/12</f>
        <v>11.638194324890014</v>
      </c>
      <c r="EC129" s="21">
        <f>EXP(-LN(2)/2)*EC128+(1-EXP(-LN(2)/2))/(LN(2)/2)*DW129*DZ129*VLOOKUP('Données projet'!$B$14,Paramètres!$A$1:$I$89,3,0)*0.475*44/12</f>
        <v>1.2297722831060752E-6</v>
      </c>
      <c r="ED129" s="22">
        <f t="shared" si="72"/>
        <v>97.872205103003566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-3.4106051316484809E-13</v>
      </c>
      <c r="EK129" s="17">
        <f>EJ129*VLOOKUP('Données projet'!$B$15,Paramètres!$A$1:$I$89,3,0)*VLOOKUP('Données projet'!$B$15,Paramètres!$A$1:$I$89,5,0)</f>
        <v>-3.0859155231155454E-13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504.37890861635196</v>
      </c>
      <c r="EP129" s="59">
        <f t="shared" si="100"/>
        <v>611.82129317522913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18.923736054108854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18.923736054108854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-1.1368683772161603E-13</v>
      </c>
      <c r="FF129" s="17">
        <f>FE129*VLOOKUP('Données projet'!$B$16,Paramètres!$A$1:$I$89,3,0)*VLOOKUP('Données projet'!$B$16,Paramètres!$A$1:$I$89,5,0)</f>
        <v>-1.223725121235475E-13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334.01098870576732</v>
      </c>
      <c r="FK129" s="59">
        <f t="shared" si="102"/>
        <v>171.1802153303471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107.01925270910726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107.01925270910726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-1.7053025658242404E-13</v>
      </c>
      <c r="GA129" s="17">
        <f>FZ129*VLOOKUP('Données projet'!$B$17,Paramètres!$A$1:$I$89,3,0)*VLOOKUP('Données projet'!$B$17,Paramètres!$A$1:$I$89,5,0)</f>
        <v>-1.4897523215040567E-13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330.12856974146598</v>
      </c>
      <c r="GF129" s="59">
        <f t="shared" si="104"/>
        <v>321.23368446552286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47.10115600353307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47.10115600353307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69.393622110825333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-1.7053025658242404E-13</v>
      </c>
      <c r="GV129" s="17">
        <f>GU129*VLOOKUP('Données projet'!$B$18,Paramètres!$A$1:$I$89,3,0)*VLOOKUP('Données projet'!$B$18,Paramètres!$A$1:$I$89,5,0)</f>
        <v>-1.1439169611549005E-13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296.67751292332753</v>
      </c>
      <c r="HA129" s="59">
        <f t="shared" si="106"/>
        <v>197.99510031603018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113.18746385800829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113.18746385800829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1.1000000000000001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4.0333333333333341</v>
      </c>
      <c r="H130" s="67">
        <f t="shared" si="56"/>
        <v>240.5333333333333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-1.5429577615577727E-13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461.20962581398715</v>
      </c>
      <c r="T130" s="59">
        <f t="shared" si="88"/>
        <v>348.44322874953923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158.8787595807168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158.8787595807168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-1.72917680174578E-13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510.86584023875525</v>
      </c>
      <c r="AO130" s="59">
        <f t="shared" si="90"/>
        <v>384.62921487244125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178.0537822887344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178.0537822887344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4.1677594708744434E-14</v>
      </c>
      <c r="BF130" s="13">
        <f t="shared" si="91"/>
        <v>6.9326303456159188E-13</v>
      </c>
      <c r="BG130" s="20">
        <f t="shared" si="61"/>
        <v>1.2800215959791691E-12</v>
      </c>
      <c r="BH130" s="59">
        <f t="shared" si="62"/>
        <v>291.14851850899834</v>
      </c>
      <c r="BI130" s="59">
        <f ca="1">AVERAGE(OFFSET($BH$3,0,0,'Données projet'!$E$11+1,1))-AVERAGE(OFFSET($H$3,0,0,'Données projet'!$E$11+1,1))</f>
        <v>201.7253431547006</v>
      </c>
      <c r="BJ130" s="59">
        <f t="shared" si="92"/>
        <v>229.70004720044096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12.802600888243161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12.802600888243161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-1.2710188457276673E-13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462.09240749760784</v>
      </c>
      <c r="CE130" s="59">
        <f t="shared" si="94"/>
        <v>403.52202223463337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135.62767556969084</v>
      </c>
      <c r="CL130" s="21">
        <f>EXP(-LN(2)/25)*CL129+(1-EXP(-LN(2)/25))/(LN(2)/25)*Calculateur!CG130*Calculateur!CI130*VLOOKUP('Données projet'!$B$12,Paramètres!$A$1:$I$89,3,0)*0.475*44/12</f>
        <v>9.368234621501859</v>
      </c>
      <c r="CM130" s="21">
        <f>EXP(-LN(2)/2)*CM129+(1-EXP(-LN(2)/2))/(LN(2)/2)*CG130*CJ130*VLOOKUP('Données projet'!$B$12,Paramètres!$A$1:$I$89,3,0)*0.475*44/12</f>
        <v>1.4794482982531329E-6</v>
      </c>
      <c r="CN130" s="22">
        <f t="shared" si="66"/>
        <v>144.99591167064099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319.88925869887464</v>
      </c>
      <c r="CZ130" s="59">
        <f t="shared" si="96"/>
        <v>258.2857172412098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64.843960382156496</v>
      </c>
      <c r="DG130" s="21">
        <f>EXP(-LN(2)/25)*DG129+(1-EXP(-LN(2)/25))/(LN(2)/25)*Calculateur!DB130*Calculateur!DD130*VLOOKUP('Données projet'!$B$13,Paramètres!$A$1:$I$89,3,0)*0.475*44/12</f>
        <v>12.982944867123789</v>
      </c>
      <c r="DH130" s="21">
        <f>EXP(-LN(2)/2)*DH129+(1-EXP(-LN(2)/2))/(LN(2)/2)*DB130*DE130*VLOOKUP('Données projet'!$B$13,Paramètres!$A$1:$I$89,3,0)*0.475*44/12</f>
        <v>3.5524612616347422E-6</v>
      </c>
      <c r="DI130" s="22">
        <f t="shared" si="69"/>
        <v>77.826908801741553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-5.6843418860808015E-13</v>
      </c>
      <c r="DP130" s="17">
        <f>DO130*VLOOKUP('Données projet'!$B$14,Paramètres!$A$1:$I$89,3,0)*VLOOKUP('Données projet'!$B$14,Paramètres!$A$1:$I$89,5,0)</f>
        <v>-3.39923644787632E-13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443.64905827069435</v>
      </c>
      <c r="DU130" s="59">
        <f t="shared" si="98"/>
        <v>381.14782516862385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84.543013218650557</v>
      </c>
      <c r="EB130" s="21">
        <f>EXP(-LN(2)/25)*EB129+(1-EXP(-LN(2)/25))/(LN(2)/25)*Calculateur!DW130*Calculateur!DY130*VLOOKUP('Données projet'!$B$14,Paramètres!$A$1:$I$89,3,0)*0.475*44/12</f>
        <v>11.319947289049857</v>
      </c>
      <c r="EC130" s="21">
        <f>EXP(-LN(2)/2)*EC129+(1-EXP(-LN(2)/2))/(LN(2)/2)*DW130*DZ130*VLOOKUP('Données projet'!$B$14,Paramètres!$A$1:$I$89,3,0)*0.475*44/12</f>
        <v>8.6958032069956851E-7</v>
      </c>
      <c r="ED130" s="22">
        <f t="shared" si="72"/>
        <v>95.86296137728074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-3.4106051316484809E-13</v>
      </c>
      <c r="EK130" s="17">
        <f>EJ130*VLOOKUP('Données projet'!$B$15,Paramètres!$A$1:$I$89,3,0)*VLOOKUP('Données projet'!$B$15,Paramètres!$A$1:$I$89,5,0)</f>
        <v>-3.0859155231155454E-13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504.37890861635196</v>
      </c>
      <c r="EP130" s="59">
        <f t="shared" si="100"/>
        <v>611.82129317522913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18.552653132427061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18.552653132427061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-1.1368683772161603E-13</v>
      </c>
      <c r="FF130" s="17">
        <f>FE130*VLOOKUP('Données projet'!$B$16,Paramètres!$A$1:$I$89,3,0)*VLOOKUP('Données projet'!$B$16,Paramètres!$A$1:$I$89,5,0)</f>
        <v>-1.223725121235475E-13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334.01098870576732</v>
      </c>
      <c r="FK130" s="59">
        <f t="shared" si="102"/>
        <v>171.1802153303471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104.92067043878042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104.92067043878042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-1.7053025658242404E-13</v>
      </c>
      <c r="GA130" s="17">
        <f>FZ130*VLOOKUP('Données projet'!$B$17,Paramètres!$A$1:$I$89,3,0)*VLOOKUP('Données projet'!$B$17,Paramètres!$A$1:$I$89,5,0)</f>
        <v>-1.4897523215040567E-13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330.12856974146598</v>
      </c>
      <c r="GF130" s="59">
        <f t="shared" si="104"/>
        <v>321.23368446552286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46.177531063172211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46.177531063172211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69.404141411544643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-1.7053025658242404E-13</v>
      </c>
      <c r="GV130" s="17">
        <f>GU130*VLOOKUP('Données projet'!$B$18,Paramètres!$A$1:$I$89,3,0)*VLOOKUP('Données projet'!$B$18,Paramètres!$A$1:$I$89,5,0)</f>
        <v>-1.1439169611549005E-13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296.67751292332753</v>
      </c>
      <c r="HA130" s="59">
        <f t="shared" si="106"/>
        <v>197.99510031603018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110.96792672928881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110.96792672928881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1.1000000000000001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4.0333333333333341</v>
      </c>
      <c r="H131" s="67">
        <f t="shared" si="56"/>
        <v>240.5333333333333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-1.5429577615577727E-13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461.20962581398715</v>
      </c>
      <c r="T131" s="59">
        <f t="shared" si="88"/>
        <v>348.44322874953923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155.76324401181358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155.76324401181358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-1.72917680174578E-13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510.86584023875525</v>
      </c>
      <c r="AO131" s="59">
        <f t="shared" si="90"/>
        <v>384.62921487244125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174.56225622013594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174.56225622013594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4.1677594708744434E-14</v>
      </c>
      <c r="BF131" s="13">
        <f t="shared" si="91"/>
        <v>6.9326303456159188E-13</v>
      </c>
      <c r="BG131" s="20">
        <f t="shared" si="61"/>
        <v>1.2800215959791691E-12</v>
      </c>
      <c r="BH131" s="59">
        <f t="shared" si="62"/>
        <v>291.18642016168639</v>
      </c>
      <c r="BI131" s="59">
        <f ca="1">AVERAGE(OFFSET($BH$3,0,0,'Données projet'!$E$11+1,1))-AVERAGE(OFFSET($H$3,0,0,'Données projet'!$E$11+1,1))</f>
        <v>201.7253431547006</v>
      </c>
      <c r="BJ131" s="59">
        <f t="shared" si="92"/>
        <v>229.70004720044096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12.551549693640197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12.551549693640197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-1.2710188457276673E-13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462.09240749760784</v>
      </c>
      <c r="CE131" s="59">
        <f t="shared" si="94"/>
        <v>403.52202223463337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132.9680995764829</v>
      </c>
      <c r="CL131" s="21">
        <f>EXP(-LN(2)/25)*CL130+(1-EXP(-LN(2)/25))/(LN(2)/25)*Calculateur!CG131*Calculateur!CI131*VLOOKUP('Données projet'!$B$12,Paramètres!$A$1:$I$89,3,0)*0.475*44/12</f>
        <v>9.1120597531228427</v>
      </c>
      <c r="CM131" s="21">
        <f>EXP(-LN(2)/2)*CM130+(1-EXP(-LN(2)/2))/(LN(2)/2)*CG131*CJ131*VLOOKUP('Données projet'!$B$12,Paramètres!$A$1:$I$89,3,0)*0.475*44/12</f>
        <v>1.0461279241096881E-6</v>
      </c>
      <c r="CN131" s="22">
        <f t="shared" si="66"/>
        <v>142.08016037573367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319.88925869887464</v>
      </c>
      <c r="CZ131" s="59">
        <f t="shared" si="96"/>
        <v>258.2857172412098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63.572409869972915</v>
      </c>
      <c r="DG131" s="21">
        <f>EXP(-LN(2)/25)*DG130+(1-EXP(-LN(2)/25))/(LN(2)/25)*Calculateur!DB131*Calculateur!DD131*VLOOKUP('Données projet'!$B$13,Paramètres!$A$1:$I$89,3,0)*0.475*44/12</f>
        <v>12.627925556988892</v>
      </c>
      <c r="DH131" s="21">
        <f>EXP(-LN(2)/2)*DH130+(1-EXP(-LN(2)/2))/(LN(2)/2)*DB131*DE131*VLOOKUP('Données projet'!$B$13,Paramètres!$A$1:$I$89,3,0)*0.475*44/12</f>
        <v>2.5119694480044444E-6</v>
      </c>
      <c r="DI131" s="22">
        <f t="shared" si="69"/>
        <v>76.200337938931241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-5.6843418860808015E-13</v>
      </c>
      <c r="DP131" s="17">
        <f>DO131*VLOOKUP('Données projet'!$B$14,Paramètres!$A$1:$I$89,3,0)*VLOOKUP('Données projet'!$B$14,Paramètres!$A$1:$I$89,5,0)</f>
        <v>-3.39923644787632E-13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443.64905827069435</v>
      </c>
      <c r="DU131" s="59">
        <f t="shared" si="98"/>
        <v>381.14782516862385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82.885176295579143</v>
      </c>
      <c r="EB131" s="21">
        <f>EXP(-LN(2)/25)*EB130+(1-EXP(-LN(2)/25))/(LN(2)/25)*Calculateur!DW131*Calculateur!DY131*VLOOKUP('Données projet'!$B$14,Paramètres!$A$1:$I$89,3,0)*0.475*44/12</f>
        <v>11.010402735140632</v>
      </c>
      <c r="EC131" s="21">
        <f>EXP(-LN(2)/2)*EC130+(1-EXP(-LN(2)/2))/(LN(2)/2)*DW131*DZ131*VLOOKUP('Données projet'!$B$14,Paramètres!$A$1:$I$89,3,0)*0.475*44/12</f>
        <v>6.148861415530376E-7</v>
      </c>
      <c r="ED131" s="22">
        <f t="shared" si="72"/>
        <v>93.89557964560592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-3.4106051316484809E-13</v>
      </c>
      <c r="EK131" s="17">
        <f>EJ131*VLOOKUP('Données projet'!$B$15,Paramètres!$A$1:$I$89,3,0)*VLOOKUP('Données projet'!$B$15,Paramètres!$A$1:$I$89,5,0)</f>
        <v>-3.0859155231155454E-13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504.37890861635196</v>
      </c>
      <c r="EP131" s="59">
        <f t="shared" si="100"/>
        <v>611.82129317522913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18.188846920501213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18.188846920501213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-1.1368683772161603E-13</v>
      </c>
      <c r="FF131" s="17">
        <f>FE131*VLOOKUP('Données projet'!$B$16,Paramètres!$A$1:$I$89,3,0)*VLOOKUP('Données projet'!$B$16,Paramètres!$A$1:$I$89,5,0)</f>
        <v>-1.223725121235475E-13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334.01098870576732</v>
      </c>
      <c r="FK131" s="59">
        <f t="shared" si="102"/>
        <v>171.1802153303471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102.8632400867659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102.8632400867659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-1.7053025658242404E-13</v>
      </c>
      <c r="GA131" s="17">
        <f>FZ131*VLOOKUP('Données projet'!$B$17,Paramètres!$A$1:$I$89,3,0)*VLOOKUP('Données projet'!$B$17,Paramètres!$A$1:$I$89,5,0)</f>
        <v>-1.4897523215040567E-13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330.12856974146598</v>
      </c>
      <c r="GF131" s="59">
        <f t="shared" si="104"/>
        <v>321.23368446552286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45.272017844536236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45.272017844536236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69.41447822591411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-1.7053025658242404E-13</v>
      </c>
      <c r="GV131" s="17">
        <f>GU131*VLOOKUP('Données projet'!$B$18,Paramètres!$A$1:$I$89,3,0)*VLOOKUP('Données projet'!$B$18,Paramètres!$A$1:$I$89,5,0)</f>
        <v>-1.1439169611549005E-13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296.67751292332753</v>
      </c>
      <c r="HA131" s="59">
        <f t="shared" si="106"/>
        <v>197.99510031603018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108.79191336987954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108.79191336987954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1.1000000000000001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4.0333333333333341</v>
      </c>
      <c r="H132" s="67">
        <f t="shared" ref="H132:H195" si="110">(B132+E132+F132)*44/12+(C132+D132)*0.475*44/12</f>
        <v>240.5333333333333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-1.5429577615577727E-13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461.20962581398715</v>
      </c>
      <c r="T132" s="59">
        <f t="shared" si="88"/>
        <v>348.44322874953923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152.7088218029397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152.7088218029397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-1.72917680174578E-13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510.86584023875525</v>
      </c>
      <c r="AO132" s="59">
        <f t="shared" si="90"/>
        <v>384.62921487244125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171.13919684812208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171.13919684812208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4.1677594708744434E-14</v>
      </c>
      <c r="BF132" s="13">
        <f t="shared" si="91"/>
        <v>6.9326303456159188E-13</v>
      </c>
      <c r="BG132" s="20">
        <f t="shared" ref="BG132:BG153" si="115">(BE132+BF132)*0.475*44/12</f>
        <v>1.2800215959791691E-12</v>
      </c>
      <c r="BH132" s="59">
        <f t="shared" ref="BH132:BH195" si="116">BG132+(AY132+AZ132)*44/12</f>
        <v>291.2236643054357</v>
      </c>
      <c r="BI132" s="59">
        <f ca="1">AVERAGE(OFFSET($BH$3,0,0,'Données projet'!$E$11+1,1))-AVERAGE(OFFSET($H$3,0,0,'Données projet'!$E$11+1,1))</f>
        <v>201.7253431547006</v>
      </c>
      <c r="BJ132" s="59">
        <f t="shared" si="92"/>
        <v>229.70004720044096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12.305421459837289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12.305421459837289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-1.2710188457276673E-13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462.09240749760784</v>
      </c>
      <c r="CE132" s="59">
        <f t="shared" si="94"/>
        <v>403.52202223463337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130.36067624632059</v>
      </c>
      <c r="CL132" s="21">
        <f>EXP(-LN(2)/25)*CL131+(1-EXP(-LN(2)/25))/(LN(2)/25)*Calculateur!CG132*Calculateur!CI132*VLOOKUP('Données projet'!$B$12,Paramètres!$A$1:$I$89,3,0)*0.475*44/12</f>
        <v>8.8628899999913013</v>
      </c>
      <c r="CM132" s="21">
        <f>EXP(-LN(2)/2)*CM131+(1-EXP(-LN(2)/2))/(LN(2)/2)*CG132*CJ132*VLOOKUP('Données projet'!$B$12,Paramètres!$A$1:$I$89,3,0)*0.475*44/12</f>
        <v>7.3972414912656644E-7</v>
      </c>
      <c r="CN132" s="22">
        <f t="shared" ref="CN132:CN153" si="120">SUM(CK132:CM132)</f>
        <v>139.22356698603605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319.88925869887464</v>
      </c>
      <c r="CZ132" s="59">
        <f t="shared" si="96"/>
        <v>258.2857172412098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62.325793687764019</v>
      </c>
      <c r="DG132" s="21">
        <f>EXP(-LN(2)/25)*DG131+(1-EXP(-LN(2)/25))/(LN(2)/25)*Calculateur!DB132*Calculateur!DD132*VLOOKUP('Données projet'!$B$13,Paramètres!$A$1:$I$89,3,0)*0.475*44/12</f>
        <v>12.282614268559287</v>
      </c>
      <c r="DH132" s="21">
        <f>EXP(-LN(2)/2)*DH131+(1-EXP(-LN(2)/2))/(LN(2)/2)*DB132*DE132*VLOOKUP('Données projet'!$B$13,Paramètres!$A$1:$I$89,3,0)*0.475*44/12</f>
        <v>1.7762306308173713E-6</v>
      </c>
      <c r="DI132" s="22">
        <f t="shared" ref="DI132:DI153" si="123">SUM(DF132:DH132)</f>
        <v>74.608409732553937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-5.6843418860808015E-13</v>
      </c>
      <c r="DP132" s="17">
        <f>DO132*VLOOKUP('Données projet'!$B$14,Paramètres!$A$1:$I$89,3,0)*VLOOKUP('Données projet'!$B$14,Paramètres!$A$1:$I$89,5,0)</f>
        <v>-3.39923644787632E-13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443.64905827069435</v>
      </c>
      <c r="DU132" s="59">
        <f t="shared" si="98"/>
        <v>381.14782516862385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81.259848543388486</v>
      </c>
      <c r="EB132" s="21">
        <f>EXP(-LN(2)/25)*EB131+(1-EXP(-LN(2)/25))/(LN(2)/25)*Calculateur!DW132*Calculateur!DY132*VLOOKUP('Données projet'!$B$14,Paramètres!$A$1:$I$89,3,0)*0.475*44/12</f>
        <v>10.709322693336295</v>
      </c>
      <c r="EC132" s="21">
        <f>EXP(-LN(2)/2)*EC131+(1-EXP(-LN(2)/2))/(LN(2)/2)*DW132*DZ132*VLOOKUP('Données projet'!$B$14,Paramètres!$A$1:$I$89,3,0)*0.475*44/12</f>
        <v>4.3479016034978426E-7</v>
      </c>
      <c r="ED132" s="22">
        <f t="shared" ref="ED132:ED153" si="126">SUM(EA132:EC132)</f>
        <v>91.969171671514943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-3.4106051316484809E-13</v>
      </c>
      <c r="EK132" s="17">
        <f>EJ132*VLOOKUP('Données projet'!$B$15,Paramètres!$A$1:$I$89,3,0)*VLOOKUP('Données projet'!$B$15,Paramètres!$A$1:$I$89,5,0)</f>
        <v>-3.0859155231155454E-13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504.37890861635196</v>
      </c>
      <c r="EP132" s="59">
        <f t="shared" si="100"/>
        <v>611.82129317522913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17.832174726491353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17.832174726491353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-1.1368683772161603E-13</v>
      </c>
      <c r="FF132" s="17">
        <f>FE132*VLOOKUP('Données projet'!$B$16,Paramètres!$A$1:$I$89,3,0)*VLOOKUP('Données projet'!$B$16,Paramètres!$A$1:$I$89,5,0)</f>
        <v>-1.223725121235475E-13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334.01098870576732</v>
      </c>
      <c r="FK132" s="59">
        <f t="shared" si="102"/>
        <v>171.1802153303471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100.84615468904578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100.84615468904578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-1.7053025658242404E-13</v>
      </c>
      <c r="GA132" s="17">
        <f>FZ132*VLOOKUP('Données projet'!$B$17,Paramètres!$A$1:$I$89,3,0)*VLOOKUP('Données projet'!$B$17,Paramètres!$A$1:$I$89,5,0)</f>
        <v>-1.4897523215040567E-13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330.12856974146598</v>
      </c>
      <c r="GF132" s="59">
        <f t="shared" si="104"/>
        <v>321.23368446552286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44.384261187809187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44.384261187809187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69.424635719663925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-1.7053025658242404E-13</v>
      </c>
      <c r="GV132" s="17">
        <f>GU132*VLOOKUP('Données projet'!$B$18,Paramètres!$A$1:$I$89,3,0)*VLOOKUP('Données projet'!$B$18,Paramètres!$A$1:$I$89,5,0)</f>
        <v>-1.1439169611549005E-13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296.67751292332753</v>
      </c>
      <c r="HA132" s="59">
        <f t="shared" si="106"/>
        <v>197.99510031603018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106.6585703052112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106.6585703052112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1.1000000000000001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4.0333333333333341</v>
      </c>
      <c r="H133" s="67">
        <f t="shared" si="110"/>
        <v>240.5333333333333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-1.5429577615577727E-13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461.20962581398715</v>
      </c>
      <c r="T133" s="59">
        <f t="shared" ref="T133:T196" si="142">$T$3</f>
        <v>348.44322874953923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149.71429495056822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149.71429495056822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-1.72917680174578E-13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510.86584023875525</v>
      </c>
      <c r="AO133" s="59">
        <f t="shared" ref="AO133:AO196" si="144">$AO$3</f>
        <v>384.62921487244125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167.78326158253336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167.78326158253336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4.1677594708744434E-14</v>
      </c>
      <c r="BF133" s="13">
        <f t="shared" ref="BF133:BF153" si="145">EXP(-1.0587+0.8836*LN(BE133)+0.284)</f>
        <v>6.9326303456159188E-13</v>
      </c>
      <c r="BG133" s="20">
        <f t="shared" si="115"/>
        <v>1.2800215959791691E-12</v>
      </c>
      <c r="BH133" s="59">
        <f t="shared" si="116"/>
        <v>291.26026234655637</v>
      </c>
      <c r="BI133" s="59">
        <f ca="1">AVERAGE(OFFSET($BH$3,0,0,'Données projet'!$E$11+1,1))-AVERAGE(OFFSET($H$3,0,0,'Données projet'!$E$11+1,1))</f>
        <v>201.7253431547006</v>
      </c>
      <c r="BJ133" s="59">
        <f t="shared" ref="BJ133:BJ196" si="146">$BJ$3</f>
        <v>229.70004720044096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12.064119650575858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12.064119650575858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-1.2710188457276673E-13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462.09240749760784</v>
      </c>
      <c r="CE133" s="59">
        <f t="shared" ref="CE133:CE196" si="148">$CE$3</f>
        <v>403.52202223463337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127.80438289729159</v>
      </c>
      <c r="CL133" s="21">
        <f>EXP(-LN(2)/25)*CL132+(1-EXP(-LN(2)/25))/(LN(2)/25)*Calculateur!CG133*Calculateur!CI133*VLOOKUP('Données projet'!$B$12,Paramètres!$A$1:$I$89,3,0)*0.475*44/12</f>
        <v>8.6205338068624098</v>
      </c>
      <c r="CM133" s="21">
        <f>EXP(-LN(2)/2)*CM132+(1-EXP(-LN(2)/2))/(LN(2)/2)*CG133*CJ133*VLOOKUP('Données projet'!$B$12,Paramètres!$A$1:$I$89,3,0)*0.475*44/12</f>
        <v>5.2306396205484406E-7</v>
      </c>
      <c r="CN133" s="22">
        <f t="shared" si="120"/>
        <v>136.42491722721795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319.88925869887464</v>
      </c>
      <c r="CZ133" s="59">
        <f t="shared" ref="CZ133:CZ196" si="150">$CZ$3</f>
        <v>258.2857172412098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61.103622888527447</v>
      </c>
      <c r="DG133" s="21">
        <f>EXP(-LN(2)/25)*DG132+(1-EXP(-LN(2)/25))/(LN(2)/25)*Calculateur!DB133*Calculateur!DD133*VLOOKUP('Données projet'!$B$13,Paramètres!$A$1:$I$89,3,0)*0.475*44/12</f>
        <v>11.946745535470921</v>
      </c>
      <c r="DH133" s="21">
        <f>EXP(-LN(2)/2)*DH132+(1-EXP(-LN(2)/2))/(LN(2)/2)*DB133*DE133*VLOOKUP('Données projet'!$B$13,Paramètres!$A$1:$I$89,3,0)*0.475*44/12</f>
        <v>1.2559847240022224E-6</v>
      </c>
      <c r="DI133" s="22">
        <f t="shared" si="123"/>
        <v>73.050369679983092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-5.6843418860808015E-13</v>
      </c>
      <c r="DP133" s="17">
        <f>DO133*VLOOKUP('Données projet'!$B$14,Paramètres!$A$1:$I$89,3,0)*VLOOKUP('Données projet'!$B$14,Paramètres!$A$1:$I$89,5,0)</f>
        <v>-3.39923644787632E-13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443.64905827069435</v>
      </c>
      <c r="DU133" s="59">
        <f t="shared" ref="DU133:DU196" si="152">$DU$3</f>
        <v>381.14782516862385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79.666392477066253</v>
      </c>
      <c r="EB133" s="21">
        <f>EXP(-LN(2)/25)*EB132+(1-EXP(-LN(2)/25))/(LN(2)/25)*Calculateur!DW133*Calculateur!DY133*VLOOKUP('Données projet'!$B$14,Paramètres!$A$1:$I$89,3,0)*0.475*44/12</f>
        <v>10.41647570110821</v>
      </c>
      <c r="EC133" s="21">
        <f>EXP(-LN(2)/2)*EC132+(1-EXP(-LN(2)/2))/(LN(2)/2)*DW133*DZ133*VLOOKUP('Données projet'!$B$14,Paramètres!$A$1:$I$89,3,0)*0.475*44/12</f>
        <v>3.074430707765188E-7</v>
      </c>
      <c r="ED133" s="22">
        <f t="shared" si="126"/>
        <v>90.082868485617539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-3.4106051316484809E-13</v>
      </c>
      <c r="EK133" s="17">
        <f>EJ133*VLOOKUP('Données projet'!$B$15,Paramètres!$A$1:$I$89,3,0)*VLOOKUP('Données projet'!$B$15,Paramètres!$A$1:$I$89,5,0)</f>
        <v>-3.0859155231155454E-13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504.37890861635196</v>
      </c>
      <c r="EP133" s="59">
        <f t="shared" ref="EP133:EP196" si="154">$EP$3</f>
        <v>611.82129317522913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17.482496656657471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17.482496656657471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-1.1368683772161603E-13</v>
      </c>
      <c r="FF133" s="17">
        <f>FE133*VLOOKUP('Données projet'!$B$16,Paramètres!$A$1:$I$89,3,0)*VLOOKUP('Données projet'!$B$16,Paramètres!$A$1:$I$89,5,0)</f>
        <v>-1.223725121235475E-13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334.01098870576732</v>
      </c>
      <c r="FK133" s="59">
        <f t="shared" ref="FK133:FK196" si="156">$FK$3</f>
        <v>171.1802153303471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98.868623105674331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98.868623105674331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-1.7053025658242404E-13</v>
      </c>
      <c r="GA133" s="17">
        <f>FZ133*VLOOKUP('Données projet'!$B$17,Paramètres!$A$1:$I$89,3,0)*VLOOKUP('Données projet'!$B$17,Paramètres!$A$1:$I$89,5,0)</f>
        <v>-1.4897523215040567E-13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330.12856974146598</v>
      </c>
      <c r="GF133" s="59">
        <f t="shared" ref="GF133:GF196" si="158">$GF$3</f>
        <v>321.23368446552286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43.513912897642463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43.513912897642463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69.434617003605922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-1.7053025658242404E-13</v>
      </c>
      <c r="GV133" s="17">
        <f>GU133*VLOOKUP('Données projet'!$B$18,Paramètres!$A$1:$I$89,3,0)*VLOOKUP('Données projet'!$B$18,Paramètres!$A$1:$I$89,5,0)</f>
        <v>-1.1439169611549005E-13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296.67751292332753</v>
      </c>
      <c r="HA133" s="59">
        <f t="shared" ref="HA133:HA196" si="160">$HA$3</f>
        <v>197.99510031603018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104.56706079683022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104.56706079683022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1.1000000000000001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4.0333333333333341</v>
      </c>
      <c r="H134" s="67">
        <f t="shared" si="110"/>
        <v>240.5333333333333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-1.5429577615577727E-13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461.20962581398715</v>
      </c>
      <c r="T134" s="59">
        <f t="shared" si="142"/>
        <v>348.44322874953923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146.77848894329071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146.77848894329071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-1.72917680174578E-13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510.86584023875525</v>
      </c>
      <c r="AO134" s="59">
        <f t="shared" si="144"/>
        <v>384.62921487244125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164.49313416058445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164.49313416058445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4.1677594708744434E-14</v>
      </c>
      <c r="BF134" s="13">
        <f t="shared" si="145"/>
        <v>6.9326303456159188E-13</v>
      </c>
      <c r="BG134" s="20">
        <f t="shared" si="115"/>
        <v>1.2800215959791691E-12</v>
      </c>
      <c r="BH134" s="59">
        <f t="shared" si="116"/>
        <v>291.29622549348454</v>
      </c>
      <c r="BI134" s="59">
        <f ca="1">AVERAGE(OFFSET($BH$3,0,0,'Données projet'!$E$11+1,1))-AVERAGE(OFFSET($H$3,0,0,'Données projet'!$E$11+1,1))</f>
        <v>201.7253431547006</v>
      </c>
      <c r="BJ134" s="59">
        <f t="shared" si="146"/>
        <v>229.70004720044096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11.827549622614471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11.827549622614471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-1.2710188457276673E-13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462.09240749760784</v>
      </c>
      <c r="CE134" s="59">
        <f t="shared" si="148"/>
        <v>403.52202223463337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125.29821690165205</v>
      </c>
      <c r="CL134" s="21">
        <f>EXP(-LN(2)/25)*CL133+(1-EXP(-LN(2)/25))/(LN(2)/25)*Calculateur!CG134*Calculateur!CI134*VLOOKUP('Données projet'!$B$12,Paramètres!$A$1:$I$89,3,0)*0.475*44/12</f>
        <v>8.3848048565795867</v>
      </c>
      <c r="CM134" s="21">
        <f>EXP(-LN(2)/2)*CM133+(1-EXP(-LN(2)/2))/(LN(2)/2)*CG134*CJ134*VLOOKUP('Données projet'!$B$12,Paramètres!$A$1:$I$89,3,0)*0.475*44/12</f>
        <v>3.6986207456328322E-7</v>
      </c>
      <c r="CN134" s="22">
        <f t="shared" si="120"/>
        <v>133.68302212809371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319.88925869887464</v>
      </c>
      <c r="CZ134" s="59">
        <f t="shared" si="150"/>
        <v>258.2857172412098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59.905418113213322</v>
      </c>
      <c r="DG134" s="21">
        <f>EXP(-LN(2)/25)*DG133+(1-EXP(-LN(2)/25))/(LN(2)/25)*Calculateur!DB134*Calculateur!DD134*VLOOKUP('Données projet'!$B$13,Paramètres!$A$1:$I$89,3,0)*0.475*44/12</f>
        <v>11.620061150551425</v>
      </c>
      <c r="DH134" s="21">
        <f>EXP(-LN(2)/2)*DH133+(1-EXP(-LN(2)/2))/(LN(2)/2)*DB134*DE134*VLOOKUP('Données projet'!$B$13,Paramètres!$A$1:$I$89,3,0)*0.475*44/12</f>
        <v>8.8811531540868576E-7</v>
      </c>
      <c r="DI134" s="22">
        <f t="shared" si="123"/>
        <v>71.52548015188006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-5.6843418860808015E-13</v>
      </c>
      <c r="DP134" s="17">
        <f>DO134*VLOOKUP('Données projet'!$B$14,Paramètres!$A$1:$I$89,3,0)*VLOOKUP('Données projet'!$B$14,Paramètres!$A$1:$I$89,5,0)</f>
        <v>-3.39923644787632E-13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443.64905827069435</v>
      </c>
      <c r="DU134" s="59">
        <f t="shared" si="152"/>
        <v>381.14782516862385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78.104183112292361</v>
      </c>
      <c r="EB134" s="21">
        <f>EXP(-LN(2)/25)*EB133+(1-EXP(-LN(2)/25))/(LN(2)/25)*Calculateur!DW134*Calculateur!DY134*VLOOKUP('Données projet'!$B$14,Paramètres!$A$1:$I$89,3,0)*0.475*44/12</f>
        <v>10.131636625282756</v>
      </c>
      <c r="EC134" s="21">
        <f>EXP(-LN(2)/2)*EC133+(1-EXP(-LN(2)/2))/(LN(2)/2)*DW134*DZ134*VLOOKUP('Données projet'!$B$14,Paramètres!$A$1:$I$89,3,0)*0.475*44/12</f>
        <v>2.1739508017489213E-7</v>
      </c>
      <c r="ED134" s="22">
        <f t="shared" si="126"/>
        <v>88.235819954970196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-3.4106051316484809E-13</v>
      </c>
      <c r="EK134" s="17">
        <f>EJ134*VLOOKUP('Données projet'!$B$15,Paramètres!$A$1:$I$89,3,0)*VLOOKUP('Données projet'!$B$15,Paramètres!$A$1:$I$89,5,0)</f>
        <v>-3.0859155231155454E-13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504.37890861635196</v>
      </c>
      <c r="EP134" s="59">
        <f t="shared" si="154"/>
        <v>611.82129317522913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17.139675560490467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17.139675560490467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-1.1368683772161603E-13</v>
      </c>
      <c r="FF134" s="17">
        <f>FE134*VLOOKUP('Données projet'!$B$16,Paramètres!$A$1:$I$89,3,0)*VLOOKUP('Données projet'!$B$16,Paramètres!$A$1:$I$89,5,0)</f>
        <v>-1.223725121235475E-13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334.01098870576732</v>
      </c>
      <c r="FK134" s="59">
        <f t="shared" si="156"/>
        <v>171.1802153303471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96.929869710477632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96.929869710477632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-1.7053025658242404E-13</v>
      </c>
      <c r="GA134" s="17">
        <f>FZ134*VLOOKUP('Données projet'!$B$17,Paramètres!$A$1:$I$89,3,0)*VLOOKUP('Données projet'!$B$17,Paramètres!$A$1:$I$89,5,0)</f>
        <v>-1.4897523215040567E-13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330.12856974146598</v>
      </c>
      <c r="GF134" s="59">
        <f t="shared" si="158"/>
        <v>321.23368446552286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42.660631606585866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42.660631606585866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69.444425134586339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-1.7053025658242404E-13</v>
      </c>
      <c r="GV134" s="17">
        <f>GU134*VLOOKUP('Données projet'!$B$18,Paramètres!$A$1:$I$89,3,0)*VLOOKUP('Données projet'!$B$18,Paramètres!$A$1:$I$89,5,0)</f>
        <v>-1.1439169611549005E-13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296.67751292332753</v>
      </c>
      <c r="HA134" s="59">
        <f t="shared" si="160"/>
        <v>197.99510031603018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102.51656451421375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102.51656451421375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1.1000000000000001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4.0333333333333341</v>
      </c>
      <c r="H135" s="67">
        <f t="shared" si="110"/>
        <v>240.5333333333333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-1.5429577615577727E-13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461.20962581398715</v>
      </c>
      <c r="T135" s="59">
        <f t="shared" si="142"/>
        <v>348.44322874953923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143.90025230115108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143.90025230115108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-1.72917680174578E-13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510.86584023875525</v>
      </c>
      <c r="AO135" s="59">
        <f t="shared" si="144"/>
        <v>384.62921487244125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161.26752413060038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161.26752413060038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4.1677594708744434E-14</v>
      </c>
      <c r="BF135" s="13">
        <f t="shared" si="145"/>
        <v>6.9326303456159188E-13</v>
      </c>
      <c r="BG135" s="20">
        <f t="shared" si="115"/>
        <v>1.2800215959791691E-12</v>
      </c>
      <c r="BH135" s="59">
        <f t="shared" si="116"/>
        <v>291.33156476021509</v>
      </c>
      <c r="BI135" s="59">
        <f ca="1">AVERAGE(OFFSET($BH$3,0,0,'Données projet'!$E$11+1,1))-AVERAGE(OFFSET($H$3,0,0,'Données projet'!$E$11+1,1))</f>
        <v>201.7253431547006</v>
      </c>
      <c r="BJ135" s="59">
        <f t="shared" si="146"/>
        <v>229.70004720044096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11.595618588607939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11.595618588607939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-1.2710188457276673E-13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462.09240749760784</v>
      </c>
      <c r="CE135" s="59">
        <f t="shared" si="148"/>
        <v>403.52202223463337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122.84119529257669</v>
      </c>
      <c r="CL135" s="21">
        <f>EXP(-LN(2)/25)*CL134+(1-EXP(-LN(2)/25))/(LN(2)/25)*Calculateur!CG135*Calculateur!CI135*VLOOKUP('Données projet'!$B$12,Paramètres!$A$1:$I$89,3,0)*0.475*44/12</f>
        <v>8.1555219268386949</v>
      </c>
      <c r="CM135" s="21">
        <f>EXP(-LN(2)/2)*CM134+(1-EXP(-LN(2)/2))/(LN(2)/2)*CG135*CJ135*VLOOKUP('Données projet'!$B$12,Paramètres!$A$1:$I$89,3,0)*0.475*44/12</f>
        <v>2.6153198102742203E-7</v>
      </c>
      <c r="CN135" s="22">
        <f t="shared" si="120"/>
        <v>130.99671748094738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319.88925869887464</v>
      </c>
      <c r="CZ135" s="59">
        <f t="shared" si="150"/>
        <v>258.2857172412098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58.73070940271036</v>
      </c>
      <c r="DG135" s="21">
        <f>EXP(-LN(2)/25)*DG134+(1-EXP(-LN(2)/25))/(LN(2)/25)*Calculateur!DB135*Calculateur!DD135*VLOOKUP('Données projet'!$B$13,Paramètres!$A$1:$I$89,3,0)*0.475*44/12</f>
        <v>11.302309967317139</v>
      </c>
      <c r="DH135" s="21">
        <f>EXP(-LN(2)/2)*DH134+(1-EXP(-LN(2)/2))/(LN(2)/2)*DB135*DE135*VLOOKUP('Données projet'!$B$13,Paramètres!$A$1:$I$89,3,0)*0.475*44/12</f>
        <v>6.2799236200111119E-7</v>
      </c>
      <c r="DI135" s="22">
        <f t="shared" si="123"/>
        <v>70.033019998019867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-5.6843418860808015E-13</v>
      </c>
      <c r="DP135" s="17">
        <f>DO135*VLOOKUP('Données projet'!$B$14,Paramètres!$A$1:$I$89,3,0)*VLOOKUP('Données projet'!$B$14,Paramètres!$A$1:$I$89,5,0)</f>
        <v>-3.39923644787632E-13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443.64905827069435</v>
      </c>
      <c r="DU135" s="59">
        <f t="shared" si="152"/>
        <v>381.14782516862385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76.572607720308056</v>
      </c>
      <c r="EB135" s="21">
        <f>EXP(-LN(2)/25)*EB134+(1-EXP(-LN(2)/25))/(LN(2)/25)*Calculateur!DW135*Calculateur!DY135*VLOOKUP('Données projet'!$B$14,Paramètres!$A$1:$I$89,3,0)*0.475*44/12</f>
        <v>9.8545864889647845</v>
      </c>
      <c r="EC135" s="21">
        <f>EXP(-LN(2)/2)*EC134+(1-EXP(-LN(2)/2))/(LN(2)/2)*DW135*DZ135*VLOOKUP('Données projet'!$B$14,Paramètres!$A$1:$I$89,3,0)*0.475*44/12</f>
        <v>1.537215353882594E-7</v>
      </c>
      <c r="ED135" s="22">
        <f t="shared" si="126"/>
        <v>86.427194362994371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-3.4106051316484809E-13</v>
      </c>
      <c r="EK135" s="17">
        <f>EJ135*VLOOKUP('Données projet'!$B$15,Paramètres!$A$1:$I$89,3,0)*VLOOKUP('Données projet'!$B$15,Paramètres!$A$1:$I$89,5,0)</f>
        <v>-3.0859155231155454E-13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504.37890861635196</v>
      </c>
      <c r="EP135" s="59">
        <f t="shared" si="154"/>
        <v>611.82129317522913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16.803576976919079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16.803576976919079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-1.1368683772161603E-13</v>
      </c>
      <c r="FF135" s="17">
        <f>FE135*VLOOKUP('Données projet'!$B$16,Paramètres!$A$1:$I$89,3,0)*VLOOKUP('Données projet'!$B$16,Paramètres!$A$1:$I$89,5,0)</f>
        <v>-1.223725121235475E-13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334.01098870576732</v>
      </c>
      <c r="FK135" s="59">
        <f t="shared" si="156"/>
        <v>171.1802153303471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95.029134086837942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95.029134086837942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-1.7053025658242404E-13</v>
      </c>
      <c r="GA135" s="17">
        <f>FZ135*VLOOKUP('Données projet'!$B$17,Paramètres!$A$1:$I$89,3,0)*VLOOKUP('Données projet'!$B$17,Paramètres!$A$1:$I$89,5,0)</f>
        <v>-1.4897523215040567E-13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330.12856974146598</v>
      </c>
      <c r="GF135" s="59">
        <f t="shared" si="158"/>
        <v>321.23368446552286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41.824082641196696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41.824082641196696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69.454063116421949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-1.7053025658242404E-13</v>
      </c>
      <c r="GV135" s="17">
        <f>GU135*VLOOKUP('Données projet'!$B$18,Paramètres!$A$1:$I$89,3,0)*VLOOKUP('Données projet'!$B$18,Paramètres!$A$1:$I$89,5,0)</f>
        <v>-1.1439169611549005E-13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296.67751292332753</v>
      </c>
      <c r="HA135" s="59">
        <f t="shared" si="160"/>
        <v>197.99510031603018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100.50627721302016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100.50627721302016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1.1000000000000001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4.0333333333333341</v>
      </c>
      <c r="H136" s="67">
        <f t="shared" si="110"/>
        <v>240.5333333333333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-1.5429577615577727E-13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461.20962581398715</v>
      </c>
      <c r="T136" s="59">
        <f t="shared" si="142"/>
        <v>348.44322874953923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141.0784561240128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141.0784561240128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-1.72917680174578E-13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510.86584023875525</v>
      </c>
      <c r="AO136" s="59">
        <f t="shared" si="144"/>
        <v>384.62921487244125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158.10516634587643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158.10516634587643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4.1677594708744434E-14</v>
      </c>
      <c r="BF136" s="13">
        <f t="shared" si="145"/>
        <v>6.9326303456159188E-13</v>
      </c>
      <c r="BG136" s="20">
        <f t="shared" si="115"/>
        <v>1.2800215959791691E-12</v>
      </c>
      <c r="BH136" s="59">
        <f t="shared" si="116"/>
        <v>291.36629096967465</v>
      </c>
      <c r="BI136" s="59">
        <f ca="1">AVERAGE(OFFSET($BH$3,0,0,'Données projet'!$E$11+1,1))-AVERAGE(OFFSET($H$3,0,0,'Données projet'!$E$11+1,1))</f>
        <v>201.7253431547006</v>
      </c>
      <c r="BJ136" s="59">
        <f t="shared" si="146"/>
        <v>229.70004720044096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11.368235580714313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11.368235580714313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-1.2710188457276673E-13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462.09240749760784</v>
      </c>
      <c r="CE136" s="59">
        <f t="shared" si="148"/>
        <v>403.52202223463337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120.43235437862009</v>
      </c>
      <c r="CL136" s="21">
        <f>EXP(-LN(2)/25)*CL135+(1-EXP(-LN(2)/25))/(LN(2)/25)*Calculateur!CG136*Calculateur!CI136*VLOOKUP('Données projet'!$B$12,Paramètres!$A$1:$I$89,3,0)*0.475*44/12</f>
        <v>7.9325087508690322</v>
      </c>
      <c r="CM136" s="21">
        <f>EXP(-LN(2)/2)*CM135+(1-EXP(-LN(2)/2))/(LN(2)/2)*CG136*CJ136*VLOOKUP('Données projet'!$B$12,Paramètres!$A$1:$I$89,3,0)*0.475*44/12</f>
        <v>1.8493103728164161E-7</v>
      </c>
      <c r="CN136" s="22">
        <f t="shared" si="120"/>
        <v>128.36486331442015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319.88925869887464</v>
      </c>
      <c r="CZ136" s="59">
        <f t="shared" si="150"/>
        <v>258.2857172412098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57.579036013518795</v>
      </c>
      <c r="DG136" s="21">
        <f>EXP(-LN(2)/25)*DG135+(1-EXP(-LN(2)/25))/(LN(2)/25)*Calculateur!DB136*Calculateur!DD136*VLOOKUP('Données projet'!$B$13,Paramètres!$A$1:$I$89,3,0)*0.475*44/12</f>
        <v>10.993247706898202</v>
      </c>
      <c r="DH136" s="21">
        <f>EXP(-LN(2)/2)*DH135+(1-EXP(-LN(2)/2))/(LN(2)/2)*DB136*DE136*VLOOKUP('Données projet'!$B$13,Paramètres!$A$1:$I$89,3,0)*0.475*44/12</f>
        <v>4.4405765770434288E-7</v>
      </c>
      <c r="DI136" s="22">
        <f t="shared" si="123"/>
        <v>68.572284164474667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-5.6843418860808015E-13</v>
      </c>
      <c r="DP136" s="17">
        <f>DO136*VLOOKUP('Données projet'!$B$14,Paramètres!$A$1:$I$89,3,0)*VLOOKUP('Données projet'!$B$14,Paramètres!$A$1:$I$89,5,0)</f>
        <v>-3.39923644787632E-13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443.64905827069435</v>
      </c>
      <c r="DU136" s="59">
        <f t="shared" si="152"/>
        <v>381.14782516862385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75.071065587591818</v>
      </c>
      <c r="EB136" s="21">
        <f>EXP(-LN(2)/25)*EB135+(1-EXP(-LN(2)/25))/(LN(2)/25)*Calculateur!DW136*Calculateur!DY136*VLOOKUP('Données projet'!$B$14,Paramètres!$A$1:$I$89,3,0)*0.475*44/12</f>
        <v>9.5851123031938616</v>
      </c>
      <c r="EC136" s="21">
        <f>EXP(-LN(2)/2)*EC135+(1-EXP(-LN(2)/2))/(LN(2)/2)*DW136*DZ136*VLOOKUP('Données projet'!$B$14,Paramètres!$A$1:$I$89,3,0)*0.475*44/12</f>
        <v>1.0869754008744606E-7</v>
      </c>
      <c r="ED136" s="22">
        <f t="shared" si="126"/>
        <v>84.656177999483219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-3.4106051316484809E-13</v>
      </c>
      <c r="EK136" s="17">
        <f>EJ136*VLOOKUP('Données projet'!$B$15,Paramètres!$A$1:$I$89,3,0)*VLOOKUP('Données projet'!$B$15,Paramètres!$A$1:$I$89,5,0)</f>
        <v>-3.0859155231155454E-13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504.37890861635196</v>
      </c>
      <c r="EP136" s="59">
        <f t="shared" si="154"/>
        <v>611.82129317522913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16.474069081571631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16.474069081571631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-1.1368683772161603E-13</v>
      </c>
      <c r="FF136" s="17">
        <f>FE136*VLOOKUP('Données projet'!$B$16,Paramètres!$A$1:$I$89,3,0)*VLOOKUP('Données projet'!$B$16,Paramètres!$A$1:$I$89,5,0)</f>
        <v>-1.223725121235475E-13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334.01098870576732</v>
      </c>
      <c r="FK136" s="59">
        <f t="shared" si="156"/>
        <v>171.1802153303471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93.165670729443562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93.165670729443562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-1.7053025658242404E-13</v>
      </c>
      <c r="GA136" s="17">
        <f>FZ136*VLOOKUP('Données projet'!$B$17,Paramètres!$A$1:$I$89,3,0)*VLOOKUP('Données projet'!$B$17,Paramètres!$A$1:$I$89,5,0)</f>
        <v>-1.4897523215040567E-13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330.12856974146598</v>
      </c>
      <c r="GF136" s="59">
        <f t="shared" si="158"/>
        <v>321.23368446552286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41.003937890774317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41.003937890774317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69.463533900820011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-1.7053025658242404E-13</v>
      </c>
      <c r="GV136" s="17">
        <f>GU136*VLOOKUP('Données projet'!$B$18,Paramètres!$A$1:$I$89,3,0)*VLOOKUP('Données projet'!$B$18,Paramètres!$A$1:$I$89,5,0)</f>
        <v>-1.1439169611549005E-13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296.67751292332753</v>
      </c>
      <c r="HA136" s="59">
        <f t="shared" si="160"/>
        <v>197.99510031603018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98.535410419648784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98.535410419648784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1.1000000000000001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4.0333333333333341</v>
      </c>
      <c r="H137" s="67">
        <f t="shared" si="110"/>
        <v>240.5333333333333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-1.5429577615577727E-13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461.20962581398715</v>
      </c>
      <c r="T137" s="59">
        <f t="shared" si="142"/>
        <v>348.44322874953923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138.31199364878248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138.31199364878248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-1.72917680174578E-13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510.86584023875525</v>
      </c>
      <c r="AO137" s="59">
        <f t="shared" si="144"/>
        <v>384.62921487244125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155.00482046846312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155.00482046846312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4.1677594708744434E-14</v>
      </c>
      <c r="BF137" s="13">
        <f t="shared" si="145"/>
        <v>6.9326303456159188E-13</v>
      </c>
      <c r="BG137" s="20">
        <f t="shared" si="115"/>
        <v>1.2800215959791691E-12</v>
      </c>
      <c r="BH137" s="59">
        <f t="shared" si="116"/>
        <v>291.40041475703629</v>
      </c>
      <c r="BI137" s="59">
        <f ca="1">AVERAGE(OFFSET($BH$3,0,0,'Données projet'!$E$11+1,1))-AVERAGE(OFFSET($H$3,0,0,'Données projet'!$E$11+1,1))</f>
        <v>201.7253431547006</v>
      </c>
      <c r="BJ137" s="59">
        <f t="shared" si="146"/>
        <v>229.70004720044096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11.14531141491554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11.14531141491554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-1.2710188457276673E-13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462.09240749760784</v>
      </c>
      <c r="CE137" s="59">
        <f t="shared" si="148"/>
        <v>403.52202223463337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118.07074936573829</v>
      </c>
      <c r="CL137" s="21">
        <f>EXP(-LN(2)/25)*CL136+(1-EXP(-LN(2)/25))/(LN(2)/25)*Calculateur!CG137*Calculateur!CI137*VLOOKUP('Données projet'!$B$12,Paramètres!$A$1:$I$89,3,0)*0.475*44/12</f>
        <v>7.7155938819240131</v>
      </c>
      <c r="CM137" s="21">
        <f>EXP(-LN(2)/2)*CM136+(1-EXP(-LN(2)/2))/(LN(2)/2)*CG137*CJ137*VLOOKUP('Données projet'!$B$12,Paramètres!$A$1:$I$89,3,0)*0.475*44/12</f>
        <v>1.3076599051371101E-7</v>
      </c>
      <c r="CN137" s="22">
        <f t="shared" si="120"/>
        <v>125.7863433784283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319.88925869887464</v>
      </c>
      <c r="CZ137" s="59">
        <f t="shared" si="150"/>
        <v>258.2857172412098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56.449946237037871</v>
      </c>
      <c r="DG137" s="21">
        <f>EXP(-LN(2)/25)*DG136+(1-EXP(-LN(2)/25))/(LN(2)/25)*Calculateur!DB137*Calculateur!DD137*VLOOKUP('Données projet'!$B$13,Paramètres!$A$1:$I$89,3,0)*0.475*44/12</f>
        <v>10.692636770243299</v>
      </c>
      <c r="DH137" s="21">
        <f>EXP(-LN(2)/2)*DH136+(1-EXP(-LN(2)/2))/(LN(2)/2)*DB137*DE137*VLOOKUP('Données projet'!$B$13,Paramètres!$A$1:$I$89,3,0)*0.475*44/12</f>
        <v>3.139961810005556E-7</v>
      </c>
      <c r="DI137" s="22">
        <f t="shared" si="123"/>
        <v>67.142583321277357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-5.6843418860808015E-13</v>
      </c>
      <c r="DP137" s="17">
        <f>DO137*VLOOKUP('Données projet'!$B$14,Paramètres!$A$1:$I$89,3,0)*VLOOKUP('Données projet'!$B$14,Paramètres!$A$1:$I$89,5,0)</f>
        <v>-3.39923644787632E-13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443.64905827069435</v>
      </c>
      <c r="DU137" s="59">
        <f t="shared" si="152"/>
        <v>381.14782516862385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73.598967780247875</v>
      </c>
      <c r="EB137" s="21">
        <f>EXP(-LN(2)/25)*EB136+(1-EXP(-LN(2)/25))/(LN(2)/25)*Calculateur!DW137*Calculateur!DY137*VLOOKUP('Données projet'!$B$14,Paramètres!$A$1:$I$89,3,0)*0.475*44/12</f>
        <v>9.3230069032038774</v>
      </c>
      <c r="EC137" s="21">
        <f>EXP(-LN(2)/2)*EC136+(1-EXP(-LN(2)/2))/(LN(2)/2)*DW137*DZ137*VLOOKUP('Données projet'!$B$14,Paramètres!$A$1:$I$89,3,0)*0.475*44/12</f>
        <v>7.6860767694129701E-8</v>
      </c>
      <c r="ED137" s="22">
        <f t="shared" si="126"/>
        <v>82.921974760312523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-3.4106051316484809E-13</v>
      </c>
      <c r="EK137" s="17">
        <f>EJ137*VLOOKUP('Données projet'!$B$15,Paramètres!$A$1:$I$89,3,0)*VLOOKUP('Données projet'!$B$15,Paramètres!$A$1:$I$89,5,0)</f>
        <v>-3.0859155231155454E-13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504.37890861635196</v>
      </c>
      <c r="EP137" s="59">
        <f t="shared" si="154"/>
        <v>611.82129317522913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16.151022635071975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16.151022635071975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-1.1368683772161603E-13</v>
      </c>
      <c r="FF137" s="17">
        <f>FE137*VLOOKUP('Données projet'!$B$16,Paramètres!$A$1:$I$89,3,0)*VLOOKUP('Données projet'!$B$16,Paramètres!$A$1:$I$89,5,0)</f>
        <v>-1.223725121235475E-13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334.01098870576732</v>
      </c>
      <c r="FK137" s="59">
        <f t="shared" si="156"/>
        <v>171.1802153303471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91.338748751887266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91.338748751887266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-1.7053025658242404E-13</v>
      </c>
      <c r="GA137" s="17">
        <f>FZ137*VLOOKUP('Données projet'!$B$17,Paramètres!$A$1:$I$89,3,0)*VLOOKUP('Données projet'!$B$17,Paramètres!$A$1:$I$89,5,0)</f>
        <v>-1.4897523215040567E-13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330.12856974146598</v>
      </c>
      <c r="GF137" s="59">
        <f t="shared" si="158"/>
        <v>321.23368446552286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40.199875678668818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40.199875678668818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69.472840388282265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-1.7053025658242404E-13</v>
      </c>
      <c r="GV137" s="17">
        <f>GU137*VLOOKUP('Données projet'!$B$18,Paramètres!$A$1:$I$89,3,0)*VLOOKUP('Données projet'!$B$18,Paramètres!$A$1:$I$89,5,0)</f>
        <v>-1.1439169611549005E-13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296.67751292332753</v>
      </c>
      <c r="HA137" s="59">
        <f t="shared" si="160"/>
        <v>197.99510031603018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96.603191121985375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96.603191121985375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1.1000000000000001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4.0333333333333341</v>
      </c>
      <c r="H138" s="67">
        <f t="shared" si="110"/>
        <v>240.5333333333333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-1.5429577615577727E-13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461.20962581398715</v>
      </c>
      <c r="T138" s="59">
        <f t="shared" si="142"/>
        <v>348.44322874953923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135.59977981531591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135.59977981531591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-1.72917680174578E-13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510.86584023875525</v>
      </c>
      <c r="AO138" s="59">
        <f t="shared" si="144"/>
        <v>384.62921487244125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151.96527048268163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151.96527048268163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4.1677594708744434E-14</v>
      </c>
      <c r="BF138" s="13">
        <f t="shared" si="145"/>
        <v>6.9326303456159188E-13</v>
      </c>
      <c r="BG138" s="20">
        <f t="shared" si="115"/>
        <v>1.2800215959791691E-12</v>
      </c>
      <c r="BH138" s="59">
        <f t="shared" si="116"/>
        <v>291.43394657297648</v>
      </c>
      <c r="BI138" s="59">
        <f ca="1">AVERAGE(OFFSET($BH$3,0,0,'Données projet'!$E$11+1,1))-AVERAGE(OFFSET($H$3,0,0,'Données projet'!$E$11+1,1))</f>
        <v>201.7253431547006</v>
      </c>
      <c r="BJ138" s="59">
        <f t="shared" si="146"/>
        <v>229.70004720044096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10.926758656037766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10.926758656037766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-1.2710188457276673E-13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462.09240749760784</v>
      </c>
      <c r="CE138" s="59">
        <f t="shared" si="148"/>
        <v>403.52202223463337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115.75545398672229</v>
      </c>
      <c r="CL138" s="21">
        <f>EXP(-LN(2)/25)*CL137+(1-EXP(-LN(2)/25))/(LN(2)/25)*Calculateur!CG138*Calculateur!CI138*VLOOKUP('Données projet'!$B$12,Paramètres!$A$1:$I$89,3,0)*0.475*44/12</f>
        <v>7.5046105614773531</v>
      </c>
      <c r="CM138" s="21">
        <f>EXP(-LN(2)/2)*CM137+(1-EXP(-LN(2)/2))/(LN(2)/2)*CG138*CJ138*VLOOKUP('Données projet'!$B$12,Paramètres!$A$1:$I$89,3,0)*0.475*44/12</f>
        <v>9.2465518640820805E-8</v>
      </c>
      <c r="CN138" s="22">
        <f t="shared" si="120"/>
        <v>123.26006464066515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319.88925869887464</v>
      </c>
      <c r="CZ138" s="59">
        <f t="shared" si="150"/>
        <v>258.2857172412098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55.342997222396974</v>
      </c>
      <c r="DG138" s="21">
        <f>EXP(-LN(2)/25)*DG137+(1-EXP(-LN(2)/25))/(LN(2)/25)*Calculateur!DB138*Calculateur!DD138*VLOOKUP('Données projet'!$B$13,Paramètres!$A$1:$I$89,3,0)*0.475*44/12</f>
        <v>10.400246055459666</v>
      </c>
      <c r="DH138" s="21">
        <f>EXP(-LN(2)/2)*DH137+(1-EXP(-LN(2)/2))/(LN(2)/2)*DB138*DE138*VLOOKUP('Données projet'!$B$13,Paramètres!$A$1:$I$89,3,0)*0.475*44/12</f>
        <v>2.2202882885217144E-7</v>
      </c>
      <c r="DI138" s="22">
        <f t="shared" si="123"/>
        <v>65.743243499885466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-5.6843418860808015E-13</v>
      </c>
      <c r="DP138" s="17">
        <f>DO138*VLOOKUP('Données projet'!$B$14,Paramètres!$A$1:$I$89,3,0)*VLOOKUP('Données projet'!$B$14,Paramètres!$A$1:$I$89,5,0)</f>
        <v>-3.39923644787632E-13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443.64905827069435</v>
      </c>
      <c r="DU138" s="59">
        <f t="shared" si="152"/>
        <v>381.14782516862385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72.155736913014948</v>
      </c>
      <c r="EB138" s="21">
        <f>EXP(-LN(2)/25)*EB137+(1-EXP(-LN(2)/25))/(LN(2)/25)*Calculateur!DW138*Calculateur!DY138*VLOOKUP('Données projet'!$B$14,Paramètres!$A$1:$I$89,3,0)*0.475*44/12</f>
        <v>9.0680687891601419</v>
      </c>
      <c r="EC138" s="21">
        <f>EXP(-LN(2)/2)*EC137+(1-EXP(-LN(2)/2))/(LN(2)/2)*DW138*DZ138*VLOOKUP('Données projet'!$B$14,Paramètres!$A$1:$I$89,3,0)*0.475*44/12</f>
        <v>5.4348770043723032E-8</v>
      </c>
      <c r="ED138" s="22">
        <f t="shared" si="126"/>
        <v>81.223805756523859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-3.4106051316484809E-13</v>
      </c>
      <c r="EK138" s="17">
        <f>EJ138*VLOOKUP('Données projet'!$B$15,Paramètres!$A$1:$I$89,3,0)*VLOOKUP('Données projet'!$B$15,Paramètres!$A$1:$I$89,5,0)</f>
        <v>-3.0859155231155454E-13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504.37890861635196</v>
      </c>
      <c r="EP138" s="59">
        <f t="shared" si="154"/>
        <v>611.82129317522913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15.8343109323493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15.8343109323493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-1.1368683772161603E-13</v>
      </c>
      <c r="FF138" s="17">
        <f>FE138*VLOOKUP('Données projet'!$B$16,Paramètres!$A$1:$I$89,3,0)*VLOOKUP('Données projet'!$B$16,Paramètres!$A$1:$I$89,5,0)</f>
        <v>-1.223725121235475E-13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334.01098870576732</v>
      </c>
      <c r="FK138" s="59">
        <f t="shared" si="156"/>
        <v>171.1802153303471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89.547651599998474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89.547651599998474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-1.7053025658242404E-13</v>
      </c>
      <c r="GA138" s="17">
        <f>FZ138*VLOOKUP('Données projet'!$B$17,Paramètres!$A$1:$I$89,3,0)*VLOOKUP('Données projet'!$B$17,Paramètres!$A$1:$I$89,5,0)</f>
        <v>-1.4897523215040567E-13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330.12856974146598</v>
      </c>
      <c r="GF138" s="59">
        <f t="shared" si="158"/>
        <v>321.23368446552286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39.411580636113186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39.411580636113186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69.481985428993227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-1.7053025658242404E-13</v>
      </c>
      <c r="GV138" s="17">
        <f>GU138*VLOOKUP('Données projet'!$B$18,Paramètres!$A$1:$I$89,3,0)*VLOOKUP('Données projet'!$B$18,Paramètres!$A$1:$I$89,5,0)</f>
        <v>-1.1439169611549005E-13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296.67751292332753</v>
      </c>
      <c r="HA138" s="59">
        <f t="shared" si="160"/>
        <v>197.99510031603018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94.708861466211744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94.708861466211744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1.1000000000000001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4.0333333333333341</v>
      </c>
      <c r="H139" s="67">
        <f t="shared" si="110"/>
        <v>240.5333333333333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-1.5429577615577727E-13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461.20962581398715</v>
      </c>
      <c r="T139" s="59">
        <f t="shared" si="142"/>
        <v>348.44322874953923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132.94075084083656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132.94075084083656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-1.72917680174578E-13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510.86584023875525</v>
      </c>
      <c r="AO139" s="59">
        <f t="shared" si="144"/>
        <v>384.62921487244125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148.9853242181789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148.9853242181789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4.1677594708744434E-14</v>
      </c>
      <c r="BF139" s="13">
        <f t="shared" si="145"/>
        <v>6.9326303456159188E-13</v>
      </c>
      <c r="BG139" s="20">
        <f t="shared" si="115"/>
        <v>1.2800215959791691E-12</v>
      </c>
      <c r="BH139" s="59">
        <f t="shared" si="116"/>
        <v>291.46689668687605</v>
      </c>
      <c r="BI139" s="59">
        <f ca="1">AVERAGE(OFFSET($BH$3,0,0,'Données projet'!$E$11+1,1))-AVERAGE(OFFSET($H$3,0,0,'Données projet'!$E$11+1,1))</f>
        <v>201.7253431547006</v>
      </c>
      <c r="BJ139" s="59">
        <f t="shared" si="146"/>
        <v>229.70004720044096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10.712491583457565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10.712491583457565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-1.2710188457276673E-13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462.09240749760784</v>
      </c>
      <c r="CE139" s="59">
        <f t="shared" si="148"/>
        <v>403.52202223463337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113.48556013789805</v>
      </c>
      <c r="CL139" s="21">
        <f>EXP(-LN(2)/25)*CL138+(1-EXP(-LN(2)/25))/(LN(2)/25)*Calculateur!CG139*Calculateur!CI139*VLOOKUP('Données projet'!$B$12,Paramètres!$A$1:$I$89,3,0)*0.475*44/12</f>
        <v>7.2993965910234371</v>
      </c>
      <c r="CM139" s="21">
        <f>EXP(-LN(2)/2)*CM138+(1-EXP(-LN(2)/2))/(LN(2)/2)*CG139*CJ139*VLOOKUP('Données projet'!$B$12,Paramètres!$A$1:$I$89,3,0)*0.475*44/12</f>
        <v>6.5382995256855507E-8</v>
      </c>
      <c r="CN139" s="22">
        <f t="shared" si="120"/>
        <v>120.78495679430448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319.88925869887464</v>
      </c>
      <c r="CZ139" s="59">
        <f t="shared" si="150"/>
        <v>258.2857172412098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54.257754802760957</v>
      </c>
      <c r="DG139" s="21">
        <f>EXP(-LN(2)/25)*DG138+(1-EXP(-LN(2)/25))/(LN(2)/25)*Calculateur!DB139*Calculateur!DD139*VLOOKUP('Données projet'!$B$13,Paramètres!$A$1:$I$89,3,0)*0.475*44/12</f>
        <v>10.115850780147952</v>
      </c>
      <c r="DH139" s="21">
        <f>EXP(-LN(2)/2)*DH138+(1-EXP(-LN(2)/2))/(LN(2)/2)*DB139*DE139*VLOOKUP('Données projet'!$B$13,Paramètres!$A$1:$I$89,3,0)*0.475*44/12</f>
        <v>1.569980905002778E-7</v>
      </c>
      <c r="DI139" s="22">
        <f t="shared" si="123"/>
        <v>64.373605739906992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-5.6843418860808015E-13</v>
      </c>
      <c r="DP139" s="17">
        <f>DO139*VLOOKUP('Données projet'!$B$14,Paramètres!$A$1:$I$89,3,0)*VLOOKUP('Données projet'!$B$14,Paramètres!$A$1:$I$89,5,0)</f>
        <v>-3.39923644787632E-13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443.64905827069435</v>
      </c>
      <c r="DU139" s="59">
        <f t="shared" si="152"/>
        <v>381.14782516862385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70.740806922804552</v>
      </c>
      <c r="EB139" s="21">
        <f>EXP(-LN(2)/25)*EB138+(1-EXP(-LN(2)/25))/(LN(2)/25)*Calculateur!DW139*Calculateur!DY139*VLOOKUP('Données projet'!$B$14,Paramètres!$A$1:$I$89,3,0)*0.475*44/12</f>
        <v>8.820101971251546</v>
      </c>
      <c r="EC139" s="21">
        <f>EXP(-LN(2)/2)*EC138+(1-EXP(-LN(2)/2))/(LN(2)/2)*DW139*DZ139*VLOOKUP('Données projet'!$B$14,Paramètres!$A$1:$I$89,3,0)*0.475*44/12</f>
        <v>3.843038384706485E-8</v>
      </c>
      <c r="ED139" s="22">
        <f t="shared" si="126"/>
        <v>79.560908932486484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-3.4106051316484809E-13</v>
      </c>
      <c r="EK139" s="17">
        <f>EJ139*VLOOKUP('Données projet'!$B$15,Paramètres!$A$1:$I$89,3,0)*VLOOKUP('Données projet'!$B$15,Paramètres!$A$1:$I$89,5,0)</f>
        <v>-3.0859155231155454E-13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504.37890861635196</v>
      </c>
      <c r="EP139" s="59">
        <f t="shared" si="154"/>
        <v>611.82129317522913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15.523809752941954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15.523809752941954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-1.1368683772161603E-13</v>
      </c>
      <c r="FF139" s="17">
        <f>FE139*VLOOKUP('Données projet'!$B$16,Paramètres!$A$1:$I$89,3,0)*VLOOKUP('Données projet'!$B$16,Paramètres!$A$1:$I$89,5,0)</f>
        <v>-1.223725121235475E-13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334.01098870576732</v>
      </c>
      <c r="FK139" s="59">
        <f t="shared" si="156"/>
        <v>171.1802153303471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87.79167677079684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87.79167677079684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-1.7053025658242404E-13</v>
      </c>
      <c r="GA139" s="17">
        <f>FZ139*VLOOKUP('Données projet'!$B$17,Paramètres!$A$1:$I$89,3,0)*VLOOKUP('Données projet'!$B$17,Paramètres!$A$1:$I$89,5,0)</f>
        <v>-1.4897523215040567E-13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330.12856974146598</v>
      </c>
      <c r="GF139" s="59">
        <f t="shared" si="158"/>
        <v>321.23368446552286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38.638743578529571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38.638743578529571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69.490971823693116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-1.7053025658242404E-13</v>
      </c>
      <c r="GV139" s="17">
        <f>GU139*VLOOKUP('Données projet'!$B$18,Paramètres!$A$1:$I$89,3,0)*VLOOKUP('Données projet'!$B$18,Paramètres!$A$1:$I$89,5,0)</f>
        <v>-1.1439169611549005E-13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296.67751292332753</v>
      </c>
      <c r="HA139" s="59">
        <f t="shared" si="160"/>
        <v>197.99510031603018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92.851678459560844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92.851678459560844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1.1000000000000001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4.0333333333333341</v>
      </c>
      <c r="H140" s="67">
        <f t="shared" si="110"/>
        <v>240.5333333333333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-1.5429577615577727E-13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461.20962581398715</v>
      </c>
      <c r="T140" s="59">
        <f t="shared" si="142"/>
        <v>348.44322874953923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130.3338638026992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130.3338638026992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-1.72917680174578E-13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510.86584023875525</v>
      </c>
      <c r="AO140" s="59">
        <f t="shared" si="144"/>
        <v>384.62921487244125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146.06381288233533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146.06381288233533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4.1677594708744434E-14</v>
      </c>
      <c r="BF140" s="13">
        <f t="shared" si="145"/>
        <v>6.9326303456159188E-13</v>
      </c>
      <c r="BG140" s="20">
        <f t="shared" si="115"/>
        <v>1.2800215959791691E-12</v>
      </c>
      <c r="BH140" s="59">
        <f t="shared" si="116"/>
        <v>291.49927518996492</v>
      </c>
      <c r="BI140" s="59">
        <f ca="1">AVERAGE(OFFSET($BH$3,0,0,'Données projet'!$E$11+1,1))-AVERAGE(OFFSET($H$3,0,0,'Données projet'!$E$11+1,1))</f>
        <v>201.7253431547006</v>
      </c>
      <c r="BJ140" s="59">
        <f t="shared" si="146"/>
        <v>229.70004720044096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10.502426157480652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10.502426157480652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-1.2710188457276673E-13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462.09240749760784</v>
      </c>
      <c r="CE140" s="59">
        <f t="shared" si="148"/>
        <v>403.52202223463337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111.26017752295071</v>
      </c>
      <c r="CL140" s="21">
        <f>EXP(-LN(2)/25)*CL139+(1-EXP(-LN(2)/25))/(LN(2)/25)*Calculateur!CG140*Calculateur!CI140*VLOOKUP('Données projet'!$B$12,Paramètres!$A$1:$I$89,3,0)*0.475*44/12</f>
        <v>7.0997942073833178</v>
      </c>
      <c r="CM140" s="21">
        <f>EXP(-LN(2)/2)*CM139+(1-EXP(-LN(2)/2))/(LN(2)/2)*CG140*CJ140*VLOOKUP('Données projet'!$B$12,Paramètres!$A$1:$I$89,3,0)*0.475*44/12</f>
        <v>4.6232759320410403E-8</v>
      </c>
      <c r="CN140" s="22">
        <f t="shared" si="120"/>
        <v>118.35997177656678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319.88925869887464</v>
      </c>
      <c r="CZ140" s="59">
        <f t="shared" si="150"/>
        <v>258.2857172412098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53.19379332504149</v>
      </c>
      <c r="DG140" s="21">
        <f>EXP(-LN(2)/25)*DG139+(1-EXP(-LN(2)/25))/(LN(2)/25)*Calculateur!DB140*Calculateur!DD140*VLOOKUP('Données projet'!$B$13,Paramètres!$A$1:$I$89,3,0)*0.475*44/12</f>
        <v>9.8392323085953333</v>
      </c>
      <c r="DH140" s="21">
        <f>EXP(-LN(2)/2)*DH139+(1-EXP(-LN(2)/2))/(LN(2)/2)*DB140*DE140*VLOOKUP('Données projet'!$B$13,Paramètres!$A$1:$I$89,3,0)*0.475*44/12</f>
        <v>1.1101441442608572E-7</v>
      </c>
      <c r="DI140" s="22">
        <f t="shared" si="123"/>
        <v>63.033025744651241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-5.6843418860808015E-13</v>
      </c>
      <c r="DP140" s="17">
        <f>DO140*VLOOKUP('Données projet'!$B$14,Paramètres!$A$1:$I$89,3,0)*VLOOKUP('Données projet'!$B$14,Paramètres!$A$1:$I$89,5,0)</f>
        <v>-3.39923644787632E-13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443.64905827069435</v>
      </c>
      <c r="DU140" s="59">
        <f t="shared" si="152"/>
        <v>381.14782516862385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69.353622846680096</v>
      </c>
      <c r="EB140" s="21">
        <f>EXP(-LN(2)/25)*EB139+(1-EXP(-LN(2)/25))/(LN(2)/25)*Calculateur!DW140*Calculateur!DY140*VLOOKUP('Données projet'!$B$14,Paramètres!$A$1:$I$89,3,0)*0.475*44/12</f>
        <v>8.5789158190186683</v>
      </c>
      <c r="EC140" s="21">
        <f>EXP(-LN(2)/2)*EC139+(1-EXP(-LN(2)/2))/(LN(2)/2)*DW140*DZ140*VLOOKUP('Données projet'!$B$14,Paramètres!$A$1:$I$89,3,0)*0.475*44/12</f>
        <v>2.7174385021861516E-8</v>
      </c>
      <c r="ED140" s="22">
        <f t="shared" si="126"/>
        <v>77.932538692873138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-3.4106051316484809E-13</v>
      </c>
      <c r="EK140" s="17">
        <f>EJ140*VLOOKUP('Données projet'!$B$15,Paramètres!$A$1:$I$89,3,0)*VLOOKUP('Données projet'!$B$15,Paramètres!$A$1:$I$89,5,0)</f>
        <v>-3.0859155231155454E-13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504.37890861635196</v>
      </c>
      <c r="EP140" s="59">
        <f t="shared" si="154"/>
        <v>611.82129317522913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15.219397312275767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15.219397312275767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-1.1368683772161603E-13</v>
      </c>
      <c r="FF140" s="17">
        <f>FE140*VLOOKUP('Données projet'!$B$16,Paramètres!$A$1:$I$89,3,0)*VLOOKUP('Données projet'!$B$16,Paramètres!$A$1:$I$89,5,0)</f>
        <v>-1.223725121235475E-13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334.01098870576732</v>
      </c>
      <c r="FK140" s="59">
        <f t="shared" si="156"/>
        <v>171.1802153303471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86.070135536956954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86.070135536956954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-1.7053025658242404E-13</v>
      </c>
      <c r="GA140" s="17">
        <f>FZ140*VLOOKUP('Données projet'!$B$17,Paramètres!$A$1:$I$89,3,0)*VLOOKUP('Données projet'!$B$17,Paramètres!$A$1:$I$89,5,0)</f>
        <v>-1.4897523215040567E-13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330.12856974146598</v>
      </c>
      <c r="GF140" s="59">
        <f t="shared" si="158"/>
        <v>321.23368446552286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37.881061384261109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37.881061384261109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69.499802324535523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-1.7053025658242404E-13</v>
      </c>
      <c r="GV140" s="17">
        <f>GU140*VLOOKUP('Données projet'!$B$18,Paramètres!$A$1:$I$89,3,0)*VLOOKUP('Données projet'!$B$18,Paramètres!$A$1:$I$89,5,0)</f>
        <v>-1.1439169611549005E-13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296.67751292332753</v>
      </c>
      <c r="HA140" s="59">
        <f t="shared" si="160"/>
        <v>197.99510031603018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91.030913678900575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91.030913678900575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1.1000000000000001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4.0333333333333341</v>
      </c>
      <c r="H141" s="67">
        <f t="shared" si="110"/>
        <v>240.5333333333333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-1.5429577615577727E-13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461.20962581398715</v>
      </c>
      <c r="T141" s="59">
        <f t="shared" si="142"/>
        <v>348.44322874953923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127.77809622933563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127.77809622933563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-1.72917680174578E-13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510.86584023875525</v>
      </c>
      <c r="AO141" s="59">
        <f t="shared" si="144"/>
        <v>384.62921487244125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143.19959060184166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143.19959060184166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4.1677594708744434E-14</v>
      </c>
      <c r="BF141" s="13">
        <f t="shared" si="145"/>
        <v>6.9326303456159188E-13</v>
      </c>
      <c r="BG141" s="20">
        <f t="shared" si="115"/>
        <v>1.2800215959791691E-12</v>
      </c>
      <c r="BH141" s="59">
        <f t="shared" si="116"/>
        <v>291.53109199841265</v>
      </c>
      <c r="BI141" s="59">
        <f ca="1">AVERAGE(OFFSET($BH$3,0,0,'Données projet'!$E$11+1,1))-AVERAGE(OFFSET($H$3,0,0,'Données projet'!$E$11+1,1))</f>
        <v>201.7253431547006</v>
      </c>
      <c r="BJ141" s="59">
        <f t="shared" si="146"/>
        <v>229.70004720044096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10.296479986379888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10.296479986379888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-1.2710188457276673E-13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462.09240749760784</v>
      </c>
      <c r="CE141" s="59">
        <f t="shared" si="148"/>
        <v>403.52202223463337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109.07843330373312</v>
      </c>
      <c r="CL141" s="21">
        <f>EXP(-LN(2)/25)*CL140+(1-EXP(-LN(2)/25))/(LN(2)/25)*Calculateur!CG141*Calculateur!CI141*VLOOKUP('Données projet'!$B$12,Paramètres!$A$1:$I$89,3,0)*0.475*44/12</f>
        <v>6.9056499614204707</v>
      </c>
      <c r="CM141" s="21">
        <f>EXP(-LN(2)/2)*CM140+(1-EXP(-LN(2)/2))/(LN(2)/2)*CG141*CJ141*VLOOKUP('Données projet'!$B$12,Paramètres!$A$1:$I$89,3,0)*0.475*44/12</f>
        <v>3.2691497628427754E-8</v>
      </c>
      <c r="CN141" s="22">
        <f t="shared" si="120"/>
        <v>115.98408329784509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319.88925869887464</v>
      </c>
      <c r="CZ141" s="59">
        <f t="shared" si="150"/>
        <v>258.2857172412098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52.150695482947675</v>
      </c>
      <c r="DG141" s="21">
        <f>EXP(-LN(2)/25)*DG140+(1-EXP(-LN(2)/25))/(LN(2)/25)*Calculateur!DB141*Calculateur!DD141*VLOOKUP('Données projet'!$B$13,Paramètres!$A$1:$I$89,3,0)*0.475*44/12</f>
        <v>9.5701779836940553</v>
      </c>
      <c r="DH141" s="21">
        <f>EXP(-LN(2)/2)*DH140+(1-EXP(-LN(2)/2))/(LN(2)/2)*DB141*DE141*VLOOKUP('Données projet'!$B$13,Paramètres!$A$1:$I$89,3,0)*0.475*44/12</f>
        <v>7.8499045250138899E-8</v>
      </c>
      <c r="DI141" s="22">
        <f t="shared" si="123"/>
        <v>61.720873545140776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-5.6843418860808015E-13</v>
      </c>
      <c r="DP141" s="17">
        <f>DO141*VLOOKUP('Données projet'!$B$14,Paramètres!$A$1:$I$89,3,0)*VLOOKUP('Données projet'!$B$14,Paramètres!$A$1:$I$89,5,0)</f>
        <v>-3.39923644787632E-13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443.64905827069435</v>
      </c>
      <c r="DU141" s="59">
        <f t="shared" si="152"/>
        <v>381.14782516862385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67.993640604189707</v>
      </c>
      <c r="EB141" s="21">
        <f>EXP(-LN(2)/25)*EB140+(1-EXP(-LN(2)/25))/(LN(2)/25)*Calculateur!DW141*Calculateur!DY141*VLOOKUP('Données projet'!$B$14,Paramètres!$A$1:$I$89,3,0)*0.475*44/12</f>
        <v>8.3443249148020264</v>
      </c>
      <c r="EC141" s="21">
        <f>EXP(-LN(2)/2)*EC140+(1-EXP(-LN(2)/2))/(LN(2)/2)*DW141*DZ141*VLOOKUP('Données projet'!$B$14,Paramètres!$A$1:$I$89,3,0)*0.475*44/12</f>
        <v>1.9215191923532425E-8</v>
      </c>
      <c r="ED141" s="22">
        <f t="shared" si="126"/>
        <v>76.33796553820693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-3.4106051316484809E-13</v>
      </c>
      <c r="EK141" s="17">
        <f>EJ141*VLOOKUP('Données projet'!$B$15,Paramètres!$A$1:$I$89,3,0)*VLOOKUP('Données projet'!$B$15,Paramètres!$A$1:$I$89,5,0)</f>
        <v>-3.0859155231155454E-13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504.37890861635196</v>
      </c>
      <c r="EP141" s="59">
        <f t="shared" si="154"/>
        <v>611.82129317522913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14.920954213897788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14.920954213897788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-1.1368683772161603E-13</v>
      </c>
      <c r="FF141" s="17">
        <f>FE141*VLOOKUP('Données projet'!$B$16,Paramètres!$A$1:$I$89,3,0)*VLOOKUP('Données projet'!$B$16,Paramètres!$A$1:$I$89,5,0)</f>
        <v>-1.223725121235475E-13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334.01098870576732</v>
      </c>
      <c r="FK141" s="59">
        <f t="shared" si="156"/>
        <v>171.1802153303471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84.382352676676192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84.382352676676192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-1.7053025658242404E-13</v>
      </c>
      <c r="GA141" s="17">
        <f>FZ141*VLOOKUP('Données projet'!$B$17,Paramètres!$A$1:$I$89,3,0)*VLOOKUP('Données projet'!$B$17,Paramètres!$A$1:$I$89,5,0)</f>
        <v>-1.4897523215040567E-13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330.12856974146598</v>
      </c>
      <c r="GF141" s="59">
        <f t="shared" si="158"/>
        <v>321.23368446552286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37.138236875681748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37.138236875681748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69.508479635930357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-1.7053025658242404E-13</v>
      </c>
      <c r="GV141" s="17">
        <f>GU141*VLOOKUP('Données projet'!$B$18,Paramètres!$A$1:$I$89,3,0)*VLOOKUP('Données projet'!$B$18,Paramètres!$A$1:$I$89,5,0)</f>
        <v>-1.1439169611549005E-13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296.67751292332753</v>
      </c>
      <c r="HA141" s="59">
        <f t="shared" si="160"/>
        <v>197.99510031603018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89.245852985032201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89.245852985032201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1.1000000000000001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4.0333333333333341</v>
      </c>
      <c r="H142" s="67">
        <f t="shared" si="110"/>
        <v>240.5333333333333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-1.5429577615577727E-13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461.20962581398715</v>
      </c>
      <c r="T142" s="59">
        <f t="shared" si="142"/>
        <v>348.44322874953923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125.27244569922142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125.27244569922142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-1.72917680174578E-13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510.86584023875525</v>
      </c>
      <c r="AO142" s="59">
        <f t="shared" si="144"/>
        <v>384.62921487244125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140.39153397326541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140.39153397326541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4.1677594708744434E-14</v>
      </c>
      <c r="BF142" s="13">
        <f t="shared" si="145"/>
        <v>6.9326303456159188E-13</v>
      </c>
      <c r="BG142" s="20">
        <f t="shared" si="115"/>
        <v>1.2800215959791691E-12</v>
      </c>
      <c r="BH142" s="59">
        <f t="shared" si="116"/>
        <v>291.56235685636551</v>
      </c>
      <c r="BI142" s="59">
        <f ca="1">AVERAGE(OFFSET($BH$3,0,0,'Données projet'!$E$11+1,1))-AVERAGE(OFFSET($H$3,0,0,'Données projet'!$E$11+1,1))</f>
        <v>201.7253431547006</v>
      </c>
      <c r="BJ142" s="59">
        <f t="shared" si="146"/>
        <v>229.70004720044096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10.094572294079649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10.094572294079649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-1.2710188457276673E-13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462.09240749760784</v>
      </c>
      <c r="CE142" s="59">
        <f t="shared" si="148"/>
        <v>403.52202223463337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106.93947175792181</v>
      </c>
      <c r="CL142" s="21">
        <f>EXP(-LN(2)/25)*CL141+(1-EXP(-LN(2)/25))/(LN(2)/25)*Calculateur!CG142*Calculateur!CI142*VLOOKUP('Données projet'!$B$12,Paramètres!$A$1:$I$89,3,0)*0.475*44/12</f>
        <v>6.7168146000730795</v>
      </c>
      <c r="CM142" s="21">
        <f>EXP(-LN(2)/2)*CM141+(1-EXP(-LN(2)/2))/(LN(2)/2)*CG142*CJ142*VLOOKUP('Données projet'!$B$12,Paramètres!$A$1:$I$89,3,0)*0.475*44/12</f>
        <v>2.3116379660205201E-8</v>
      </c>
      <c r="CN142" s="22">
        <f t="shared" si="120"/>
        <v>113.65628638111127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319.88925869887464</v>
      </c>
      <c r="CZ142" s="59">
        <f t="shared" si="150"/>
        <v>258.2857172412098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51.128052153310456</v>
      </c>
      <c r="DG142" s="21">
        <f>EXP(-LN(2)/25)*DG141+(1-EXP(-LN(2)/25))/(LN(2)/25)*Calculateur!DB142*Calculateur!DD142*VLOOKUP('Données projet'!$B$13,Paramètres!$A$1:$I$89,3,0)*0.475*44/12</f>
        <v>9.3084809634561534</v>
      </c>
      <c r="DH142" s="21">
        <f>EXP(-LN(2)/2)*DH141+(1-EXP(-LN(2)/2))/(LN(2)/2)*DB142*DE142*VLOOKUP('Données projet'!$B$13,Paramètres!$A$1:$I$89,3,0)*0.475*44/12</f>
        <v>5.550720721304286E-8</v>
      </c>
      <c r="DI142" s="22">
        <f t="shared" si="123"/>
        <v>60.436533172273819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-5.6843418860808015E-13</v>
      </c>
      <c r="DP142" s="17">
        <f>DO142*VLOOKUP('Données projet'!$B$14,Paramètres!$A$1:$I$89,3,0)*VLOOKUP('Données projet'!$B$14,Paramètres!$A$1:$I$89,5,0)</f>
        <v>-3.39923644787632E-13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443.64905827069435</v>
      </c>
      <c r="DU142" s="59">
        <f t="shared" si="152"/>
        <v>381.14782516862385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66.660326783967292</v>
      </c>
      <c r="EB142" s="21">
        <f>EXP(-LN(2)/25)*EB141+(1-EXP(-LN(2)/25))/(LN(2)/25)*Calculateur!DW142*Calculateur!DY142*VLOOKUP('Données projet'!$B$14,Paramètres!$A$1:$I$89,3,0)*0.475*44/12</f>
        <v>8.1161489111977883</v>
      </c>
      <c r="EC142" s="21">
        <f>EXP(-LN(2)/2)*EC141+(1-EXP(-LN(2)/2))/(LN(2)/2)*DW142*DZ142*VLOOKUP('Données projet'!$B$14,Paramètres!$A$1:$I$89,3,0)*0.475*44/12</f>
        <v>1.3587192510930758E-8</v>
      </c>
      <c r="ED142" s="22">
        <f t="shared" si="126"/>
        <v>74.776475708752272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-3.4106051316484809E-13</v>
      </c>
      <c r="EK142" s="17">
        <f>EJ142*VLOOKUP('Données projet'!$B$15,Paramètres!$A$1:$I$89,3,0)*VLOOKUP('Données projet'!$B$15,Paramètres!$A$1:$I$89,5,0)</f>
        <v>-3.0859155231155454E-13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504.37890861635196</v>
      </c>
      <c r="EP142" s="59">
        <f t="shared" si="154"/>
        <v>611.82129317522913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14.628363402646686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14.628363402646686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-1.1368683772161603E-13</v>
      </c>
      <c r="FF142" s="17">
        <f>FE142*VLOOKUP('Données projet'!$B$16,Paramètres!$A$1:$I$89,3,0)*VLOOKUP('Données projet'!$B$16,Paramètres!$A$1:$I$89,5,0)</f>
        <v>-1.223725121235475E-13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334.01098870576732</v>
      </c>
      <c r="FK142" s="59">
        <f t="shared" si="156"/>
        <v>171.1802153303471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82.727666208839651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82.727666208839651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-1.7053025658242404E-13</v>
      </c>
      <c r="GA142" s="17">
        <f>FZ142*VLOOKUP('Données projet'!$B$17,Paramètres!$A$1:$I$89,3,0)*VLOOKUP('Données projet'!$B$17,Paramètres!$A$1:$I$89,5,0)</f>
        <v>-1.4897523215040567E-13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330.12856974146598</v>
      </c>
      <c r="GF142" s="59">
        <f t="shared" si="158"/>
        <v>321.23368446552286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36.409978702637417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36.409978702637417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69.517006415372052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-1.7053025658242404E-13</v>
      </c>
      <c r="GV142" s="17">
        <f>GU142*VLOOKUP('Données projet'!$B$18,Paramètres!$A$1:$I$89,3,0)*VLOOKUP('Données projet'!$B$18,Paramètres!$A$1:$I$89,5,0)</f>
        <v>-1.1439169611549005E-13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296.67751292332753</v>
      </c>
      <c r="HA142" s="59">
        <f t="shared" si="160"/>
        <v>197.99510031603018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87.495796242591069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87.495796242591069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1.1000000000000001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4.0333333333333341</v>
      </c>
      <c r="H143" s="67">
        <f t="shared" si="110"/>
        <v>240.5333333333333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-1.5429577615577727E-13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461.20962581398715</v>
      </c>
      <c r="T143" s="59">
        <f t="shared" si="142"/>
        <v>348.44322874953923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122.81592944770684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122.81592944770684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-1.72917680174578E-13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510.86584023875525</v>
      </c>
      <c r="AO143" s="59">
        <f t="shared" si="144"/>
        <v>384.62921487244125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137.6385416224301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137.6385416224301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4.1677594708744434E-14</v>
      </c>
      <c r="BF143" s="13">
        <f t="shared" si="145"/>
        <v>6.9326303456159188E-13</v>
      </c>
      <c r="BG143" s="20">
        <f t="shared" si="115"/>
        <v>1.2800215959791691E-12</v>
      </c>
      <c r="BH143" s="59">
        <f t="shared" si="116"/>
        <v>291.59307933893069</v>
      </c>
      <c r="BI143" s="59">
        <f ca="1">AVERAGE(OFFSET($BH$3,0,0,'Données projet'!$E$11+1,1))-AVERAGE(OFFSET($H$3,0,0,'Données projet'!$E$11+1,1))</f>
        <v>201.7253431547006</v>
      </c>
      <c r="BJ143" s="59">
        <f t="shared" si="146"/>
        <v>229.70004720044096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9.8966238884738846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9.8966238884738846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-1.2710188457276673E-13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462.09240749760784</v>
      </c>
      <c r="CE143" s="59">
        <f t="shared" si="148"/>
        <v>403.52202223463337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104.84245394338613</v>
      </c>
      <c r="CL143" s="21">
        <f>EXP(-LN(2)/25)*CL142+(1-EXP(-LN(2)/25))/(LN(2)/25)*Calculateur!CG143*Calculateur!CI143*VLOOKUP('Données projet'!$B$12,Paramètres!$A$1:$I$89,3,0)*0.475*44/12</f>
        <v>6.5331429516121524</v>
      </c>
      <c r="CM143" s="21">
        <f>EXP(-LN(2)/2)*CM142+(1-EXP(-LN(2)/2))/(LN(2)/2)*CG143*CJ143*VLOOKUP('Données projet'!$B$12,Paramètres!$A$1:$I$89,3,0)*0.475*44/12</f>
        <v>1.6345748814213877E-8</v>
      </c>
      <c r="CN143" s="22">
        <f t="shared" si="120"/>
        <v>111.37559691134403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319.88925869887464</v>
      </c>
      <c r="CZ143" s="59">
        <f t="shared" si="150"/>
        <v>258.2857172412098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50.125462235616588</v>
      </c>
      <c r="DG143" s="21">
        <f>EXP(-LN(2)/25)*DG142+(1-EXP(-LN(2)/25))/(LN(2)/25)*Calculateur!DB143*Calculateur!DD143*VLOOKUP('Données projet'!$B$13,Paramètres!$A$1:$I$89,3,0)*0.475*44/12</f>
        <v>9.0539400619987056</v>
      </c>
      <c r="DH143" s="21">
        <f>EXP(-LN(2)/2)*DH142+(1-EXP(-LN(2)/2))/(LN(2)/2)*DB143*DE143*VLOOKUP('Données projet'!$B$13,Paramètres!$A$1:$I$89,3,0)*0.475*44/12</f>
        <v>3.924952262506945E-8</v>
      </c>
      <c r="DI143" s="22">
        <f t="shared" si="123"/>
        <v>59.179402336864818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-5.6843418860808015E-13</v>
      </c>
      <c r="DP143" s="17">
        <f>DO143*VLOOKUP('Données projet'!$B$14,Paramètres!$A$1:$I$89,3,0)*VLOOKUP('Données projet'!$B$14,Paramètres!$A$1:$I$89,5,0)</f>
        <v>-3.39923644787632E-13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443.64905827069435</v>
      </c>
      <c r="DU143" s="59">
        <f t="shared" si="152"/>
        <v>381.14782516862385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65.353158434518306</v>
      </c>
      <c r="EB143" s="21">
        <f>EXP(-LN(2)/25)*EB142+(1-EXP(-LN(2)/25))/(LN(2)/25)*Calculateur!DW143*Calculateur!DY143*VLOOKUP('Données projet'!$B$14,Paramètres!$A$1:$I$89,3,0)*0.475*44/12</f>
        <v>7.8942123924113634</v>
      </c>
      <c r="EC143" s="21">
        <f>EXP(-LN(2)/2)*EC142+(1-EXP(-LN(2)/2))/(LN(2)/2)*DW143*DZ143*VLOOKUP('Données projet'!$B$14,Paramètres!$A$1:$I$89,3,0)*0.475*44/12</f>
        <v>9.6075959617662126E-9</v>
      </c>
      <c r="ED143" s="22">
        <f t="shared" si="126"/>
        <v>73.247370836537257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-3.4106051316484809E-13</v>
      </c>
      <c r="EK143" s="17">
        <f>EJ143*VLOOKUP('Données projet'!$B$15,Paramètres!$A$1:$I$89,3,0)*VLOOKUP('Données projet'!$B$15,Paramètres!$A$1:$I$89,5,0)</f>
        <v>-3.0859155231155454E-13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504.37890861635196</v>
      </c>
      <c r="EP143" s="59">
        <f t="shared" si="154"/>
        <v>611.82129317522913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14.341510118741445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14.341510118741445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-1.1368683772161603E-13</v>
      </c>
      <c r="FF143" s="17">
        <f>FE143*VLOOKUP('Données projet'!$B$16,Paramètres!$A$1:$I$89,3,0)*VLOOKUP('Données projet'!$B$16,Paramètres!$A$1:$I$89,5,0)</f>
        <v>-1.223725121235475E-13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334.01098870576732</v>
      </c>
      <c r="FK143" s="59">
        <f t="shared" si="156"/>
        <v>171.1802153303471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81.105427133378285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81.105427133378285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-1.7053025658242404E-13</v>
      </c>
      <c r="GA143" s="17">
        <f>FZ143*VLOOKUP('Données projet'!$B$17,Paramètres!$A$1:$I$89,3,0)*VLOOKUP('Données projet'!$B$17,Paramètres!$A$1:$I$89,5,0)</f>
        <v>-1.4897523215040567E-13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330.12856974146598</v>
      </c>
      <c r="GF143" s="59">
        <f t="shared" si="158"/>
        <v>321.23368446552286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35.696001228172861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35.696001228172861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69.525385274253466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-1.7053025658242404E-13</v>
      </c>
      <c r="GV143" s="17">
        <f>GU143*VLOOKUP('Données projet'!$B$18,Paramètres!$A$1:$I$89,3,0)*VLOOKUP('Données projet'!$B$18,Paramètres!$A$1:$I$89,5,0)</f>
        <v>-1.1439169611549005E-13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296.67751292332753</v>
      </c>
      <c r="HA143" s="59">
        <f t="shared" si="160"/>
        <v>197.99510031603018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85.780057045440003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85.780057045440003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1.1000000000000001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4.0333333333333341</v>
      </c>
      <c r="H144" s="67">
        <f t="shared" si="110"/>
        <v>240.5333333333333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-1.5429577615577727E-13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461.20962581398715</v>
      </c>
      <c r="T144" s="59">
        <f t="shared" si="142"/>
        <v>348.44322874953923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120.40758398155749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120.40758398155749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-1.72917680174578E-13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510.86584023875525</v>
      </c>
      <c r="AO144" s="59">
        <f t="shared" si="144"/>
        <v>384.62921487244125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134.93953377243514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134.93953377243514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4.1677594708744434E-14</v>
      </c>
      <c r="BF144" s="13">
        <f t="shared" si="145"/>
        <v>6.9326303456159188E-13</v>
      </c>
      <c r="BG144" s="20">
        <f t="shared" si="115"/>
        <v>1.2800215959791691E-12</v>
      </c>
      <c r="BH144" s="59">
        <f t="shared" si="116"/>
        <v>291.62326885510851</v>
      </c>
      <c r="BI144" s="59">
        <f ca="1">AVERAGE(OFFSET($BH$3,0,0,'Données projet'!$E$11+1,1))-AVERAGE(OFFSET($H$3,0,0,'Données projet'!$E$11+1,1))</f>
        <v>201.7253431547006</v>
      </c>
      <c r="BJ144" s="59">
        <f t="shared" si="146"/>
        <v>229.70004720044096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9.7025571303654434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9.7025571303654434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-1.2710188457276673E-13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462.09240749760784</v>
      </c>
      <c r="CE144" s="59">
        <f t="shared" si="148"/>
        <v>403.52202223463337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102.78655736913893</v>
      </c>
      <c r="CL144" s="21">
        <f>EXP(-LN(2)/25)*CL143+(1-EXP(-LN(2)/25))/(LN(2)/25)*Calculateur!CG144*Calculateur!CI144*VLOOKUP('Données projet'!$B$12,Paramètres!$A$1:$I$89,3,0)*0.475*44/12</f>
        <v>6.3544938140372622</v>
      </c>
      <c r="CM144" s="21">
        <f>EXP(-LN(2)/2)*CM143+(1-EXP(-LN(2)/2))/(LN(2)/2)*CG144*CJ144*VLOOKUP('Données projet'!$B$12,Paramètres!$A$1:$I$89,3,0)*0.475*44/12</f>
        <v>1.1558189830102601E-8</v>
      </c>
      <c r="CN144" s="22">
        <f t="shared" si="120"/>
        <v>109.14105119473437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319.88925869887464</v>
      </c>
      <c r="CZ144" s="59">
        <f t="shared" si="150"/>
        <v>258.2857172412098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49.142532494689227</v>
      </c>
      <c r="DG144" s="21">
        <f>EXP(-LN(2)/25)*DG143+(1-EXP(-LN(2)/25))/(LN(2)/25)*Calculateur!DB144*Calculateur!DD144*VLOOKUP('Données projet'!$B$13,Paramètres!$A$1:$I$89,3,0)*0.475*44/12</f>
        <v>8.8063595948773354</v>
      </c>
      <c r="DH144" s="21">
        <f>EXP(-LN(2)/2)*DH143+(1-EXP(-LN(2)/2))/(LN(2)/2)*DB144*DE144*VLOOKUP('Données projet'!$B$13,Paramètres!$A$1:$I$89,3,0)*0.475*44/12</f>
        <v>2.775360360652143E-8</v>
      </c>
      <c r="DI144" s="22">
        <f t="shared" si="123"/>
        <v>57.948892117320163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-5.6843418860808015E-13</v>
      </c>
      <c r="DP144" s="17">
        <f>DO144*VLOOKUP('Données projet'!$B$14,Paramètres!$A$1:$I$89,3,0)*VLOOKUP('Données projet'!$B$14,Paramètres!$A$1:$I$89,5,0)</f>
        <v>-3.39923644787632E-13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443.64905827069435</v>
      </c>
      <c r="DU144" s="59">
        <f t="shared" si="152"/>
        <v>381.14782516862385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64.071622859108047</v>
      </c>
      <c r="EB144" s="21">
        <f>EXP(-LN(2)/25)*EB143+(1-EXP(-LN(2)/25))/(LN(2)/25)*Calculateur!DW144*Calculateur!DY144*VLOOKUP('Données projet'!$B$14,Paramètres!$A$1:$I$89,3,0)*0.475*44/12</f>
        <v>7.678344739402287</v>
      </c>
      <c r="EC144" s="21">
        <f>EXP(-LN(2)/2)*EC143+(1-EXP(-LN(2)/2))/(LN(2)/2)*DW144*DZ144*VLOOKUP('Données projet'!$B$14,Paramètres!$A$1:$I$89,3,0)*0.475*44/12</f>
        <v>6.793596255465379E-9</v>
      </c>
      <c r="ED144" s="22">
        <f t="shared" si="126"/>
        <v>71.749967605303937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-3.4106051316484809E-13</v>
      </c>
      <c r="EK144" s="17">
        <f>EJ144*VLOOKUP('Données projet'!$B$15,Paramètres!$A$1:$I$89,3,0)*VLOOKUP('Données projet'!$B$15,Paramètres!$A$1:$I$89,5,0)</f>
        <v>-3.0859155231155454E-13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504.37890861635196</v>
      </c>
      <c r="EP144" s="59">
        <f t="shared" si="154"/>
        <v>611.82129317522913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14.060281852770357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14.060281852770357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-1.1368683772161603E-13</v>
      </c>
      <c r="FF144" s="17">
        <f>FE144*VLOOKUP('Données projet'!$B$16,Paramètres!$A$1:$I$89,3,0)*VLOOKUP('Données projet'!$B$16,Paramètres!$A$1:$I$89,5,0)</f>
        <v>-1.223725121235475E-13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334.01098870576732</v>
      </c>
      <c r="FK144" s="59">
        <f t="shared" si="156"/>
        <v>171.1802153303471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79.51499917671859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79.51499917671859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-1.7053025658242404E-13</v>
      </c>
      <c r="GA144" s="17">
        <f>FZ144*VLOOKUP('Données projet'!$B$17,Paramètres!$A$1:$I$89,3,0)*VLOOKUP('Données projet'!$B$17,Paramètres!$A$1:$I$89,5,0)</f>
        <v>-1.4897523215040567E-13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330.12856974146598</v>
      </c>
      <c r="GF144" s="59">
        <f t="shared" si="158"/>
        <v>321.23368446552286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34.996024416499296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34.996024416499296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69.533618778665598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-1.7053025658242404E-13</v>
      </c>
      <c r="GV144" s="17">
        <f>GU144*VLOOKUP('Données projet'!$B$18,Paramètres!$A$1:$I$89,3,0)*VLOOKUP('Données projet'!$B$18,Paramètres!$A$1:$I$89,5,0)</f>
        <v>-1.1439169611549005E-13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296.67751292332753</v>
      </c>
      <c r="HA144" s="59">
        <f t="shared" si="160"/>
        <v>197.99510031603018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84.097962447447486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84.097962447447486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1.1000000000000001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4.0333333333333341</v>
      </c>
      <c r="H145" s="67">
        <f t="shared" si="110"/>
        <v>240.5333333333333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-1.5429577615577727E-13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461.20962581398715</v>
      </c>
      <c r="T145" s="59">
        <f t="shared" si="142"/>
        <v>348.44322874953923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118.04646470105365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118.04646470105365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-1.72917680174578E-13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510.86584023875525</v>
      </c>
      <c r="AO145" s="59">
        <f t="shared" si="144"/>
        <v>384.62921487244125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132.29345182014634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132.29345182014634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4.1677594708744434E-14</v>
      </c>
      <c r="BF145" s="13">
        <f t="shared" si="145"/>
        <v>6.9326303456159188E-13</v>
      </c>
      <c r="BG145" s="20">
        <f t="shared" si="115"/>
        <v>1.2800215959791691E-12</v>
      </c>
      <c r="BH145" s="59">
        <f t="shared" si="116"/>
        <v>291.6529346506743</v>
      </c>
      <c r="BI145" s="59">
        <f ca="1">AVERAGE(OFFSET($BH$3,0,0,'Données projet'!$E$11+1,1))-AVERAGE(OFFSET($H$3,0,0,'Données projet'!$E$11+1,1))</f>
        <v>201.7253431547006</v>
      </c>
      <c r="BJ145" s="59">
        <f t="shared" si="146"/>
        <v>229.70004720044096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9.5122959030144756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9.5122959030144756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-1.2710188457276673E-13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462.09240749760784</v>
      </c>
      <c r="CE145" s="59">
        <f t="shared" si="148"/>
        <v>403.52202223463337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100.77097567273964</v>
      </c>
      <c r="CL145" s="21">
        <f>EXP(-LN(2)/25)*CL144+(1-EXP(-LN(2)/25))/(LN(2)/25)*Calculateur!CG145*Calculateur!CI145*VLOOKUP('Données projet'!$B$12,Paramètres!$A$1:$I$89,3,0)*0.475*44/12</f>
        <v>6.1807298465241072</v>
      </c>
      <c r="CM145" s="21">
        <f>EXP(-LN(2)/2)*CM144+(1-EXP(-LN(2)/2))/(LN(2)/2)*CG145*CJ145*VLOOKUP('Données projet'!$B$12,Paramètres!$A$1:$I$89,3,0)*0.475*44/12</f>
        <v>8.1728744071069384E-9</v>
      </c>
      <c r="CN145" s="22">
        <f t="shared" si="120"/>
        <v>106.95170552743662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319.88925869887464</v>
      </c>
      <c r="CZ145" s="59">
        <f t="shared" si="150"/>
        <v>258.2857172412098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48.178877406453509</v>
      </c>
      <c r="DG145" s="21">
        <f>EXP(-LN(2)/25)*DG144+(1-EXP(-LN(2)/25))/(LN(2)/25)*Calculateur!DB145*Calculateur!DD145*VLOOKUP('Données projet'!$B$13,Paramètres!$A$1:$I$89,3,0)*0.475*44/12</f>
        <v>8.5655492286490915</v>
      </c>
      <c r="DH145" s="21">
        <f>EXP(-LN(2)/2)*DH144+(1-EXP(-LN(2)/2))/(LN(2)/2)*DB145*DE145*VLOOKUP('Données projet'!$B$13,Paramètres!$A$1:$I$89,3,0)*0.475*44/12</f>
        <v>1.9624761312534725E-8</v>
      </c>
      <c r="DI145" s="22">
        <f t="shared" si="123"/>
        <v>56.744426654727363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-5.6843418860808015E-13</v>
      </c>
      <c r="DP145" s="17">
        <f>DO145*VLOOKUP('Données projet'!$B$14,Paramètres!$A$1:$I$89,3,0)*VLOOKUP('Données projet'!$B$14,Paramètres!$A$1:$I$89,5,0)</f>
        <v>-3.39923644787632E-13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443.64905827069435</v>
      </c>
      <c r="DU145" s="59">
        <f t="shared" si="152"/>
        <v>381.14782516862385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62.81521741467207</v>
      </c>
      <c r="EB145" s="21">
        <f>EXP(-LN(2)/25)*EB144+(1-EXP(-LN(2)/25))/(LN(2)/25)*Calculateur!DW145*Calculateur!DY145*VLOOKUP('Données projet'!$B$14,Paramètres!$A$1:$I$89,3,0)*0.475*44/12</f>
        <v>7.4683799987167303</v>
      </c>
      <c r="EC145" s="21">
        <f>EXP(-LN(2)/2)*EC144+(1-EXP(-LN(2)/2))/(LN(2)/2)*DW145*DZ145*VLOOKUP('Données projet'!$B$14,Paramètres!$A$1:$I$89,3,0)*0.475*44/12</f>
        <v>4.8037979808831063E-9</v>
      </c>
      <c r="ED145" s="22">
        <f t="shared" si="126"/>
        <v>70.283597418192599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-3.4106051316484809E-13</v>
      </c>
      <c r="EK145" s="17">
        <f>EJ145*VLOOKUP('Données projet'!$B$15,Paramètres!$A$1:$I$89,3,0)*VLOOKUP('Données projet'!$B$15,Paramètres!$A$1:$I$89,5,0)</f>
        <v>-3.0859155231155454E-13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504.37890861635196</v>
      </c>
      <c r="EP145" s="59">
        <f t="shared" si="154"/>
        <v>611.82129317522913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13.784568301562658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13.784568301562658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-1.1368683772161603E-13</v>
      </c>
      <c r="FF145" s="17">
        <f>FE145*VLOOKUP('Données projet'!$B$16,Paramètres!$A$1:$I$89,3,0)*VLOOKUP('Données projet'!$B$16,Paramètres!$A$1:$I$89,5,0)</f>
        <v>-1.223725121235475E-13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334.01098870576732</v>
      </c>
      <c r="FK145" s="59">
        <f t="shared" si="156"/>
        <v>171.1802153303471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77.95575854222372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77.95575854222372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-1.7053025658242404E-13</v>
      </c>
      <c r="GA145" s="17">
        <f>FZ145*VLOOKUP('Données projet'!$B$17,Paramètres!$A$1:$I$89,3,0)*VLOOKUP('Données projet'!$B$17,Paramètres!$A$1:$I$89,5,0)</f>
        <v>-1.4897523215040567E-13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330.12856974146598</v>
      </c>
      <c r="GF145" s="59">
        <f t="shared" si="158"/>
        <v>321.23368446552286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34.309773723158948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34.309773723158948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69.541709450183546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-1.7053025658242404E-13</v>
      </c>
      <c r="GV145" s="17">
        <f>GU145*VLOOKUP('Données projet'!$B$18,Paramètres!$A$1:$I$89,3,0)*VLOOKUP('Données projet'!$B$18,Paramètres!$A$1:$I$89,5,0)</f>
        <v>-1.1439169611549005E-13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296.67751292332753</v>
      </c>
      <c r="HA145" s="59">
        <f t="shared" si="160"/>
        <v>197.99510031603018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82.44885269854521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82.44885269854521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1.1000000000000001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4.0333333333333341</v>
      </c>
      <c r="H146" s="67">
        <f t="shared" si="110"/>
        <v>240.5333333333333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-1.5429577615577727E-13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461.20962581398715</v>
      </c>
      <c r="T146" s="59">
        <f t="shared" si="142"/>
        <v>348.44322874953923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115.73164552949993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115.73164552949993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-1.72917680174578E-13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510.86584023875525</v>
      </c>
      <c r="AO146" s="59">
        <f t="shared" si="144"/>
        <v>384.62921487244125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129.6992579209913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129.6992579209913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4.1677594708744434E-14</v>
      </c>
      <c r="BF146" s="13">
        <f t="shared" si="145"/>
        <v>6.9326303456159188E-13</v>
      </c>
      <c r="BG146" s="20">
        <f t="shared" si="115"/>
        <v>1.2800215959791691E-12</v>
      </c>
      <c r="BH146" s="59">
        <f t="shared" si="116"/>
        <v>291.68208581100981</v>
      </c>
      <c r="BI146" s="59">
        <f ca="1">AVERAGE(OFFSET($BH$3,0,0,'Données projet'!$E$11+1,1))-AVERAGE(OFFSET($H$3,0,0,'Données projet'!$E$11+1,1))</f>
        <v>201.7253431547006</v>
      </c>
      <c r="BJ146" s="59">
        <f t="shared" si="146"/>
        <v>229.70004720044096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9.3257655822839691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9.3257655822839691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-1.2710188457276673E-13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462.09240749760784</v>
      </c>
      <c r="CE146" s="59">
        <f t="shared" si="148"/>
        <v>403.52202223463337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98.794918304023284</v>
      </c>
      <c r="CL146" s="21">
        <f>EXP(-LN(2)/25)*CL145+(1-EXP(-LN(2)/25))/(LN(2)/25)*Calculateur!CG146*Calculateur!CI146*VLOOKUP('Données projet'!$B$12,Paramètres!$A$1:$I$89,3,0)*0.475*44/12</f>
        <v>6.0117174638404487</v>
      </c>
      <c r="CM146" s="21">
        <f>EXP(-LN(2)/2)*CM145+(1-EXP(-LN(2)/2))/(LN(2)/2)*CG146*CJ146*VLOOKUP('Données projet'!$B$12,Paramètres!$A$1:$I$89,3,0)*0.475*44/12</f>
        <v>5.7790949150513003E-9</v>
      </c>
      <c r="CN146" s="22">
        <f t="shared" si="120"/>
        <v>104.80663577364284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319.88925869887464</v>
      </c>
      <c r="CZ146" s="59">
        <f t="shared" si="150"/>
        <v>258.2857172412098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47.234119006726523</v>
      </c>
      <c r="DG146" s="21">
        <f>EXP(-LN(2)/25)*DG145+(1-EXP(-LN(2)/25))/(LN(2)/25)*Calculateur!DB146*Calculateur!DD146*VLOOKUP('Données projet'!$B$13,Paramètres!$A$1:$I$89,3,0)*0.475*44/12</f>
        <v>8.3313238345490248</v>
      </c>
      <c r="DH146" s="21">
        <f>EXP(-LN(2)/2)*DH145+(1-EXP(-LN(2)/2))/(LN(2)/2)*DB146*DE146*VLOOKUP('Données projet'!$B$13,Paramètres!$A$1:$I$89,3,0)*0.475*44/12</f>
        <v>1.3876801803260715E-8</v>
      </c>
      <c r="DI146" s="22">
        <f t="shared" si="123"/>
        <v>55.565442855152348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-5.6843418860808015E-13</v>
      </c>
      <c r="DP146" s="17">
        <f>DO146*VLOOKUP('Données projet'!$B$14,Paramètres!$A$1:$I$89,3,0)*VLOOKUP('Données projet'!$B$14,Paramètres!$A$1:$I$89,5,0)</f>
        <v>-3.39923644787632E-13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443.64905827069435</v>
      </c>
      <c r="DU146" s="59">
        <f t="shared" si="152"/>
        <v>381.14782516862385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61.583449314669828</v>
      </c>
      <c r="EB146" s="21">
        <f>EXP(-LN(2)/25)*EB145+(1-EXP(-LN(2)/25))/(LN(2)/25)*Calculateur!DW146*Calculateur!DY146*VLOOKUP('Données projet'!$B$14,Paramètres!$A$1:$I$89,3,0)*0.475*44/12</f>
        <v>7.2641567549067867</v>
      </c>
      <c r="EC146" s="21">
        <f>EXP(-LN(2)/2)*EC145+(1-EXP(-LN(2)/2))/(LN(2)/2)*DW146*DZ146*VLOOKUP('Données projet'!$B$14,Paramètres!$A$1:$I$89,3,0)*0.475*44/12</f>
        <v>3.3967981277326895E-9</v>
      </c>
      <c r="ED146" s="22">
        <f t="shared" si="126"/>
        <v>68.847606072973406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-3.4106051316484809E-13</v>
      </c>
      <c r="EK146" s="17">
        <f>EJ146*VLOOKUP('Données projet'!$B$15,Paramètres!$A$1:$I$89,3,0)*VLOOKUP('Données projet'!$B$15,Paramètres!$A$1:$I$89,5,0)</f>
        <v>-3.0859155231155454E-13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504.37890861635196</v>
      </c>
      <c r="EP146" s="59">
        <f t="shared" si="154"/>
        <v>611.82129317522913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13.514261324925481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13.514261324925481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-1.1368683772161603E-13</v>
      </c>
      <c r="FF146" s="17">
        <f>FE146*VLOOKUP('Données projet'!$B$16,Paramètres!$A$1:$I$89,3,0)*VLOOKUP('Données projet'!$B$16,Paramètres!$A$1:$I$89,5,0)</f>
        <v>-1.223725121235475E-13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334.01098870576732</v>
      </c>
      <c r="FK146" s="59">
        <f t="shared" si="156"/>
        <v>171.1802153303471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76.427093665528417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76.427093665528417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-1.7053025658242404E-13</v>
      </c>
      <c r="GA146" s="17">
        <f>FZ146*VLOOKUP('Données projet'!$B$17,Paramètres!$A$1:$I$89,3,0)*VLOOKUP('Données projet'!$B$17,Paramètres!$A$1:$I$89,5,0)</f>
        <v>-1.4897523215040567E-13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330.12856974146598</v>
      </c>
      <c r="GF146" s="59">
        <f t="shared" si="158"/>
        <v>321.23368446552286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33.636979987343409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33.636979987343409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69.549659766638683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-1.7053025658242404E-13</v>
      </c>
      <c r="GV146" s="17">
        <f>GU146*VLOOKUP('Données projet'!$B$18,Paramètres!$A$1:$I$89,3,0)*VLOOKUP('Données projet'!$B$18,Paramètres!$A$1:$I$89,5,0)</f>
        <v>-1.1439169611549005E-13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296.67751292332753</v>
      </c>
      <c r="HA146" s="59">
        <f t="shared" si="160"/>
        <v>197.99510031603018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80.832080985961269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80.832080985961269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1.1000000000000001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4.0333333333333341</v>
      </c>
      <c r="H147" s="67">
        <f t="shared" si="110"/>
        <v>240.5333333333333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-1.5429577615577727E-13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461.20962581398715</v>
      </c>
      <c r="T147" s="59">
        <f t="shared" si="142"/>
        <v>348.44322874953923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113.46221855000009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113.46221855000009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-1.72917680174578E-13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510.86584023875525</v>
      </c>
      <c r="AO147" s="59">
        <f t="shared" si="144"/>
        <v>384.62921487244125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127.15593458189666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127.15593458189666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4.1677594708744434E-14</v>
      </c>
      <c r="BF147" s="13">
        <f t="shared" si="145"/>
        <v>6.9326303456159188E-13</v>
      </c>
      <c r="BG147" s="20">
        <f t="shared" si="115"/>
        <v>1.2800215959791691E-12</v>
      </c>
      <c r="BH147" s="59">
        <f t="shared" si="116"/>
        <v>291.71073126388575</v>
      </c>
      <c r="BI147" s="59">
        <f ca="1">AVERAGE(OFFSET($BH$3,0,0,'Données projet'!$E$11+1,1))-AVERAGE(OFFSET($H$3,0,0,'Données projet'!$E$11+1,1))</f>
        <v>201.7253431547006</v>
      </c>
      <c r="BJ147" s="59">
        <f t="shared" si="146"/>
        <v>229.70004720044096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9.1428930073707271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9.1428930073707271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-1.2710188457276673E-13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462.09240749760784</v>
      </c>
      <c r="CE147" s="59">
        <f t="shared" si="148"/>
        <v>403.52202223463337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96.857610215031471</v>
      </c>
      <c r="CL147" s="21">
        <f>EXP(-LN(2)/25)*CL146+(1-EXP(-LN(2)/25))/(LN(2)/25)*Calculateur!CG147*Calculateur!CI147*VLOOKUP('Données projet'!$B$12,Paramètres!$A$1:$I$89,3,0)*0.475*44/12</f>
        <v>5.8473267336492505</v>
      </c>
      <c r="CM147" s="21">
        <f>EXP(-LN(2)/2)*CM146+(1-EXP(-LN(2)/2))/(LN(2)/2)*CG147*CJ147*VLOOKUP('Données projet'!$B$12,Paramètres!$A$1:$I$89,3,0)*0.475*44/12</f>
        <v>4.0864372035534692E-9</v>
      </c>
      <c r="CN147" s="22">
        <f t="shared" si="120"/>
        <v>102.70493695276716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319.88925869887464</v>
      </c>
      <c r="CZ147" s="59">
        <f t="shared" si="150"/>
        <v>258.2857172412098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46.307886742972464</v>
      </c>
      <c r="DG147" s="21">
        <f>EXP(-LN(2)/25)*DG146+(1-EXP(-LN(2)/25))/(LN(2)/25)*Calculateur!DB147*Calculateur!DD147*VLOOKUP('Données projet'!$B$13,Paramètres!$A$1:$I$89,3,0)*0.475*44/12</f>
        <v>8.1035033461680026</v>
      </c>
      <c r="DH147" s="21">
        <f>EXP(-LN(2)/2)*DH146+(1-EXP(-LN(2)/2))/(LN(2)/2)*DB147*DE147*VLOOKUP('Données projet'!$B$13,Paramètres!$A$1:$I$89,3,0)*0.475*44/12</f>
        <v>9.8123806562673624E-9</v>
      </c>
      <c r="DI147" s="22">
        <f t="shared" si="123"/>
        <v>54.41139009895285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-5.6843418860808015E-13</v>
      </c>
      <c r="DP147" s="17">
        <f>DO147*VLOOKUP('Données projet'!$B$14,Paramètres!$A$1:$I$89,3,0)*VLOOKUP('Données projet'!$B$14,Paramètres!$A$1:$I$89,5,0)</f>
        <v>-3.39923644787632E-13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443.64905827069435</v>
      </c>
      <c r="DU147" s="59">
        <f t="shared" si="152"/>
        <v>381.14782516862385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60.375835435804277</v>
      </c>
      <c r="EB147" s="21">
        <f>EXP(-LN(2)/25)*EB146+(1-EXP(-LN(2)/25))/(LN(2)/25)*Calculateur!DW147*Calculateur!DY147*VLOOKUP('Données projet'!$B$14,Paramètres!$A$1:$I$89,3,0)*0.475*44/12</f>
        <v>7.0655180064384595</v>
      </c>
      <c r="EC147" s="21">
        <f>EXP(-LN(2)/2)*EC146+(1-EXP(-LN(2)/2))/(LN(2)/2)*DW147*DZ147*VLOOKUP('Données projet'!$B$14,Paramètres!$A$1:$I$89,3,0)*0.475*44/12</f>
        <v>2.4018989904415531E-9</v>
      </c>
      <c r="ED147" s="22">
        <f t="shared" si="126"/>
        <v>67.441353444644633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-3.4106051316484809E-13</v>
      </c>
      <c r="EK147" s="17">
        <f>EJ147*VLOOKUP('Données projet'!$B$15,Paramètres!$A$1:$I$89,3,0)*VLOOKUP('Données projet'!$B$15,Paramètres!$A$1:$I$89,5,0)</f>
        <v>-3.0859155231155454E-13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504.37890861635196</v>
      </c>
      <c r="EP147" s="59">
        <f t="shared" si="154"/>
        <v>611.82129317522913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13.249254903229184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13.249254903229184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-1.1368683772161603E-13</v>
      </c>
      <c r="FF147" s="17">
        <f>FE147*VLOOKUP('Données projet'!$B$16,Paramètres!$A$1:$I$89,3,0)*VLOOKUP('Données projet'!$B$16,Paramètres!$A$1:$I$89,5,0)</f>
        <v>-1.223725121235475E-13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334.01098870576732</v>
      </c>
      <c r="FK147" s="59">
        <f t="shared" si="156"/>
        <v>171.1802153303471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74.928404974671608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74.928404974671608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-1.7053025658242404E-13</v>
      </c>
      <c r="GA147" s="17">
        <f>FZ147*VLOOKUP('Données projet'!$B$17,Paramètres!$A$1:$I$89,3,0)*VLOOKUP('Données projet'!$B$17,Paramètres!$A$1:$I$89,5,0)</f>
        <v>-1.4897523215040567E-13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330.12856974146598</v>
      </c>
      <c r="GF147" s="59">
        <f t="shared" si="158"/>
        <v>321.23368446552286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32.977379326323558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32.977379326323558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69.557472162877573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-1.7053025658242404E-13</v>
      </c>
      <c r="GV147" s="17">
        <f>GU147*VLOOKUP('Données projet'!$B$18,Paramètres!$A$1:$I$89,3,0)*VLOOKUP('Données projet'!$B$18,Paramètres!$A$1:$I$89,5,0)</f>
        <v>-1.1439169611549005E-13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296.67751292332753</v>
      </c>
      <c r="HA147" s="59">
        <f t="shared" si="160"/>
        <v>197.99510031603018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79.24701318052773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79.24701318052773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1.1000000000000001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4.0333333333333341</v>
      </c>
      <c r="H148" s="67">
        <f t="shared" si="110"/>
        <v>240.5333333333333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-1.5429577615577727E-13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461.20962581398715</v>
      </c>
      <c r="T148" s="59">
        <f t="shared" si="142"/>
        <v>348.44322874953923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111.23729364935447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111.23729364935447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-1.72917680174578E-13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510.86584023875525</v>
      </c>
      <c r="AO148" s="59">
        <f t="shared" si="144"/>
        <v>384.62921487244125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124.6624842622076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124.6624842622076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4.1677594708744434E-14</v>
      </c>
      <c r="BF148" s="13">
        <f t="shared" si="145"/>
        <v>6.9326303456159188E-13</v>
      </c>
      <c r="BG148" s="20">
        <f t="shared" si="115"/>
        <v>1.2800215959791691E-12</v>
      </c>
      <c r="BH148" s="59">
        <f t="shared" si="116"/>
        <v>291.73887978219591</v>
      </c>
      <c r="BI148" s="59">
        <f ca="1">AVERAGE(OFFSET($BH$3,0,0,'Données projet'!$E$11+1,1))-AVERAGE(OFFSET($H$3,0,0,'Données projet'!$E$11+1,1))</f>
        <v>201.7253431547006</v>
      </c>
      <c r="BJ148" s="59">
        <f t="shared" si="146"/>
        <v>229.70004720044096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8.9636064521102767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8.9636064521102767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-1.2710188457276673E-13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462.09240749760784</v>
      </c>
      <c r="CE148" s="59">
        <f t="shared" si="148"/>
        <v>403.52202223463337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94.958291556023539</v>
      </c>
      <c r="CL148" s="21">
        <f>EXP(-LN(2)/25)*CL147+(1-EXP(-LN(2)/25))/(LN(2)/25)*Calculateur!CG148*Calculateur!CI148*VLOOKUP('Données projet'!$B$12,Paramètres!$A$1:$I$89,3,0)*0.475*44/12</f>
        <v>5.687431276620063</v>
      </c>
      <c r="CM148" s="21">
        <f>EXP(-LN(2)/2)*CM147+(1-EXP(-LN(2)/2))/(LN(2)/2)*CG148*CJ148*VLOOKUP('Données projet'!$B$12,Paramètres!$A$1:$I$89,3,0)*0.475*44/12</f>
        <v>2.8895474575256502E-9</v>
      </c>
      <c r="CN148" s="22">
        <f t="shared" si="120"/>
        <v>100.64572283553315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319.88925869887464</v>
      </c>
      <c r="CZ148" s="59">
        <f t="shared" si="150"/>
        <v>258.2857172412098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45.399817328964723</v>
      </c>
      <c r="DG148" s="21">
        <f>EXP(-LN(2)/25)*DG147+(1-EXP(-LN(2)/25))/(LN(2)/25)*Calculateur!DB148*Calculateur!DD148*VLOOKUP('Données projet'!$B$13,Paramètres!$A$1:$I$89,3,0)*0.475*44/12</f>
        <v>7.8819126210223187</v>
      </c>
      <c r="DH148" s="21">
        <f>EXP(-LN(2)/2)*DH147+(1-EXP(-LN(2)/2))/(LN(2)/2)*DB148*DE148*VLOOKUP('Données projet'!$B$13,Paramètres!$A$1:$I$89,3,0)*0.475*44/12</f>
        <v>6.9384009016303575E-9</v>
      </c>
      <c r="DI148" s="22">
        <f t="shared" si="123"/>
        <v>53.281729956925439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-5.6843418860808015E-13</v>
      </c>
      <c r="DP148" s="17">
        <f>DO148*VLOOKUP('Données projet'!$B$14,Paramètres!$A$1:$I$89,3,0)*VLOOKUP('Données projet'!$B$14,Paramètres!$A$1:$I$89,5,0)</f>
        <v>-3.39923644787632E-13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443.64905827069435</v>
      </c>
      <c r="DU148" s="59">
        <f t="shared" si="152"/>
        <v>381.14782516862385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59.191902128531545</v>
      </c>
      <c r="EB148" s="21">
        <f>EXP(-LN(2)/25)*EB147+(1-EXP(-LN(2)/25))/(LN(2)/25)*Calculateur!DW148*Calculateur!DY148*VLOOKUP('Données projet'!$B$14,Paramètres!$A$1:$I$89,3,0)*0.475*44/12</f>
        <v>6.8723110449929568</v>
      </c>
      <c r="EC148" s="21">
        <f>EXP(-LN(2)/2)*EC147+(1-EXP(-LN(2)/2))/(LN(2)/2)*DW148*DZ148*VLOOKUP('Données projet'!$B$14,Paramètres!$A$1:$I$89,3,0)*0.475*44/12</f>
        <v>1.6983990638663448E-9</v>
      </c>
      <c r="ED148" s="22">
        <f t="shared" si="126"/>
        <v>66.064213175222903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-3.4106051316484809E-13</v>
      </c>
      <c r="EK148" s="17">
        <f>EJ148*VLOOKUP('Données projet'!$B$15,Paramètres!$A$1:$I$89,3,0)*VLOOKUP('Données projet'!$B$15,Paramètres!$A$1:$I$89,5,0)</f>
        <v>-3.0859155231155454E-13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504.37890861635196</v>
      </c>
      <c r="EP148" s="59">
        <f t="shared" si="154"/>
        <v>611.82129317522913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12.989445095824394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12.989445095824394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-1.1368683772161603E-13</v>
      </c>
      <c r="FF148" s="17">
        <f>FE148*VLOOKUP('Données projet'!$B$16,Paramètres!$A$1:$I$89,3,0)*VLOOKUP('Données projet'!$B$16,Paramètres!$A$1:$I$89,5,0)</f>
        <v>-1.223725121235475E-13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334.01098870576732</v>
      </c>
      <c r="FK148" s="59">
        <f t="shared" si="156"/>
        <v>171.1802153303471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73.459104654932659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73.459104654932659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-1.7053025658242404E-13</v>
      </c>
      <c r="GA148" s="17">
        <f>FZ148*VLOOKUP('Données projet'!$B$17,Paramètres!$A$1:$I$89,3,0)*VLOOKUP('Données projet'!$B$17,Paramètres!$A$1:$I$89,5,0)</f>
        <v>-1.4897523215040567E-13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330.12856974146598</v>
      </c>
      <c r="GF148" s="59">
        <f t="shared" si="158"/>
        <v>321.23368446552286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32.330713031949628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32.330713031949628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69.565149031507616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-1.7053025658242404E-13</v>
      </c>
      <c r="GV148" s="17">
        <f>GU148*VLOOKUP('Données projet'!$B$18,Paramètres!$A$1:$I$89,3,0)*VLOOKUP('Données projet'!$B$18,Paramètres!$A$1:$I$89,5,0)</f>
        <v>-1.1439169611549005E-13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296.67751292332753</v>
      </c>
      <c r="HA148" s="59">
        <f t="shared" si="160"/>
        <v>197.99510031603018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77.693027587962845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77.693027587962845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1.1000000000000001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4.0333333333333341</v>
      </c>
      <c r="H149" s="67">
        <f t="shared" si="110"/>
        <v>240.5333333333333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-1.5429577615577727E-13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461.20962581398715</v>
      </c>
      <c r="T149" s="59">
        <f t="shared" si="142"/>
        <v>348.44322874953923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109.05599816894032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109.05599816894032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-1.72917680174578E-13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510.86584023875525</v>
      </c>
      <c r="AO149" s="59">
        <f t="shared" si="144"/>
        <v>384.62921487244125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122.21792898243312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122.21792898243312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4.1677594708744434E-14</v>
      </c>
      <c r="BF149" s="13">
        <f t="shared" si="145"/>
        <v>6.9326303456159188E-13</v>
      </c>
      <c r="BG149" s="20">
        <f t="shared" si="115"/>
        <v>1.2800215959791691E-12</v>
      </c>
      <c r="BH149" s="59">
        <f t="shared" si="116"/>
        <v>291.76653998664403</v>
      </c>
      <c r="BI149" s="59">
        <f ca="1">AVERAGE(OFFSET($BH$3,0,0,'Données projet'!$E$11+1,1))-AVERAGE(OFFSET($H$3,0,0,'Données projet'!$E$11+1,1))</f>
        <v>201.7253431547006</v>
      </c>
      <c r="BJ149" s="59">
        <f t="shared" si="146"/>
        <v>229.70004720044096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8.7878355968444826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8.7878355968444826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-1.2710188457276673E-13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462.09240749760784</v>
      </c>
      <c r="CE149" s="59">
        <f t="shared" si="148"/>
        <v>403.52202223463337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93.096217377448752</v>
      </c>
      <c r="CL149" s="21">
        <f>EXP(-LN(2)/25)*CL148+(1-EXP(-LN(2)/25))/(LN(2)/25)*Calculateur!CG149*Calculateur!CI149*VLOOKUP('Données projet'!$B$12,Paramètres!$A$1:$I$89,3,0)*0.475*44/12</f>
        <v>5.5319081692718752</v>
      </c>
      <c r="CM149" s="21">
        <f>EXP(-LN(2)/2)*CM148+(1-EXP(-LN(2)/2))/(LN(2)/2)*CG149*CJ149*VLOOKUP('Données projet'!$B$12,Paramètres!$A$1:$I$89,3,0)*0.475*44/12</f>
        <v>2.0432186017767346E-9</v>
      </c>
      <c r="CN149" s="22">
        <f t="shared" si="120"/>
        <v>98.628125548763848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319.88925869887464</v>
      </c>
      <c r="CZ149" s="59">
        <f t="shared" si="150"/>
        <v>258.2857172412098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44.509554602298017</v>
      </c>
      <c r="DG149" s="21">
        <f>EXP(-LN(2)/25)*DG148+(1-EXP(-LN(2)/25))/(LN(2)/25)*Calculateur!DB149*Calculateur!DD149*VLOOKUP('Données projet'!$B$13,Paramètres!$A$1:$I$89,3,0)*0.475*44/12</f>
        <v>7.6663813059086934</v>
      </c>
      <c r="DH149" s="21">
        <f>EXP(-LN(2)/2)*DH148+(1-EXP(-LN(2)/2))/(LN(2)/2)*DB149*DE149*VLOOKUP('Données projet'!$B$13,Paramètres!$A$1:$I$89,3,0)*0.475*44/12</f>
        <v>4.9061903281336812E-9</v>
      </c>
      <c r="DI149" s="22">
        <f t="shared" si="123"/>
        <v>52.175935913112902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-5.6843418860808015E-13</v>
      </c>
      <c r="DP149" s="17">
        <f>DO149*VLOOKUP('Données projet'!$B$14,Paramètres!$A$1:$I$89,3,0)*VLOOKUP('Données projet'!$B$14,Paramètres!$A$1:$I$89,5,0)</f>
        <v>-3.39923644787632E-13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443.64905827069435</v>
      </c>
      <c r="DU149" s="59">
        <f t="shared" si="152"/>
        <v>381.14782516862385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58.031185031286419</v>
      </c>
      <c r="EB149" s="21">
        <f>EXP(-LN(2)/25)*EB148+(1-EXP(-LN(2)/25))/(LN(2)/25)*Calculateur!DW149*Calculateur!DY149*VLOOKUP('Données projet'!$B$14,Paramètres!$A$1:$I$89,3,0)*0.475*44/12</f>
        <v>6.6843873380684933</v>
      </c>
      <c r="EC149" s="21">
        <f>EXP(-LN(2)/2)*EC148+(1-EXP(-LN(2)/2))/(LN(2)/2)*DW149*DZ149*VLOOKUP('Données projet'!$B$14,Paramètres!$A$1:$I$89,3,0)*0.475*44/12</f>
        <v>1.2009494952207766E-9</v>
      </c>
      <c r="ED149" s="22">
        <f t="shared" si="126"/>
        <v>64.715572370555861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-3.4106051316484809E-13</v>
      </c>
      <c r="EK149" s="17">
        <f>EJ149*VLOOKUP('Données projet'!$B$15,Paramètres!$A$1:$I$89,3,0)*VLOOKUP('Données projet'!$B$15,Paramètres!$A$1:$I$89,5,0)</f>
        <v>-3.0859155231155454E-13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504.37890861635196</v>
      </c>
      <c r="EP149" s="59">
        <f t="shared" si="154"/>
        <v>611.82129317522913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12.734730000274476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12.734730000274476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-1.1368683772161603E-13</v>
      </c>
      <c r="FF149" s="17">
        <f>FE149*VLOOKUP('Données projet'!$B$16,Paramètres!$A$1:$I$89,3,0)*VLOOKUP('Données projet'!$B$16,Paramètres!$A$1:$I$89,5,0)</f>
        <v>-1.223725121235475E-13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334.01098870576732</v>
      </c>
      <c r="FK149" s="59">
        <f t="shared" si="156"/>
        <v>171.1802153303471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72.01861641827908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72.01861641827908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-1.7053025658242404E-13</v>
      </c>
      <c r="GA149" s="17">
        <f>FZ149*VLOOKUP('Données projet'!$B$17,Paramètres!$A$1:$I$89,3,0)*VLOOKUP('Données projet'!$B$17,Paramètres!$A$1:$I$89,5,0)</f>
        <v>-1.4897523215040567E-13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330.12856974146598</v>
      </c>
      <c r="GF149" s="59">
        <f t="shared" si="158"/>
        <v>321.23368446552286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31.696727469180878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31.696727469180878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69.572692723629842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-1.7053025658242404E-13</v>
      </c>
      <c r="GV149" s="17">
        <f>GU149*VLOOKUP('Données projet'!$B$18,Paramètres!$A$1:$I$89,3,0)*VLOOKUP('Données projet'!$B$18,Paramètres!$A$1:$I$89,5,0)</f>
        <v>-1.1439169611549005E-13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296.67751292332753</v>
      </c>
      <c r="HA149" s="59">
        <f t="shared" si="160"/>
        <v>197.99510031603018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76.169514705030537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76.169514705030537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1.1000000000000001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4.0333333333333341</v>
      </c>
      <c r="H150" s="67">
        <f t="shared" si="110"/>
        <v>240.5333333333333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-1.5429577615577727E-13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461.20962581398715</v>
      </c>
      <c r="T150" s="59">
        <f t="shared" si="142"/>
        <v>348.44322874953923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106.91747656243821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106.91747656243821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-1.72917680174578E-13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510.86584023875525</v>
      </c>
      <c r="AO150" s="59">
        <f t="shared" si="144"/>
        <v>384.62921487244125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119.82130994066353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119.82130994066353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4.1677594708744434E-14</v>
      </c>
      <c r="BF150" s="13">
        <f t="shared" si="145"/>
        <v>6.9326303456159188E-13</v>
      </c>
      <c r="BG150" s="20">
        <f t="shared" si="115"/>
        <v>1.2800215959791691E-12</v>
      </c>
      <c r="BH150" s="59">
        <f t="shared" si="116"/>
        <v>291.793720348384</v>
      </c>
      <c r="BI150" s="59">
        <f ca="1">AVERAGE(OFFSET($BH$3,0,0,'Données projet'!$E$11+1,1))-AVERAGE(OFFSET($H$3,0,0,'Données projet'!$E$11+1,1))</f>
        <v>201.7253431547006</v>
      </c>
      <c r="BJ150" s="59">
        <f t="shared" si="146"/>
        <v>229.70004720044096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8.6155115008408156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8.6155115008408156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-1.2710188457276673E-13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462.09240749760784</v>
      </c>
      <c r="CE150" s="59">
        <f t="shared" si="148"/>
        <v>403.52202223463337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91.270657337762714</v>
      </c>
      <c r="CL150" s="21">
        <f>EXP(-LN(2)/25)*CL149+(1-EXP(-LN(2)/25))/(LN(2)/25)*Calculateur!CG150*Calculateur!CI150*VLOOKUP('Données projet'!$B$12,Paramètres!$A$1:$I$89,3,0)*0.475*44/12</f>
        <v>5.3806378494727287</v>
      </c>
      <c r="CM150" s="21">
        <f>EXP(-LN(2)/2)*CM149+(1-EXP(-LN(2)/2))/(LN(2)/2)*CG150*CJ150*VLOOKUP('Données projet'!$B$12,Paramètres!$A$1:$I$89,3,0)*0.475*44/12</f>
        <v>1.4447737287628251E-9</v>
      </c>
      <c r="CN150" s="22">
        <f t="shared" si="120"/>
        <v>96.651295188680223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319.88925869887464</v>
      </c>
      <c r="CZ150" s="59">
        <f t="shared" si="150"/>
        <v>258.2857172412098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43.636749384694603</v>
      </c>
      <c r="DG150" s="21">
        <f>EXP(-LN(2)/25)*DG149+(1-EXP(-LN(2)/25))/(LN(2)/25)*Calculateur!DB150*Calculateur!DD150*VLOOKUP('Données projet'!$B$13,Paramètres!$A$1:$I$89,3,0)*0.475*44/12</f>
        <v>7.4567437059411494</v>
      </c>
      <c r="DH150" s="21">
        <f>EXP(-LN(2)/2)*DH149+(1-EXP(-LN(2)/2))/(LN(2)/2)*DB150*DE150*VLOOKUP('Données projet'!$B$13,Paramètres!$A$1:$I$89,3,0)*0.475*44/12</f>
        <v>3.4692004508151788E-9</v>
      </c>
      <c r="DI150" s="22">
        <f t="shared" si="123"/>
        <v>51.093493094104957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-5.6843418860808015E-13</v>
      </c>
      <c r="DP150" s="17">
        <f>DO150*VLOOKUP('Données projet'!$B$14,Paramètres!$A$1:$I$89,3,0)*VLOOKUP('Données projet'!$B$14,Paramètres!$A$1:$I$89,5,0)</f>
        <v>-3.39923644787632E-13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443.64905827069435</v>
      </c>
      <c r="DU150" s="59">
        <f t="shared" si="152"/>
        <v>381.14782516862385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56.893228888350741</v>
      </c>
      <c r="EB150" s="21">
        <f>EXP(-LN(2)/25)*EB149+(1-EXP(-LN(2)/25))/(LN(2)/25)*Calculateur!DW150*Calculateur!DY150*VLOOKUP('Données projet'!$B$14,Paramètres!$A$1:$I$89,3,0)*0.475*44/12</f>
        <v>6.5016024147923579</v>
      </c>
      <c r="EC150" s="21">
        <f>EXP(-LN(2)/2)*EC149+(1-EXP(-LN(2)/2))/(LN(2)/2)*DW150*DZ150*VLOOKUP('Données projet'!$B$14,Paramètres!$A$1:$I$89,3,0)*0.475*44/12</f>
        <v>8.4919953193317238E-10</v>
      </c>
      <c r="ED150" s="22">
        <f t="shared" si="126"/>
        <v>63.394831303992298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-3.4106051316484809E-13</v>
      </c>
      <c r="EK150" s="17">
        <f>EJ150*VLOOKUP('Données projet'!$B$15,Paramètres!$A$1:$I$89,3,0)*VLOOKUP('Données projet'!$B$15,Paramètres!$A$1:$I$89,5,0)</f>
        <v>-3.0859155231155454E-13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504.37890861635196</v>
      </c>
      <c r="EP150" s="59">
        <f t="shared" si="154"/>
        <v>611.82129317522913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12.485009712387425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12.485009712387425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-1.1368683772161603E-13</v>
      </c>
      <c r="FF150" s="17">
        <f>FE150*VLOOKUP('Données projet'!$B$16,Paramètres!$A$1:$I$89,3,0)*VLOOKUP('Données projet'!$B$16,Paramètres!$A$1:$I$89,5,0)</f>
        <v>-1.223725121235475E-13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334.01098870576732</v>
      </c>
      <c r="FK150" s="59">
        <f t="shared" si="156"/>
        <v>171.1802153303471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70.606375277335204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70.606375277335204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-1.7053025658242404E-13</v>
      </c>
      <c r="GA150" s="17">
        <f>FZ150*VLOOKUP('Données projet'!$B$17,Paramètres!$A$1:$I$89,3,0)*VLOOKUP('Données projet'!$B$17,Paramètres!$A$1:$I$89,5,0)</f>
        <v>-1.4897523215040567E-13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330.12856974146598</v>
      </c>
      <c r="GF150" s="59">
        <f t="shared" si="158"/>
        <v>321.23368446552286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31.075173976605011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31.075173976605011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69.580105549558908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-1.7053025658242404E-13</v>
      </c>
      <c r="GV150" s="17">
        <f>GU150*VLOOKUP('Données projet'!$B$18,Paramètres!$A$1:$I$89,3,0)*VLOOKUP('Données projet'!$B$18,Paramètres!$A$1:$I$89,5,0)</f>
        <v>-1.1439169611549005E-13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296.67751292332753</v>
      </c>
      <c r="HA150" s="59">
        <f t="shared" si="160"/>
        <v>197.99510031603018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74.675876980481434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74.675876980481434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1.1000000000000001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4.0333333333333341</v>
      </c>
      <c r="H151" s="67">
        <f t="shared" si="110"/>
        <v>240.5333333333333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-1.5429577615577727E-13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461.20962581398715</v>
      </c>
      <c r="T151" s="59">
        <f t="shared" si="142"/>
        <v>348.44322874953923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104.82089006027023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104.82089006027023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-1.72917680174578E-13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510.86584023875525</v>
      </c>
      <c r="AO151" s="59">
        <f t="shared" si="144"/>
        <v>384.62921487244125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117.47168713650976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117.47168713650976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4.1677594708744434E-14</v>
      </c>
      <c r="BF151" s="13">
        <f t="shared" si="145"/>
        <v>6.9326303456159188E-13</v>
      </c>
      <c r="BG151" s="20">
        <f t="shared" si="115"/>
        <v>1.2800215959791691E-12</v>
      </c>
      <c r="BH151" s="59">
        <f t="shared" si="116"/>
        <v>291.82042919161387</v>
      </c>
      <c r="BI151" s="59">
        <f ca="1">AVERAGE(OFFSET($BH$3,0,0,'Données projet'!$E$11+1,1))-AVERAGE(OFFSET($H$3,0,0,'Données projet'!$E$11+1,1))</f>
        <v>201.7253431547006</v>
      </c>
      <c r="BJ151" s="59">
        <f t="shared" si="146"/>
        <v>229.70004720044096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8.4465665752524597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8.4465665752524597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-1.2710188457276673E-13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462.09240749760784</v>
      </c>
      <c r="CE151" s="59">
        <f t="shared" si="148"/>
        <v>403.52202223463337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89.48089541697324</v>
      </c>
      <c r="CL151" s="21">
        <f>EXP(-LN(2)/25)*CL150+(1-EXP(-LN(2)/25))/(LN(2)/25)*Calculateur!CG151*Calculateur!CI151*VLOOKUP('Données projet'!$B$12,Paramètres!$A$1:$I$89,3,0)*0.475*44/12</f>
        <v>5.2335040245234499</v>
      </c>
      <c r="CM151" s="21">
        <f>EXP(-LN(2)/2)*CM150+(1-EXP(-LN(2)/2))/(LN(2)/2)*CG151*CJ151*VLOOKUP('Données projet'!$B$12,Paramètres!$A$1:$I$89,3,0)*0.475*44/12</f>
        <v>1.0216093008883673E-9</v>
      </c>
      <c r="CN151" s="22">
        <f t="shared" si="120"/>
        <v>94.7143994425183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319.88925869887464</v>
      </c>
      <c r="CZ151" s="59">
        <f t="shared" si="150"/>
        <v>258.2857172412098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42.781059345049776</v>
      </c>
      <c r="DG151" s="21">
        <f>EXP(-LN(2)/25)*DG150+(1-EXP(-LN(2)/25))/(LN(2)/25)*Calculateur!DB151*Calculateur!DD151*VLOOKUP('Données projet'!$B$13,Paramètres!$A$1:$I$89,3,0)*0.475*44/12</f>
        <v>7.2528386571690797</v>
      </c>
      <c r="DH151" s="21">
        <f>EXP(-LN(2)/2)*DH150+(1-EXP(-LN(2)/2))/(LN(2)/2)*DB151*DE151*VLOOKUP('Données projet'!$B$13,Paramètres!$A$1:$I$89,3,0)*0.475*44/12</f>
        <v>2.4530951640668406E-9</v>
      </c>
      <c r="DI151" s="22">
        <f t="shared" si="123"/>
        <v>50.033898004671947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-5.6843418860808015E-13</v>
      </c>
      <c r="DP151" s="17">
        <f>DO151*VLOOKUP('Données projet'!$B$14,Paramètres!$A$1:$I$89,3,0)*VLOOKUP('Données projet'!$B$14,Paramètres!$A$1:$I$89,5,0)</f>
        <v>-3.39923644787632E-13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443.64905827069435</v>
      </c>
      <c r="DU151" s="59">
        <f t="shared" si="152"/>
        <v>381.14782516862385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55.777587371293322</v>
      </c>
      <c r="EB151" s="21">
        <f>EXP(-LN(2)/25)*EB150+(1-EXP(-LN(2)/25))/(LN(2)/25)*Calculateur!DW151*Calculateur!DY151*VLOOKUP('Données projet'!$B$14,Paramètres!$A$1:$I$89,3,0)*0.475*44/12</f>
        <v>6.3238157548554499</v>
      </c>
      <c r="EC151" s="21">
        <f>EXP(-LN(2)/2)*EC150+(1-EXP(-LN(2)/2))/(LN(2)/2)*DW151*DZ151*VLOOKUP('Données projet'!$B$14,Paramètres!$A$1:$I$89,3,0)*0.475*44/12</f>
        <v>6.0047474761038829E-10</v>
      </c>
      <c r="ED151" s="22">
        <f t="shared" si="126"/>
        <v>62.101403126749247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-3.4106051316484809E-13</v>
      </c>
      <c r="EK151" s="17">
        <f>EJ151*VLOOKUP('Données projet'!$B$15,Paramètres!$A$1:$I$89,3,0)*VLOOKUP('Données projet'!$B$15,Paramètres!$A$1:$I$89,5,0)</f>
        <v>-3.0859155231155454E-13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504.37890861635196</v>
      </c>
      <c r="EP151" s="59">
        <f t="shared" si="154"/>
        <v>611.82129317522913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12.240186287031504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12.240186287031504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-1.1368683772161603E-13</v>
      </c>
      <c r="FF151" s="17">
        <f>FE151*VLOOKUP('Données projet'!$B$16,Paramètres!$A$1:$I$89,3,0)*VLOOKUP('Données projet'!$B$16,Paramètres!$A$1:$I$89,5,0)</f>
        <v>-1.223725121235475E-13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334.01098870576732</v>
      </c>
      <c r="FK151" s="59">
        <f t="shared" si="156"/>
        <v>171.1802153303471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69.221827323783202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69.221827323783202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-1.7053025658242404E-13</v>
      </c>
      <c r="GA151" s="17">
        <f>FZ151*VLOOKUP('Données projet'!$B$17,Paramètres!$A$1:$I$89,3,0)*VLOOKUP('Données projet'!$B$17,Paramètres!$A$1:$I$89,5,0)</f>
        <v>-1.4897523215040567E-13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330.12856974146598</v>
      </c>
      <c r="GF151" s="59">
        <f t="shared" si="158"/>
        <v>321.23368446552286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30.465808768908364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30.465808768908364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69.587389779530696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-1.7053025658242404E-13</v>
      </c>
      <c r="GV151" s="17">
        <f>GU151*VLOOKUP('Données projet'!$B$18,Paramètres!$A$1:$I$89,3,0)*VLOOKUP('Données projet'!$B$18,Paramètres!$A$1:$I$89,5,0)</f>
        <v>-1.1439169611549005E-13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296.67751292332753</v>
      </c>
      <c r="HA151" s="59">
        <f t="shared" si="160"/>
        <v>197.99510031603018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73.211528580681687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73.211528580681687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1.1000000000000001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4.0333333333333341</v>
      </c>
      <c r="H152" s="67">
        <f t="shared" si="110"/>
        <v>240.5333333333333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-1.5429577615577727E-13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461.20962581398715</v>
      </c>
      <c r="T152" s="59">
        <f t="shared" si="142"/>
        <v>348.44322874953923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102.76541634061827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102.76541634061827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-1.72917680174578E-13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510.86584023875525</v>
      </c>
      <c r="AO152" s="59">
        <f t="shared" si="144"/>
        <v>384.62921487244125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115.16813900241704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115.16813900241704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4.1677594708744434E-14</v>
      </c>
      <c r="BF152" s="13">
        <f t="shared" si="145"/>
        <v>6.9326303456159188E-13</v>
      </c>
      <c r="BG152" s="20">
        <f t="shared" si="115"/>
        <v>1.2800215959791691E-12</v>
      </c>
      <c r="BH152" s="59">
        <f t="shared" si="116"/>
        <v>291.84667469612577</v>
      </c>
      <c r="BI152" s="59">
        <f ca="1">AVERAGE(OFFSET($BH$3,0,0,'Données projet'!$E$11+1,1))-AVERAGE(OFFSET($H$3,0,0,'Données projet'!$E$11+1,1))</f>
        <v>201.7253431547006</v>
      </c>
      <c r="BJ152" s="59">
        <f t="shared" si="146"/>
        <v>229.70004720044096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8.2809345566086616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8.2809345566086616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-1.2710188457276673E-13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462.09240749760784</v>
      </c>
      <c r="CE152" s="59">
        <f t="shared" si="148"/>
        <v>403.52202223463337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87.726229635803477</v>
      </c>
      <c r="CL152" s="21">
        <f>EXP(-LN(2)/25)*CL151+(1-EXP(-LN(2)/25))/(LN(2)/25)*Calculateur!CG152*Calculateur!CI152*VLOOKUP('Données projet'!$B$12,Paramètres!$A$1:$I$89,3,0)*0.475*44/12</f>
        <v>5.0903935817548405</v>
      </c>
      <c r="CM152" s="21">
        <f>EXP(-LN(2)/2)*CM151+(1-EXP(-LN(2)/2))/(LN(2)/2)*CG152*CJ152*VLOOKUP('Données projet'!$B$12,Paramètres!$A$1:$I$89,3,0)*0.475*44/12</f>
        <v>7.2238686438141254E-10</v>
      </c>
      <c r="CN152" s="22">
        <f t="shared" si="120"/>
        <v>92.816623218280697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319.88925869887464</v>
      </c>
      <c r="CZ152" s="59">
        <f t="shared" si="150"/>
        <v>258.2857172412098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41.942148865162991</v>
      </c>
      <c r="DG152" s="21">
        <f>EXP(-LN(2)/25)*DG151+(1-EXP(-LN(2)/25))/(LN(2)/25)*Calculateur!DB152*Calculateur!DD152*VLOOKUP('Données projet'!$B$13,Paramètres!$A$1:$I$89,3,0)*0.475*44/12</f>
        <v>7.0545094026785824</v>
      </c>
      <c r="DH152" s="21">
        <f>EXP(-LN(2)/2)*DH151+(1-EXP(-LN(2)/2))/(LN(2)/2)*DB152*DE152*VLOOKUP('Données projet'!$B$13,Paramètres!$A$1:$I$89,3,0)*0.475*44/12</f>
        <v>1.7346002254075894E-9</v>
      </c>
      <c r="DI152" s="22">
        <f t="shared" si="123"/>
        <v>48.996658269576173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-5.6843418860808015E-13</v>
      </c>
      <c r="DP152" s="17">
        <f>DO152*VLOOKUP('Données projet'!$B$14,Paramètres!$A$1:$I$89,3,0)*VLOOKUP('Données projet'!$B$14,Paramètres!$A$1:$I$89,5,0)</f>
        <v>-3.39923644787632E-13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443.64905827069435</v>
      </c>
      <c r="DU152" s="59">
        <f t="shared" si="152"/>
        <v>381.14782516862385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54.683822903911263</v>
      </c>
      <c r="EB152" s="21">
        <f>EXP(-LN(2)/25)*EB151+(1-EXP(-LN(2)/25))/(LN(2)/25)*Calculateur!DW152*Calculateur!DY152*VLOOKUP('Données projet'!$B$14,Paramètres!$A$1:$I$89,3,0)*0.475*44/12</f>
        <v>6.1508906804839105</v>
      </c>
      <c r="EC152" s="21">
        <f>EXP(-LN(2)/2)*EC151+(1-EXP(-LN(2)/2))/(LN(2)/2)*DW152*DZ152*VLOOKUP('Données projet'!$B$14,Paramètres!$A$1:$I$89,3,0)*0.475*44/12</f>
        <v>4.2459976596658619E-10</v>
      </c>
      <c r="ED152" s="22">
        <f t="shared" si="126"/>
        <v>60.834713584819774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-3.4106051316484809E-13</v>
      </c>
      <c r="EK152" s="17">
        <f>EJ152*VLOOKUP('Données projet'!$B$15,Paramètres!$A$1:$I$89,3,0)*VLOOKUP('Données projet'!$B$15,Paramètres!$A$1:$I$89,5,0)</f>
        <v>-3.0859155231155454E-13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504.37890861635196</v>
      </c>
      <c r="EP152" s="59">
        <f t="shared" si="154"/>
        <v>611.82129317522913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12.000163699719266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12.000163699719266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-1.1368683772161603E-13</v>
      </c>
      <c r="FF152" s="17">
        <f>FE152*VLOOKUP('Données projet'!$B$16,Paramètres!$A$1:$I$89,3,0)*VLOOKUP('Données projet'!$B$16,Paramètres!$A$1:$I$89,5,0)</f>
        <v>-1.223725121235475E-13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334.01098870576732</v>
      </c>
      <c r="FK152" s="59">
        <f t="shared" si="156"/>
        <v>171.1802153303471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67.864429511109492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67.864429511109492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-1.7053025658242404E-13</v>
      </c>
      <c r="GA152" s="17">
        <f>FZ152*VLOOKUP('Données projet'!$B$17,Paramètres!$A$1:$I$89,3,0)*VLOOKUP('Données projet'!$B$17,Paramètres!$A$1:$I$89,5,0)</f>
        <v>-1.4897523215040567E-13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330.12856974146598</v>
      </c>
      <c r="GF152" s="59">
        <f t="shared" si="158"/>
        <v>321.23368446552286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29.868392841258569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29.868392841258569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69.594547644397579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-1.7053025658242404E-13</v>
      </c>
      <c r="GV152" s="17">
        <f>GU152*VLOOKUP('Données projet'!$B$18,Paramètres!$A$1:$I$89,3,0)*VLOOKUP('Données projet'!$B$18,Paramètres!$A$1:$I$89,5,0)</f>
        <v>-1.1439169611549005E-13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296.67751292332753</v>
      </c>
      <c r="HA152" s="59">
        <f t="shared" si="160"/>
        <v>197.99510031603018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71.775895159837674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71.775895159837674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1.1000000000000001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4.0333333333333341</v>
      </c>
      <c r="H153" s="67">
        <f t="shared" si="110"/>
        <v>240.5333333333333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-1.5429577615577727E-13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461.20962581398715</v>
      </c>
      <c r="T153" s="59">
        <f t="shared" si="142"/>
        <v>348.44322874953923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100.75024920689351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100.75024920689351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-1.72917680174578E-13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510.86584023875525</v>
      </c>
      <c r="AO153" s="59">
        <f t="shared" si="144"/>
        <v>384.62921487244125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112.90976204220824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112.90976204220824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4.1677594708744434E-14</v>
      </c>
      <c r="BF153" s="13">
        <f t="shared" si="145"/>
        <v>6.9326303456159188E-13</v>
      </c>
      <c r="BG153" s="20">
        <f t="shared" si="115"/>
        <v>1.2800215959791691E-12</v>
      </c>
      <c r="BH153" s="59">
        <f t="shared" si="116"/>
        <v>291.87246489981061</v>
      </c>
      <c r="BI153" s="59">
        <f ca="1">AVERAGE(OFFSET($BH$3,0,0,'Données projet'!$E$11+1,1))-AVERAGE(OFFSET($H$3,0,0,'Données projet'!$E$11+1,1))</f>
        <v>201.7253431547006</v>
      </c>
      <c r="BJ153" s="59">
        <f t="shared" si="146"/>
        <v>229.70004720044096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8.1185504808249132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8.1185504808249132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-1.2710188457276673E-13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462.09240749760784</v>
      </c>
      <c r="CE153" s="59">
        <f t="shared" si="148"/>
        <v>403.52202223463337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86.005971780362003</v>
      </c>
      <c r="CL153" s="21">
        <f>EXP(-LN(2)/25)*CL152+(1-EXP(-LN(2)/25))/(LN(2)/25)*Calculateur!CG153*Calculateur!CI153*VLOOKUP('Données projet'!$B$12,Paramètres!$A$1:$I$89,3,0)*0.475*44/12</f>
        <v>4.9511965015695898</v>
      </c>
      <c r="CM153" s="21">
        <f>EXP(-LN(2)/2)*CM152+(1-EXP(-LN(2)/2))/(LN(2)/2)*CG153*CJ153*VLOOKUP('Données projet'!$B$12,Paramètres!$A$1:$I$89,3,0)*0.475*44/12</f>
        <v>5.1080465044418365E-10</v>
      </c>
      <c r="CN153" s="22">
        <f t="shared" si="120"/>
        <v>90.957168282442396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319.88925869887464</v>
      </c>
      <c r="CZ153" s="59">
        <f t="shared" si="150"/>
        <v>258.2857172412098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41.119688908101921</v>
      </c>
      <c r="DG153" s="21">
        <f>EXP(-LN(2)/25)*DG152+(1-EXP(-LN(2)/25))/(LN(2)/25)*Calculateur!DB153*Calculateur!DD153*VLOOKUP('Données projet'!$B$13,Paramètres!$A$1:$I$89,3,0)*0.475*44/12</f>
        <v>6.8616034720818107</v>
      </c>
      <c r="DH153" s="21">
        <f>EXP(-LN(2)/2)*DH152+(1-EXP(-LN(2)/2))/(LN(2)/2)*DB153*DE153*VLOOKUP('Données projet'!$B$13,Paramètres!$A$1:$I$89,3,0)*0.475*44/12</f>
        <v>1.2265475820334203E-9</v>
      </c>
      <c r="DI153" s="22">
        <f t="shared" si="123"/>
        <v>47.981292381410277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-5.6843418860808015E-13</v>
      </c>
      <c r="DP153" s="17">
        <f>DO153*VLOOKUP('Données projet'!$B$14,Paramètres!$A$1:$I$89,3,0)*VLOOKUP('Données projet'!$B$14,Paramètres!$A$1:$I$89,5,0)</f>
        <v>-3.39923644787632E-13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443.64905827069435</v>
      </c>
      <c r="DU153" s="59">
        <f t="shared" si="152"/>
        <v>381.14782516862385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53.611506490604114</v>
      </c>
      <c r="EB153" s="21">
        <f>EXP(-LN(2)/25)*EB152+(1-EXP(-LN(2)/25))/(LN(2)/25)*Calculateur!DW153*Calculateur!DY153*VLOOKUP('Données projet'!$B$14,Paramètres!$A$1:$I$89,3,0)*0.475*44/12</f>
        <v>5.9826942513647952</v>
      </c>
      <c r="EC153" s="21">
        <f>EXP(-LN(2)/2)*EC152+(1-EXP(-LN(2)/2))/(LN(2)/2)*DW153*DZ153*VLOOKUP('Données projet'!$B$14,Paramètres!$A$1:$I$89,3,0)*0.475*44/12</f>
        <v>3.0023737380519414E-10</v>
      </c>
      <c r="ED153" s="22">
        <f t="shared" si="126"/>
        <v>59.594200742269152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-3.4106051316484809E-13</v>
      </c>
      <c r="EK153" s="17">
        <f>EJ153*VLOOKUP('Données projet'!$B$15,Paramètres!$A$1:$I$89,3,0)*VLOOKUP('Données projet'!$B$15,Paramètres!$A$1:$I$89,5,0)</f>
        <v>-3.0859155231155454E-13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504.37890861635196</v>
      </c>
      <c r="EP153" s="59">
        <f t="shared" si="154"/>
        <v>611.82129317522913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11.7648478089449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11.7648478089449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-1.1368683772161603E-13</v>
      </c>
      <c r="FF153" s="17">
        <f>FE153*VLOOKUP('Données projet'!$B$16,Paramètres!$A$1:$I$89,3,0)*VLOOKUP('Données projet'!$B$16,Paramètres!$A$1:$I$89,5,0)</f>
        <v>-1.223725121235475E-13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334.01098870576732</v>
      </c>
      <c r="FK153" s="59">
        <f t="shared" si="156"/>
        <v>171.1802153303471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66.533649441611402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66.533649441611402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-1.7053025658242404E-13</v>
      </c>
      <c r="GA153" s="17">
        <f>FZ153*VLOOKUP('Données projet'!$B$17,Paramètres!$A$1:$I$89,3,0)*VLOOKUP('Données projet'!$B$17,Paramètres!$A$1:$I$89,5,0)</f>
        <v>-1.4897523215040567E-13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330.12856974146598</v>
      </c>
      <c r="GF153" s="59">
        <f t="shared" si="158"/>
        <v>321.23368446552286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29.28269187556225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29.28269187556225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69.601581336311625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-1.7053025658242404E-13</v>
      </c>
      <c r="GV153" s="17">
        <f>GU153*VLOOKUP('Données projet'!$B$18,Paramètres!$A$1:$I$89,3,0)*VLOOKUP('Données projet'!$B$18,Paramètres!$A$1:$I$89,5,0)</f>
        <v>-1.1439169611549005E-13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296.67751292332753</v>
      </c>
      <c r="HA153" s="59">
        <f t="shared" si="160"/>
        <v>197.99510031603018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70.368413634726494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70.368413634726494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1.1000000000000001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4.0333333333333341</v>
      </c>
      <c r="H154" s="67">
        <f t="shared" si="110"/>
        <v>240.5333333333333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-1.5429577615577727E-13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461.20962581398715</v>
      </c>
      <c r="T154" s="59">
        <f t="shared" si="142"/>
        <v>348.44322874953923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98.774598271530508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98.774598271530508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-1.72917680174578E-13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510.86584023875525</v>
      </c>
      <c r="AO154" s="59">
        <f t="shared" si="144"/>
        <v>384.62921487244125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110.69567047671522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110.69567047671522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4.1677594708744434E-14</v>
      </c>
      <c r="BF154" s="13">
        <f t="shared" ref="BF154:BF203" si="167">EXP(-1.0587+0.8836*LN(BE154)+0.284)</f>
        <v>6.9326303456159188E-13</v>
      </c>
      <c r="BG154" s="20">
        <f t="shared" ref="BG154:BG203" si="168">(BE154+BF154)*0.475*44/12</f>
        <v>1.2800215959791691E-12</v>
      </c>
      <c r="BH154" s="59">
        <f t="shared" si="116"/>
        <v>291.89780770111963</v>
      </c>
      <c r="BI154" s="59">
        <f ca="1">AVERAGE(OFFSET($BH$3,0,0,'Données projet'!$E$11+1,1))-AVERAGE(OFFSET($H$3,0,0,'Données projet'!$E$11+1,1))</f>
        <v>201.7253431547006</v>
      </c>
      <c r="BJ154" s="59">
        <f t="shared" si="146"/>
        <v>229.70004720044096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7.9593506577227773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7.9593506577227773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-1.2710188457276673E-13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462.09240749760784</v>
      </c>
      <c r="CE154" s="59">
        <f t="shared" si="148"/>
        <v>403.52202223463337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84.319447132212048</v>
      </c>
      <c r="CL154" s="21">
        <f>EXP(-LN(2)/25)*CL153+(1-EXP(-LN(2)/25))/(LN(2)/25)*Calculateur!CG154*Calculateur!CI154*VLOOKUP('Données projet'!$B$12,Paramètres!$A$1:$I$89,3,0)*0.475*44/12</f>
        <v>4.8158057728620616</v>
      </c>
      <c r="CM154" s="21">
        <f>EXP(-LN(2)/2)*CM153+(1-EXP(-LN(2)/2))/(LN(2)/2)*CG154*CJ154*VLOOKUP('Données projet'!$B$12,Paramètres!$A$1:$I$89,3,0)*0.475*44/12</f>
        <v>3.6119343219070627E-10</v>
      </c>
      <c r="CN154" s="22">
        <f t="shared" ref="CN154:CN203" si="172">SUM(CK154:CM154)</f>
        <v>89.135252905435308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319.88925869887464</v>
      </c>
      <c r="CZ154" s="59">
        <f t="shared" si="150"/>
        <v>258.2857172412098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40.313356889147776</v>
      </c>
      <c r="DG154" s="21">
        <f>EXP(-LN(2)/25)*DG153+(1-EXP(-LN(2)/25))/(LN(2)/25)*Calculateur!DB154*Calculateur!DD154*VLOOKUP('Données projet'!$B$13,Paramètres!$A$1:$I$89,3,0)*0.475*44/12</f>
        <v>6.6739725643016889</v>
      </c>
      <c r="DH154" s="21">
        <f>EXP(-LN(2)/2)*DH153+(1-EXP(-LN(2)/2))/(LN(2)/2)*DB154*DE154*VLOOKUP('Données projet'!$B$13,Paramètres!$A$1:$I$89,3,0)*0.475*44/12</f>
        <v>8.6730011270379469E-10</v>
      </c>
      <c r="DI154" s="22">
        <f t="shared" ref="DI154:DI203" si="175">SUM(DF154:DH154)</f>
        <v>46.987329454316765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-5.6843418860808015E-13</v>
      </c>
      <c r="DP154" s="17">
        <f>DO154*VLOOKUP('Données projet'!$B$14,Paramètres!$A$1:$I$89,3,0)*VLOOKUP('Données projet'!$B$14,Paramètres!$A$1:$I$89,5,0)</f>
        <v>-3.39923644787632E-13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443.64905827069435</v>
      </c>
      <c r="DU154" s="59">
        <f t="shared" si="152"/>
        <v>381.14782516862385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52.560217548113492</v>
      </c>
      <c r="EB154" s="21">
        <f>EXP(-LN(2)/25)*EB153+(1-EXP(-LN(2)/25))/(LN(2)/25)*Calculateur!DW154*Calculateur!DY154*VLOOKUP('Données projet'!$B$14,Paramètres!$A$1:$I$89,3,0)*0.475*44/12</f>
        <v>5.8190971624450079</v>
      </c>
      <c r="EC154" s="21">
        <f>EXP(-LN(2)/2)*EC153+(1-EXP(-LN(2)/2))/(LN(2)/2)*DW154*DZ154*VLOOKUP('Données projet'!$B$14,Paramètres!$A$1:$I$89,3,0)*0.475*44/12</f>
        <v>2.1229988298329309E-10</v>
      </c>
      <c r="ED154" s="22">
        <f t="shared" ref="ED154:ED203" si="178">SUM(EA154:EC154)</f>
        <v>58.379314710770807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-3.4106051316484809E-13</v>
      </c>
      <c r="EK154" s="17">
        <f>EJ154*VLOOKUP('Données projet'!$B$15,Paramètres!$A$1:$I$89,3,0)*VLOOKUP('Données projet'!$B$15,Paramètres!$A$1:$I$89,5,0)</f>
        <v>-3.0859155231155454E-13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504.37890861635196</v>
      </c>
      <c r="EP154" s="59">
        <f t="shared" si="154"/>
        <v>611.82129317522913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11.534146319260097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11.534146319260097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-1.1368683772161603E-13</v>
      </c>
      <c r="FF154" s="17">
        <f>FE154*VLOOKUP('Données projet'!$B$16,Paramètres!$A$1:$I$89,3,0)*VLOOKUP('Données projet'!$B$16,Paramètres!$A$1:$I$89,5,0)</f>
        <v>-1.223725121235475E-13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334.01098870576732</v>
      </c>
      <c r="FK154" s="59">
        <f t="shared" si="156"/>
        <v>171.1802153303471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65.228965157580475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65.228965157580475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-1.7053025658242404E-13</v>
      </c>
      <c r="GA154" s="17">
        <f>FZ154*VLOOKUP('Données projet'!$B$17,Paramètres!$A$1:$I$89,3,0)*VLOOKUP('Données projet'!$B$17,Paramètres!$A$1:$I$89,5,0)</f>
        <v>-1.4897523215040567E-13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330.12856974146598</v>
      </c>
      <c r="GF154" s="59">
        <f t="shared" si="158"/>
        <v>321.23368446552286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28.708476148560923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28.708476148560923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69.608493009395914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-1.7053025658242404E-13</v>
      </c>
      <c r="GV154" s="17">
        <f>GU154*VLOOKUP('Données projet'!$B$18,Paramètres!$A$1:$I$89,3,0)*VLOOKUP('Données projet'!$B$18,Paramètres!$A$1:$I$89,5,0)</f>
        <v>-1.1439169611549005E-13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296.67751292332753</v>
      </c>
      <c r="HA154" s="59">
        <f t="shared" si="160"/>
        <v>197.99510031603018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68.988531963843784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68.988531963843784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1.1000000000000001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4.0333333333333341</v>
      </c>
      <c r="H155" s="67">
        <f t="shared" si="110"/>
        <v>240.5333333333333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-1.5429577615577727E-13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461.20962581398715</v>
      </c>
      <c r="T155" s="59">
        <f t="shared" si="142"/>
        <v>348.44322874953923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96.837688645981885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96.837688645981885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-1.72917680174578E-13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510.86584023875525</v>
      </c>
      <c r="AO155" s="59">
        <f t="shared" si="144"/>
        <v>384.62921487244125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108.524995896359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108.524995896359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4.1677594708744434E-14</v>
      </c>
      <c r="BF155" s="13">
        <f t="shared" si="167"/>
        <v>6.9326303456159188E-13</v>
      </c>
      <c r="BG155" s="20">
        <f t="shared" si="168"/>
        <v>1.2800215959791691E-12</v>
      </c>
      <c r="BH155" s="59">
        <f t="shared" si="116"/>
        <v>291.92271086148412</v>
      </c>
      <c r="BI155" s="59">
        <f ca="1">AVERAGE(OFFSET($BH$3,0,0,'Données projet'!$E$11+1,1))-AVERAGE(OFFSET($H$3,0,0,'Données projet'!$E$11+1,1))</f>
        <v>201.7253431547006</v>
      </c>
      <c r="BJ155" s="59">
        <f t="shared" si="146"/>
        <v>229.70004720044096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7.8032726460493702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7.8032726460493702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-1.2710188457276673E-13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462.09240749760784</v>
      </c>
      <c r="CE155" s="59">
        <f t="shared" si="148"/>
        <v>403.52202223463337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82.665994203733845</v>
      </c>
      <c r="CL155" s="21">
        <f>EXP(-LN(2)/25)*CL154+(1-EXP(-LN(2)/25))/(LN(2)/25)*Calculateur!CG155*Calculateur!CI155*VLOOKUP('Données projet'!$B$12,Paramètres!$A$1:$I$89,3,0)*0.475*44/12</f>
        <v>4.6841173107509295</v>
      </c>
      <c r="CM155" s="21">
        <f>EXP(-LN(2)/2)*CM154+(1-EXP(-LN(2)/2))/(LN(2)/2)*CG155*CJ155*VLOOKUP('Données projet'!$B$12,Paramètres!$A$1:$I$89,3,0)*0.475*44/12</f>
        <v>2.5540232522209183E-10</v>
      </c>
      <c r="CN155" s="22">
        <f t="shared" si="172"/>
        <v>87.350111514740178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319.88925869887464</v>
      </c>
      <c r="CZ155" s="59">
        <f t="shared" si="150"/>
        <v>258.2857172412098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39.522836549271354</v>
      </c>
      <c r="DG155" s="21">
        <f>EXP(-LN(2)/25)*DG154+(1-EXP(-LN(2)/25))/(LN(2)/25)*Calculateur!DB155*Calculateur!DD155*VLOOKUP('Données projet'!$B$13,Paramètres!$A$1:$I$89,3,0)*0.475*44/12</f>
        <v>6.4914724335618956</v>
      </c>
      <c r="DH155" s="21">
        <f>EXP(-LN(2)/2)*DH154+(1-EXP(-LN(2)/2))/(LN(2)/2)*DB155*DE155*VLOOKUP('Données projet'!$B$13,Paramètres!$A$1:$I$89,3,0)*0.475*44/12</f>
        <v>6.1327379101671015E-10</v>
      </c>
      <c r="DI155" s="22">
        <f t="shared" si="175"/>
        <v>46.014308983446526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-5.6843418860808015E-13</v>
      </c>
      <c r="DP155" s="17">
        <f>DO155*VLOOKUP('Données projet'!$B$14,Paramètres!$A$1:$I$89,3,0)*VLOOKUP('Données projet'!$B$14,Paramètres!$A$1:$I$89,5,0)</f>
        <v>-3.39923644787632E-13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443.64905827069435</v>
      </c>
      <c r="DU155" s="59">
        <f t="shared" si="152"/>
        <v>381.14782516862385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51.529543740562168</v>
      </c>
      <c r="EB155" s="21">
        <f>EXP(-LN(2)/25)*EB154+(1-EXP(-LN(2)/25))/(LN(2)/25)*Calculateur!DW155*Calculateur!DY155*VLOOKUP('Données projet'!$B$14,Paramètres!$A$1:$I$89,3,0)*0.475*44/12</f>
        <v>5.6599736445249293</v>
      </c>
      <c r="EC155" s="21">
        <f>EXP(-LN(2)/2)*EC154+(1-EXP(-LN(2)/2))/(LN(2)/2)*DW155*DZ155*VLOOKUP('Données projet'!$B$14,Paramètres!$A$1:$I$89,3,0)*0.475*44/12</f>
        <v>1.5011868690259707E-10</v>
      </c>
      <c r="ED155" s="22">
        <f t="shared" si="178"/>
        <v>57.189517385237217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-3.4106051316484809E-13</v>
      </c>
      <c r="EK155" s="17">
        <f>EJ155*VLOOKUP('Données projet'!$B$15,Paramètres!$A$1:$I$89,3,0)*VLOOKUP('Données projet'!$B$15,Paramètres!$A$1:$I$89,5,0)</f>
        <v>-3.0859155231155454E-13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504.37890861635196</v>
      </c>
      <c r="EP155" s="59">
        <f t="shared" si="154"/>
        <v>611.82129317522913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11.307968745074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11.307968745074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-1.1368683772161603E-13</v>
      </c>
      <c r="FF155" s="17">
        <f>FE155*VLOOKUP('Données projet'!$B$16,Paramètres!$A$1:$I$89,3,0)*VLOOKUP('Données projet'!$B$16,Paramètres!$A$1:$I$89,5,0)</f>
        <v>-1.223725121235475E-13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334.01098870576732</v>
      </c>
      <c r="FK155" s="59">
        <f t="shared" si="156"/>
        <v>171.1802153303471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63.949864936580553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63.949864936580553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-1.7053025658242404E-13</v>
      </c>
      <c r="GA155" s="17">
        <f>FZ155*VLOOKUP('Données projet'!$B$17,Paramètres!$A$1:$I$89,3,0)*VLOOKUP('Données projet'!$B$17,Paramètres!$A$1:$I$89,5,0)</f>
        <v>-1.4897523215040567E-13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330.12856974146598</v>
      </c>
      <c r="GF155" s="59">
        <f t="shared" si="158"/>
        <v>321.23368446552286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28.145520441729083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28.145520441729083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69.615284780404394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-1.7053025658242404E-13</v>
      </c>
      <c r="GV155" s="17">
        <f>GU155*VLOOKUP('Données projet'!$B$18,Paramètres!$A$1:$I$89,3,0)*VLOOKUP('Données projet'!$B$18,Paramètres!$A$1:$I$89,5,0)</f>
        <v>-1.1439169611549005E-13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296.67751292332753</v>
      </c>
      <c r="HA155" s="59">
        <f t="shared" si="160"/>
        <v>197.99510031603018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67.635708930882359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67.635708930882359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1.1000000000000001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4.0333333333333341</v>
      </c>
      <c r="H156" s="67">
        <f t="shared" si="110"/>
        <v>240.5333333333333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-1.5429577615577727E-13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461.20962581398715</v>
      </c>
      <c r="T156" s="59">
        <f t="shared" si="142"/>
        <v>348.44322874953923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94.938760636792054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94.938760636792054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-1.72917680174578E-13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510.86584023875525</v>
      </c>
      <c r="AO156" s="59">
        <f t="shared" si="144"/>
        <v>384.62921487244125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106.39688692054281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106.39688692054281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4.1677594708744434E-14</v>
      </c>
      <c r="BF156" s="13">
        <f t="shared" si="167"/>
        <v>6.9326303456159188E-13</v>
      </c>
      <c r="BG156" s="20">
        <f t="shared" si="168"/>
        <v>1.2800215959791691E-12</v>
      </c>
      <c r="BH156" s="59">
        <f t="shared" si="116"/>
        <v>291.94718200769137</v>
      </c>
      <c r="BI156" s="59">
        <f ca="1">AVERAGE(OFFSET($BH$3,0,0,'Données projet'!$E$11+1,1))-AVERAGE(OFFSET($H$3,0,0,'Données projet'!$E$11+1,1))</f>
        <v>201.7253431547006</v>
      </c>
      <c r="BJ156" s="59">
        <f t="shared" si="146"/>
        <v>229.70004720044096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7.6502552289866923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7.6502552289866923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-1.2710188457276673E-13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462.09240749760784</v>
      </c>
      <c r="CE156" s="59">
        <f t="shared" si="148"/>
        <v>403.52202223463337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81.044964478676405</v>
      </c>
      <c r="CL156" s="21">
        <f>EXP(-LN(2)/25)*CL155+(1-EXP(-LN(2)/25))/(LN(2)/25)*Calculateur!CG156*Calculateur!CI156*VLOOKUP('Données projet'!$B$12,Paramètres!$A$1:$I$89,3,0)*0.475*44/12</f>
        <v>4.5560298765614213</v>
      </c>
      <c r="CM156" s="21">
        <f>EXP(-LN(2)/2)*CM155+(1-EXP(-LN(2)/2))/(LN(2)/2)*CG156*CJ156*VLOOKUP('Données projet'!$B$12,Paramètres!$A$1:$I$89,3,0)*0.475*44/12</f>
        <v>1.8059671609535313E-10</v>
      </c>
      <c r="CN156" s="22">
        <f t="shared" si="172"/>
        <v>85.600994355418422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319.88925869887464</v>
      </c>
      <c r="CZ156" s="59">
        <f t="shared" si="150"/>
        <v>258.2857172412098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38.74781783109011</v>
      </c>
      <c r="DG156" s="21">
        <f>EXP(-LN(2)/25)*DG155+(1-EXP(-LN(2)/25))/(LN(2)/25)*Calculateur!DB156*Calculateur!DD156*VLOOKUP('Données projet'!$B$13,Paramètres!$A$1:$I$89,3,0)*0.475*44/12</f>
        <v>6.3139627784944468</v>
      </c>
      <c r="DH156" s="21">
        <f>EXP(-LN(2)/2)*DH155+(1-EXP(-LN(2)/2))/(LN(2)/2)*DB156*DE156*VLOOKUP('Données projet'!$B$13,Paramètres!$A$1:$I$89,3,0)*0.475*44/12</f>
        <v>4.3365005635189734E-10</v>
      </c>
      <c r="DI156" s="22">
        <f t="shared" si="175"/>
        <v>45.061780610018211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-5.6843418860808015E-13</v>
      </c>
      <c r="DP156" s="17">
        <f>DO156*VLOOKUP('Données projet'!$B$14,Paramètres!$A$1:$I$89,3,0)*VLOOKUP('Données projet'!$B$14,Paramètres!$A$1:$I$89,5,0)</f>
        <v>-3.39923644787632E-13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443.64905827069435</v>
      </c>
      <c r="DU156" s="59">
        <f t="shared" si="152"/>
        <v>381.14782516862385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50.519080817727982</v>
      </c>
      <c r="EB156" s="21">
        <f>EXP(-LN(2)/25)*EB155+(1-EXP(-LN(2)/25))/(LN(2)/25)*Calculateur!DW156*Calculateur!DY156*VLOOKUP('Données projet'!$B$14,Paramètres!$A$1:$I$89,3,0)*0.475*44/12</f>
        <v>5.5052013675703169</v>
      </c>
      <c r="EC156" s="21">
        <f>EXP(-LN(2)/2)*EC155+(1-EXP(-LN(2)/2))/(LN(2)/2)*DW156*DZ156*VLOOKUP('Données projet'!$B$14,Paramètres!$A$1:$I$89,3,0)*0.475*44/12</f>
        <v>1.0614994149164655E-10</v>
      </c>
      <c r="ED156" s="22">
        <f t="shared" si="178"/>
        <v>56.024282185404445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-3.4106051316484809E-13</v>
      </c>
      <c r="EK156" s="17">
        <f>EJ156*VLOOKUP('Données projet'!$B$15,Paramètres!$A$1:$I$89,3,0)*VLOOKUP('Données projet'!$B$15,Paramètres!$A$1:$I$89,5,0)</f>
        <v>-3.0859155231155454E-13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504.37890861635196</v>
      </c>
      <c r="EP156" s="59">
        <f t="shared" si="154"/>
        <v>611.82129317522913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11.086226375162994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11.086226375162994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-1.1368683772161603E-13</v>
      </c>
      <c r="FF156" s="17">
        <f>FE156*VLOOKUP('Données projet'!$B$16,Paramètres!$A$1:$I$89,3,0)*VLOOKUP('Données projet'!$B$16,Paramètres!$A$1:$I$89,5,0)</f>
        <v>-1.223725121235475E-13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334.01098870576732</v>
      </c>
      <c r="FK156" s="59">
        <f t="shared" si="156"/>
        <v>171.1802153303471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62.695847090740344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62.695847090740344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-1.7053025658242404E-13</v>
      </c>
      <c r="GA156" s="17">
        <f>FZ156*VLOOKUP('Données projet'!$B$17,Paramètres!$A$1:$I$89,3,0)*VLOOKUP('Données projet'!$B$17,Paramètres!$A$1:$I$89,5,0)</f>
        <v>-1.4897523215040567E-13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330.12856974146598</v>
      </c>
      <c r="GF156" s="59">
        <f t="shared" si="158"/>
        <v>321.23368446552286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27.593603952939137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27.593603952939137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69.621958729370007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-1.7053025658242404E-13</v>
      </c>
      <c r="GV156" s="17">
        <f>GU156*VLOOKUP('Données projet'!$B$18,Paramètres!$A$1:$I$89,3,0)*VLOOKUP('Données projet'!$B$18,Paramètres!$A$1:$I$89,5,0)</f>
        <v>-1.1439169611549005E-13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296.67751292332753</v>
      </c>
      <c r="HA156" s="59">
        <f t="shared" si="160"/>
        <v>197.99510031603018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66.309413932456735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66.309413932456735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1.1000000000000001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4.0333333333333341</v>
      </c>
      <c r="H157" s="67">
        <f t="shared" si="110"/>
        <v>240.5333333333333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-1.5429577615577727E-13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461.20962581398715</v>
      </c>
      <c r="T157" s="59">
        <f t="shared" si="142"/>
        <v>348.44322874953923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93.07706944763072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93.07706944763072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-1.72917680174578E-13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510.86584023875525</v>
      </c>
      <c r="AO157" s="59">
        <f t="shared" si="144"/>
        <v>384.62921487244125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104.31050886372407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104.31050886372407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4.1677594708744434E-14</v>
      </c>
      <c r="BF157" s="13">
        <f t="shared" si="167"/>
        <v>6.9326303456159188E-13</v>
      </c>
      <c r="BG157" s="20">
        <f t="shared" si="168"/>
        <v>1.2800215959791691E-12</v>
      </c>
      <c r="BH157" s="59">
        <f t="shared" si="116"/>
        <v>291.97122863422112</v>
      </c>
      <c r="BI157" s="59">
        <f ca="1">AVERAGE(OFFSET($BH$3,0,0,'Données projet'!$E$11+1,1))-AVERAGE(OFFSET($H$3,0,0,'Données projet'!$E$11+1,1))</f>
        <v>201.7253431547006</v>
      </c>
      <c r="BJ157" s="59">
        <f t="shared" si="146"/>
        <v>229.70004720044096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7.5002383901412042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7.5002383901412042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-1.2710188457276673E-13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462.09240749760784</v>
      </c>
      <c r="CE157" s="59">
        <f t="shared" si="148"/>
        <v>403.52202223463337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79.455722157796828</v>
      </c>
      <c r="CL157" s="21">
        <f>EXP(-LN(2)/25)*CL156+(1-EXP(-LN(2)/25))/(LN(2)/25)*Calculateur!CG157*Calculateur!CI157*VLOOKUP('Données projet'!$B$12,Paramètres!$A$1:$I$89,3,0)*0.475*44/12</f>
        <v>4.4314449999956507</v>
      </c>
      <c r="CM157" s="21">
        <f>EXP(-LN(2)/2)*CM156+(1-EXP(-LN(2)/2))/(LN(2)/2)*CG157*CJ157*VLOOKUP('Données projet'!$B$12,Paramètres!$A$1:$I$89,3,0)*0.475*44/12</f>
        <v>1.2770116261104591E-10</v>
      </c>
      <c r="CN157" s="22">
        <f t="shared" si="172"/>
        <v>83.887167157920175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319.88925869887464</v>
      </c>
      <c r="CZ157" s="59">
        <f t="shared" si="150"/>
        <v>258.2857172412098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37.987996757257662</v>
      </c>
      <c r="DG157" s="21">
        <f>EXP(-LN(2)/25)*DG156+(1-EXP(-LN(2)/25))/(LN(2)/25)*Calculateur!DB157*Calculateur!DD157*VLOOKUP('Données projet'!$B$13,Paramètres!$A$1:$I$89,3,0)*0.475*44/12</f>
        <v>6.1413071342796446</v>
      </c>
      <c r="DH157" s="21">
        <f>EXP(-LN(2)/2)*DH156+(1-EXP(-LN(2)/2))/(LN(2)/2)*DB157*DE157*VLOOKUP('Données projet'!$B$13,Paramètres!$A$1:$I$89,3,0)*0.475*44/12</f>
        <v>3.0663689550835508E-10</v>
      </c>
      <c r="DI157" s="22">
        <f t="shared" si="175"/>
        <v>44.129303891843939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-5.6843418860808015E-13</v>
      </c>
      <c r="DP157" s="17">
        <f>DO157*VLOOKUP('Données projet'!$B$14,Paramètres!$A$1:$I$89,3,0)*VLOOKUP('Données projet'!$B$14,Paramètres!$A$1:$I$89,5,0)</f>
        <v>-3.39923644787632E-13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443.64905827069435</v>
      </c>
      <c r="DU157" s="59">
        <f t="shared" si="152"/>
        <v>381.14782516862385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49.528432456489043</v>
      </c>
      <c r="EB157" s="21">
        <f>EXP(-LN(2)/25)*EB156+(1-EXP(-LN(2)/25))/(LN(2)/25)*Calculateur!DW157*Calculateur!DY157*VLOOKUP('Données projet'!$B$14,Paramètres!$A$1:$I$89,3,0)*0.475*44/12</f>
        <v>5.3546613466681485</v>
      </c>
      <c r="EC157" s="21">
        <f>EXP(-LN(2)/2)*EC156+(1-EXP(-LN(2)/2))/(LN(2)/2)*DW157*DZ157*VLOOKUP('Données projet'!$B$14,Paramètres!$A$1:$I$89,3,0)*0.475*44/12</f>
        <v>7.5059343451298536E-11</v>
      </c>
      <c r="ED157" s="22">
        <f t="shared" si="178"/>
        <v>54.883093803232256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-3.4106051316484809E-13</v>
      </c>
      <c r="EK157" s="17">
        <f>EJ157*VLOOKUP('Données projet'!$B$15,Paramètres!$A$1:$I$89,3,0)*VLOOKUP('Données projet'!$B$15,Paramètres!$A$1:$I$89,5,0)</f>
        <v>-3.0859155231155454E-13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504.37890861635196</v>
      </c>
      <c r="EP157" s="59">
        <f t="shared" si="154"/>
        <v>611.82129317522913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10.868832237876452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10.868832237876452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-1.1368683772161603E-13</v>
      </c>
      <c r="FF157" s="17">
        <f>FE157*VLOOKUP('Données projet'!$B$16,Paramètres!$A$1:$I$89,3,0)*VLOOKUP('Données projet'!$B$16,Paramètres!$A$1:$I$89,5,0)</f>
        <v>-1.223725121235475E-13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334.01098870576732</v>
      </c>
      <c r="FK157" s="59">
        <f t="shared" si="156"/>
        <v>171.1802153303471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61.466419769981698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61.466419769981698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-1.7053025658242404E-13</v>
      </c>
      <c r="GA157" s="17">
        <f>FZ157*VLOOKUP('Données projet'!$B$17,Paramètres!$A$1:$I$89,3,0)*VLOOKUP('Données projet'!$B$17,Paramètres!$A$1:$I$89,5,0)</f>
        <v>-1.4897523215040567E-13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330.12856974146598</v>
      </c>
      <c r="GF157" s="59">
        <f t="shared" si="158"/>
        <v>321.23368446552286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27.052510209858543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27.052510209858543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69.628516900241763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-1.7053025658242404E-13</v>
      </c>
      <c r="GV157" s="17">
        <f>GU157*VLOOKUP('Données projet'!$B$18,Paramètres!$A$1:$I$89,3,0)*VLOOKUP('Données projet'!$B$18,Paramètres!$A$1:$I$89,5,0)</f>
        <v>-1.1439169611549005E-13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296.67751292332753</v>
      </c>
      <c r="HA157" s="59">
        <f t="shared" si="160"/>
        <v>197.99510031603018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65.009126769990175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65.009126769990175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1.1000000000000001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4.0333333333333341</v>
      </c>
      <c r="H158" s="67">
        <f t="shared" si="110"/>
        <v>240.5333333333333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-1.5429577615577727E-13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461.20962581398715</v>
      </c>
      <c r="T158" s="59">
        <f t="shared" si="142"/>
        <v>348.44322874953923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91.251884887169339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91.251884887169339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-1.72917680174578E-13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510.86584023875525</v>
      </c>
      <c r="AO158" s="59">
        <f t="shared" si="144"/>
        <v>384.62921487244125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102.26504340803459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102.26504340803459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4.1677594708744434E-14</v>
      </c>
      <c r="BF158" s="13">
        <f t="shared" si="167"/>
        <v>6.9326303456159188E-13</v>
      </c>
      <c r="BG158" s="20">
        <f t="shared" si="168"/>
        <v>1.2800215959791691E-12</v>
      </c>
      <c r="BH158" s="59">
        <f t="shared" si="116"/>
        <v>291.99485810554086</v>
      </c>
      <c r="BI158" s="59">
        <f ca="1">AVERAGE(OFFSET($BH$3,0,0,'Données projet'!$E$11+1,1))-AVERAGE(OFFSET($H$3,0,0,'Données projet'!$E$11+1,1))</f>
        <v>201.7253431547006</v>
      </c>
      <c r="BJ158" s="59">
        <f t="shared" si="146"/>
        <v>229.70004720044096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7.3531632900042396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7.3531632900042396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-1.2710188457276673E-13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462.09240749760784</v>
      </c>
      <c r="CE158" s="59">
        <f t="shared" si="148"/>
        <v>403.52202223463337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77.897643909487599</v>
      </c>
      <c r="CL158" s="21">
        <f>EXP(-LN(2)/25)*CL157+(1-EXP(-LN(2)/25))/(LN(2)/25)*Calculateur!CG158*Calculateur!CI158*VLOOKUP('Données projet'!$B$12,Paramètres!$A$1:$I$89,3,0)*0.475*44/12</f>
        <v>4.3102669034312049</v>
      </c>
      <c r="CM158" s="21">
        <f>EXP(-LN(2)/2)*CM157+(1-EXP(-LN(2)/2))/(LN(2)/2)*CG158*CJ158*VLOOKUP('Données projet'!$B$12,Paramètres!$A$1:$I$89,3,0)*0.475*44/12</f>
        <v>9.0298358047676567E-11</v>
      </c>
      <c r="CN158" s="22">
        <f t="shared" si="172"/>
        <v>82.207910813009093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319.88925869887464</v>
      </c>
      <c r="CZ158" s="59">
        <f t="shared" si="150"/>
        <v>258.2857172412098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37.243075311237973</v>
      </c>
      <c r="DG158" s="21">
        <f>EXP(-LN(2)/25)*DG157+(1-EXP(-LN(2)/25))/(LN(2)/25)*Calculateur!DB158*Calculateur!DD158*VLOOKUP('Données projet'!$B$13,Paramètres!$A$1:$I$89,3,0)*0.475*44/12</f>
        <v>5.9733727677354613</v>
      </c>
      <c r="DH158" s="21">
        <f>EXP(-LN(2)/2)*DH157+(1-EXP(-LN(2)/2))/(LN(2)/2)*DB158*DE158*VLOOKUP('Données projet'!$B$13,Paramètres!$A$1:$I$89,3,0)*0.475*44/12</f>
        <v>2.1682502817594867E-10</v>
      </c>
      <c r="DI158" s="22">
        <f t="shared" si="175"/>
        <v>43.216448079190258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-5.6843418860808015E-13</v>
      </c>
      <c r="DP158" s="17">
        <f>DO158*VLOOKUP('Données projet'!$B$14,Paramètres!$A$1:$I$89,3,0)*VLOOKUP('Données projet'!$B$14,Paramètres!$A$1:$I$89,5,0)</f>
        <v>-3.39923644787632E-13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443.64905827069435</v>
      </c>
      <c r="DU158" s="59">
        <f t="shared" si="152"/>
        <v>381.14782516862385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48.557210105378161</v>
      </c>
      <c r="EB158" s="21">
        <f>EXP(-LN(2)/25)*EB157+(1-EXP(-LN(2)/25))/(LN(2)/25)*Calculateur!DW158*Calculateur!DY158*VLOOKUP('Données projet'!$B$14,Paramètres!$A$1:$I$89,3,0)*0.475*44/12</f>
        <v>5.2082378505541058</v>
      </c>
      <c r="EC158" s="21">
        <f>EXP(-LN(2)/2)*EC157+(1-EXP(-LN(2)/2))/(LN(2)/2)*DW158*DZ158*VLOOKUP('Données projet'!$B$14,Paramètres!$A$1:$I$89,3,0)*0.475*44/12</f>
        <v>5.3074970745823273E-11</v>
      </c>
      <c r="ED158" s="22">
        <f t="shared" si="178"/>
        <v>53.765447955985344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-3.4106051316484809E-13</v>
      </c>
      <c r="EK158" s="17">
        <f>EJ158*VLOOKUP('Données projet'!$B$15,Paramètres!$A$1:$I$89,3,0)*VLOOKUP('Données projet'!$B$15,Paramètres!$A$1:$I$89,5,0)</f>
        <v>-3.0859155231155454E-13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504.37890861635196</v>
      </c>
      <c r="EP158" s="59">
        <f t="shared" si="154"/>
        <v>611.82129317522913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10.655701067024768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10.655701067024768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-1.1368683772161603E-13</v>
      </c>
      <c r="FF158" s="17">
        <f>FE158*VLOOKUP('Données projet'!$B$16,Paramètres!$A$1:$I$89,3,0)*VLOOKUP('Données projet'!$B$16,Paramètres!$A$1:$I$89,5,0)</f>
        <v>-1.223725121235475E-13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334.01098870576732</v>
      </c>
      <c r="FK158" s="59">
        <f t="shared" si="156"/>
        <v>171.1802153303471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60.261100769106505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60.261100769106505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-1.7053025658242404E-13</v>
      </c>
      <c r="GA158" s="17">
        <f>FZ158*VLOOKUP('Données projet'!$B$17,Paramètres!$A$1:$I$89,3,0)*VLOOKUP('Données projet'!$B$17,Paramètres!$A$1:$I$89,5,0)</f>
        <v>-1.4897523215040567E-13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330.12856974146598</v>
      </c>
      <c r="GF158" s="59">
        <f t="shared" si="158"/>
        <v>321.23368446552286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26.522026985045166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26.522026985045166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69.634961301510785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-1.7053025658242404E-13</v>
      </c>
      <c r="GV158" s="17">
        <f>GU158*VLOOKUP('Données projet'!$B$18,Paramètres!$A$1:$I$89,3,0)*VLOOKUP('Données projet'!$B$18,Paramètres!$A$1:$I$89,5,0)</f>
        <v>-1.1439169611549005E-13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296.67751292332753</v>
      </c>
      <c r="HA158" s="59">
        <f t="shared" si="160"/>
        <v>197.99510031603018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63.734337445682719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63.734337445682719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1.1000000000000001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4.0333333333333341</v>
      </c>
      <c r="H159" s="67">
        <f t="shared" si="110"/>
        <v>240.5333333333333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-1.5429577615577727E-13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461.20962581398715</v>
      </c>
      <c r="T159" s="59">
        <f t="shared" si="142"/>
        <v>348.44322874953923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89.462491082685943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89.462491082685943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-1.72917680174578E-13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510.86584023875525</v>
      </c>
      <c r="AO159" s="59">
        <f t="shared" si="144"/>
        <v>384.62921487244125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100.25968828232044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100.25968828232044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4.1677594708744434E-14</v>
      </c>
      <c r="BF159" s="13">
        <f t="shared" si="167"/>
        <v>6.9326303456159188E-13</v>
      </c>
      <c r="BG159" s="20">
        <f t="shared" si="168"/>
        <v>1.2800215959791691E-12</v>
      </c>
      <c r="BH159" s="59">
        <f t="shared" si="116"/>
        <v>292.01807765836077</v>
      </c>
      <c r="BI159" s="59">
        <f ca="1">AVERAGE(OFFSET($BH$3,0,0,'Données projet'!$E$11+1,1))-AVERAGE(OFFSET($H$3,0,0,'Données projet'!$E$11+1,1))</f>
        <v>201.7253431547006</v>
      </c>
      <c r="BJ159" s="59">
        <f t="shared" si="146"/>
        <v>229.70004720044096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7.2089722428740082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7.2089722428740082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-1.2710188457276673E-13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462.09240749760784</v>
      </c>
      <c r="CE159" s="59">
        <f t="shared" si="148"/>
        <v>403.52202223463337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76.370118625293827</v>
      </c>
      <c r="CL159" s="21">
        <f>EXP(-LN(2)/25)*CL158+(1-EXP(-LN(2)/25))/(LN(2)/25)*Calculateur!CG159*Calculateur!CI159*VLOOKUP('Données projet'!$B$12,Paramètres!$A$1:$I$89,3,0)*0.475*44/12</f>
        <v>4.1924024282897934</v>
      </c>
      <c r="CM159" s="21">
        <f>EXP(-LN(2)/2)*CM158+(1-EXP(-LN(2)/2))/(LN(2)/2)*CG159*CJ159*VLOOKUP('Données projet'!$B$12,Paramètres!$A$1:$I$89,3,0)*0.475*44/12</f>
        <v>6.3850581305522956E-11</v>
      </c>
      <c r="CN159" s="22">
        <f t="shared" si="172"/>
        <v>80.562521053647473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319.88925869887464</v>
      </c>
      <c r="CZ159" s="59">
        <f t="shared" si="150"/>
        <v>258.2857172412098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36.512761320417518</v>
      </c>
      <c r="DG159" s="21">
        <f>EXP(-LN(2)/25)*DG158+(1-EXP(-LN(2)/25))/(LN(2)/25)*Calculateur!DB159*Calculateur!DD159*VLOOKUP('Données projet'!$B$13,Paramètres!$A$1:$I$89,3,0)*0.475*44/12</f>
        <v>5.8100305752757135</v>
      </c>
      <c r="DH159" s="21">
        <f>EXP(-LN(2)/2)*DH158+(1-EXP(-LN(2)/2))/(LN(2)/2)*DB159*DE159*VLOOKUP('Données projet'!$B$13,Paramètres!$A$1:$I$89,3,0)*0.475*44/12</f>
        <v>1.5331844775417754E-10</v>
      </c>
      <c r="DI159" s="22">
        <f t="shared" si="175"/>
        <v>42.322791895846549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-5.6843418860808015E-13</v>
      </c>
      <c r="DP159" s="17">
        <f>DO159*VLOOKUP('Données projet'!$B$14,Paramètres!$A$1:$I$89,3,0)*VLOOKUP('Données projet'!$B$14,Paramètres!$A$1:$I$89,5,0)</f>
        <v>-3.39923644787632E-13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443.64905827069435</v>
      </c>
      <c r="DU159" s="59">
        <f t="shared" si="152"/>
        <v>381.14782516862385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47.605032832185429</v>
      </c>
      <c r="EB159" s="21">
        <f>EXP(-LN(2)/25)*EB158+(1-EXP(-LN(2)/25))/(LN(2)/25)*Calculateur!DW159*Calculateur!DY159*VLOOKUP('Données projet'!$B$14,Paramètres!$A$1:$I$89,3,0)*0.475*44/12</f>
        <v>5.0658183126413787</v>
      </c>
      <c r="EC159" s="21">
        <f>EXP(-LN(2)/2)*EC158+(1-EXP(-LN(2)/2))/(LN(2)/2)*DW159*DZ159*VLOOKUP('Données projet'!$B$14,Paramètres!$A$1:$I$89,3,0)*0.475*44/12</f>
        <v>3.7529671725649268E-11</v>
      </c>
      <c r="ED159" s="22">
        <f t="shared" si="178"/>
        <v>52.670851144864336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-3.4106051316484809E-13</v>
      </c>
      <c r="EK159" s="17">
        <f>EJ159*VLOOKUP('Données projet'!$B$15,Paramètres!$A$1:$I$89,3,0)*VLOOKUP('Données projet'!$B$15,Paramètres!$A$1:$I$89,5,0)</f>
        <v>-3.0859155231155454E-13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504.37890861635196</v>
      </c>
      <c r="EP159" s="59">
        <f t="shared" si="154"/>
        <v>611.82129317522913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10.446749268436308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10.446749268436308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-1.1368683772161603E-13</v>
      </c>
      <c r="FF159" s="17">
        <f>FE159*VLOOKUP('Données projet'!$B$16,Paramètres!$A$1:$I$89,3,0)*VLOOKUP('Données projet'!$B$16,Paramètres!$A$1:$I$89,5,0)</f>
        <v>-1.223725121235475E-13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334.01098870576732</v>
      </c>
      <c r="FK159" s="59">
        <f t="shared" si="156"/>
        <v>171.1802153303471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59.079417338666481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59.079417338666481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-1.7053025658242404E-13</v>
      </c>
      <c r="GA159" s="17">
        <f>FZ159*VLOOKUP('Données projet'!$B$17,Paramètres!$A$1:$I$89,3,0)*VLOOKUP('Données projet'!$B$17,Paramètres!$A$1:$I$89,5,0)</f>
        <v>-1.4897523215040567E-13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330.12856974146598</v>
      </c>
      <c r="GF159" s="59">
        <f t="shared" si="158"/>
        <v>321.23368446552286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26.001946212707562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26.001946212707562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69.641293906825297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-1.7053025658242404E-13</v>
      </c>
      <c r="GV159" s="17">
        <f>GU159*VLOOKUP('Données projet'!$B$18,Paramètres!$A$1:$I$89,3,0)*VLOOKUP('Données projet'!$B$18,Paramètres!$A$1:$I$89,5,0)</f>
        <v>-1.1439169611549005E-13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296.67751292332753</v>
      </c>
      <c r="HA159" s="59">
        <f t="shared" si="160"/>
        <v>197.99510031603018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62.484545962480226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62.484545962480226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1.1000000000000001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4.0333333333333341</v>
      </c>
      <c r="H160" s="67">
        <f t="shared" si="110"/>
        <v>240.5333333333333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-1.5429577615577727E-13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461.20962581398715</v>
      </c>
      <c r="T160" s="59">
        <f t="shared" si="142"/>
        <v>348.44322874953923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87.708186199286018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87.708186199286018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-1.72917680174578E-13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510.86584023875525</v>
      </c>
      <c r="AO160" s="59">
        <f t="shared" si="144"/>
        <v>384.62921487244125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98.293656947475696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98.293656947475696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4.1677594708744434E-14</v>
      </c>
      <c r="BF160" s="13">
        <f t="shared" si="167"/>
        <v>6.9326303456159188E-13</v>
      </c>
      <c r="BG160" s="20">
        <f t="shared" si="168"/>
        <v>1.2800215959791691E-12</v>
      </c>
      <c r="BH160" s="59">
        <f t="shared" si="116"/>
        <v>292.04089440385036</v>
      </c>
      <c r="BI160" s="59">
        <f ca="1">AVERAGE(OFFSET($BH$3,0,0,'Données projet'!$E$11+1,1))-AVERAGE(OFFSET($H$3,0,0,'Données projet'!$E$11+1,1))</f>
        <v>201.7253431547006</v>
      </c>
      <c r="BJ160" s="59">
        <f t="shared" si="146"/>
        <v>229.70004720044096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7.0676086942301453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7.0676086942301453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-1.2710188457276673E-13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462.09240749760784</v>
      </c>
      <c r="CE160" s="59">
        <f t="shared" si="148"/>
        <v>403.52202223463337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74.872547180224672</v>
      </c>
      <c r="CL160" s="21">
        <f>EXP(-LN(2)/25)*CL159+(1-EXP(-LN(2)/25))/(LN(2)/25)*Calculateur!CG160*Calculateur!CI160*VLOOKUP('Données projet'!$B$12,Paramètres!$A$1:$I$89,3,0)*0.475*44/12</f>
        <v>4.0777609634193475</v>
      </c>
      <c r="CM160" s="21">
        <f>EXP(-LN(2)/2)*CM159+(1-EXP(-LN(2)/2))/(LN(2)/2)*CG160*CJ160*VLOOKUP('Données projet'!$B$12,Paramètres!$A$1:$I$89,3,0)*0.475*44/12</f>
        <v>4.5149179023838284E-11</v>
      </c>
      <c r="CN160" s="22">
        <f t="shared" si="172"/>
        <v>78.95030814368917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319.88925869887464</v>
      </c>
      <c r="CZ160" s="59">
        <f t="shared" si="150"/>
        <v>258.2857172412098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35.796768341509498</v>
      </c>
      <c r="DG160" s="21">
        <f>EXP(-LN(2)/25)*DG159+(1-EXP(-LN(2)/25))/(LN(2)/25)*Calculateur!DB160*Calculateur!DD160*VLOOKUP('Données projet'!$B$13,Paramètres!$A$1:$I$89,3,0)*0.475*44/12</f>
        <v>5.6511549836585706</v>
      </c>
      <c r="DH160" s="21">
        <f>EXP(-LN(2)/2)*DH159+(1-EXP(-LN(2)/2))/(LN(2)/2)*DB160*DE160*VLOOKUP('Données projet'!$B$13,Paramètres!$A$1:$I$89,3,0)*0.475*44/12</f>
        <v>1.0841251408797434E-10</v>
      </c>
      <c r="DI160" s="22">
        <f t="shared" si="175"/>
        <v>41.447923325276484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-5.6843418860808015E-13</v>
      </c>
      <c r="DP160" s="17">
        <f>DO160*VLOOKUP('Données projet'!$B$14,Paramètres!$A$1:$I$89,3,0)*VLOOKUP('Données projet'!$B$14,Paramètres!$A$1:$I$89,5,0)</f>
        <v>-3.39923644787632E-13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443.64905827069435</v>
      </c>
      <c r="DU160" s="59">
        <f t="shared" si="152"/>
        <v>381.14782516862385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46.671527174549212</v>
      </c>
      <c r="EB160" s="21">
        <f>EXP(-LN(2)/25)*EB159+(1-EXP(-LN(2)/25))/(LN(2)/25)*Calculateur!DW160*Calculateur!DY160*VLOOKUP('Données projet'!$B$14,Paramètres!$A$1:$I$89,3,0)*0.475*44/12</f>
        <v>4.9272932444823931</v>
      </c>
      <c r="EC160" s="21">
        <f>EXP(-LN(2)/2)*EC159+(1-EXP(-LN(2)/2))/(LN(2)/2)*DW160*DZ160*VLOOKUP('Données projet'!$B$14,Paramètres!$A$1:$I$89,3,0)*0.475*44/12</f>
        <v>2.6537485372911637E-11</v>
      </c>
      <c r="ED160" s="22">
        <f t="shared" si="178"/>
        <v>51.598820419058143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-3.4106051316484809E-13</v>
      </c>
      <c r="EK160" s="17">
        <f>EJ160*VLOOKUP('Données projet'!$B$15,Paramètres!$A$1:$I$89,3,0)*VLOOKUP('Données projet'!$B$15,Paramètres!$A$1:$I$89,5,0)</f>
        <v>-3.0859155231155454E-13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504.37890861635196</v>
      </c>
      <c r="EP160" s="59">
        <f t="shared" si="154"/>
        <v>611.82129317522913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10.241894887170155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10.241894887170155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-1.1368683772161603E-13</v>
      </c>
      <c r="FF160" s="17">
        <f>FE160*VLOOKUP('Données projet'!$B$16,Paramètres!$A$1:$I$89,3,0)*VLOOKUP('Données projet'!$B$16,Paramètres!$A$1:$I$89,5,0)</f>
        <v>-1.223725121235475E-13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334.01098870576732</v>
      </c>
      <c r="FK160" s="59">
        <f t="shared" si="156"/>
        <v>171.1802153303471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57.92090599954166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57.92090599954166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-1.7053025658242404E-13</v>
      </c>
      <c r="GA160" s="17">
        <f>FZ160*VLOOKUP('Données projet'!$B$17,Paramètres!$A$1:$I$89,3,0)*VLOOKUP('Données projet'!$B$17,Paramètres!$A$1:$I$89,5,0)</f>
        <v>-1.4897523215040567E-13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330.12856974146598</v>
      </c>
      <c r="GF160" s="59">
        <f t="shared" si="158"/>
        <v>321.23368446552286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25.492063907097549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25.492063907097549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69.647516655595197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-1.7053025658242404E-13</v>
      </c>
      <c r="GV160" s="17">
        <f>GU160*VLOOKUP('Données projet'!$B$18,Paramètres!$A$1:$I$89,3,0)*VLOOKUP('Données projet'!$B$18,Paramètres!$A$1:$I$89,5,0)</f>
        <v>-1.1439169611549005E-13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296.67751292332753</v>
      </c>
      <c r="HA160" s="59">
        <f t="shared" si="160"/>
        <v>197.99510031603018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61.259262127965798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61.259262127965798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1.1000000000000001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4.0333333333333341</v>
      </c>
      <c r="H161" s="67">
        <f t="shared" si="110"/>
        <v>240.5333333333333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-1.5429577615577727E-13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461.20962581398715</v>
      </c>
      <c r="T161" s="59">
        <f t="shared" si="142"/>
        <v>348.44322874953923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85.98828216462924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85.98828216462924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-1.72917680174578E-13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510.86584023875525</v>
      </c>
      <c r="AO161" s="59">
        <f t="shared" si="144"/>
        <v>384.62921487244125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96.366178287946553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96.366178287946553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4.1677594708744434E-14</v>
      </c>
      <c r="BF161" s="13">
        <f t="shared" si="167"/>
        <v>6.9326303456159188E-13</v>
      </c>
      <c r="BG161" s="20">
        <f t="shared" si="168"/>
        <v>1.2800215959791691E-12</v>
      </c>
      <c r="BH161" s="59">
        <f t="shared" si="116"/>
        <v>292.06331532981631</v>
      </c>
      <c r="BI161" s="59">
        <f ca="1">AVERAGE(OFFSET($BH$3,0,0,'Données projet'!$E$11+1,1))-AVERAGE(OFFSET($H$3,0,0,'Données projet'!$E$11+1,1))</f>
        <v>201.7253431547006</v>
      </c>
      <c r="BJ161" s="59">
        <f t="shared" si="146"/>
        <v>229.70004720044096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6.9290171985519375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6.9290171985519375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-1.2710188457276673E-13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462.09240749760784</v>
      </c>
      <c r="CE161" s="59">
        <f t="shared" si="148"/>
        <v>403.52202223463337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73.404342197764933</v>
      </c>
      <c r="CL161" s="21">
        <f>EXP(-LN(2)/25)*CL160+(1-EXP(-LN(2)/25))/(LN(2)/25)*Calculateur!CG161*Calculateur!CI161*VLOOKUP('Données projet'!$B$12,Paramètres!$A$1:$I$89,3,0)*0.475*44/12</f>
        <v>3.9662543754345161</v>
      </c>
      <c r="CM161" s="21">
        <f>EXP(-LN(2)/2)*CM160+(1-EXP(-LN(2)/2))/(LN(2)/2)*CG161*CJ161*VLOOKUP('Données projet'!$B$12,Paramètres!$A$1:$I$89,3,0)*0.475*44/12</f>
        <v>3.1925290652761478E-11</v>
      </c>
      <c r="CN161" s="22">
        <f t="shared" si="172"/>
        <v>77.370596573231381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319.88925869887464</v>
      </c>
      <c r="CZ161" s="59">
        <f t="shared" si="150"/>
        <v>258.2857172412098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35.094815548205268</v>
      </c>
      <c r="DG161" s="21">
        <f>EXP(-LN(2)/25)*DG160+(1-EXP(-LN(2)/25))/(LN(2)/25)*Calculateur!DB161*Calculateur!DD161*VLOOKUP('Données projet'!$B$13,Paramètres!$A$1:$I$89,3,0)*0.475*44/12</f>
        <v>5.4966238534491021</v>
      </c>
      <c r="DH161" s="21">
        <f>EXP(-LN(2)/2)*DH160+(1-EXP(-LN(2)/2))/(LN(2)/2)*DB161*DE161*VLOOKUP('Données projet'!$B$13,Paramètres!$A$1:$I$89,3,0)*0.475*44/12</f>
        <v>7.6659223877088769E-11</v>
      </c>
      <c r="DI161" s="22">
        <f t="shared" si="175"/>
        <v>40.59143940173103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-5.6843418860808015E-13</v>
      </c>
      <c r="DP161" s="17">
        <f>DO161*VLOOKUP('Données projet'!$B$14,Paramètres!$A$1:$I$89,3,0)*VLOOKUP('Données projet'!$B$14,Paramètres!$A$1:$I$89,5,0)</f>
        <v>-3.39923644787632E-13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443.64905827069435</v>
      </c>
      <c r="DU161" s="59">
        <f t="shared" si="152"/>
        <v>381.14782516862385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45.75632699347701</v>
      </c>
      <c r="EB161" s="21">
        <f>EXP(-LN(2)/25)*EB160+(1-EXP(-LN(2)/25))/(LN(2)/25)*Calculateur!DW161*Calculateur!DY161*VLOOKUP('Données projet'!$B$14,Paramètres!$A$1:$I$89,3,0)*0.475*44/12</f>
        <v>4.7925561515969317</v>
      </c>
      <c r="EC161" s="21">
        <f>EXP(-LN(2)/2)*EC160+(1-EXP(-LN(2)/2))/(LN(2)/2)*DW161*DZ161*VLOOKUP('Données projet'!$B$14,Paramètres!$A$1:$I$89,3,0)*0.475*44/12</f>
        <v>1.8764835862824634E-11</v>
      </c>
      <c r="ED161" s="22">
        <f t="shared" si="178"/>
        <v>50.548883145092709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-3.4106051316484809E-13</v>
      </c>
      <c r="EK161" s="17">
        <f>EJ161*VLOOKUP('Données projet'!$B$15,Paramètres!$A$1:$I$89,3,0)*VLOOKUP('Données projet'!$B$15,Paramètres!$A$1:$I$89,5,0)</f>
        <v>-3.0859155231155454E-13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504.37890861635196</v>
      </c>
      <c r="EP161" s="59">
        <f t="shared" si="154"/>
        <v>611.82129317522913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10.041057575371795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10.041057575371795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-1.1368683772161603E-13</v>
      </c>
      <c r="FF161" s="17">
        <f>FE161*VLOOKUP('Données projet'!$B$16,Paramètres!$A$1:$I$89,3,0)*VLOOKUP('Données projet'!$B$16,Paramètres!$A$1:$I$89,5,0)</f>
        <v>-1.223725121235475E-13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334.01098870576732</v>
      </c>
      <c r="FK161" s="59">
        <f t="shared" si="156"/>
        <v>171.1802153303471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56.78511236115493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56.78511236115493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-1.7053025658242404E-13</v>
      </c>
      <c r="GA161" s="17">
        <f>FZ161*VLOOKUP('Données projet'!$B$17,Paramètres!$A$1:$I$89,3,0)*VLOOKUP('Données projet'!$B$17,Paramètres!$A$1:$I$89,5,0)</f>
        <v>-1.4897523215040567E-13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330.12856974146598</v>
      </c>
      <c r="GF161" s="59">
        <f t="shared" si="158"/>
        <v>321.23368446552286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24.992180082503051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24.992180082503051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69.653631453585916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-1.7053025658242404E-13</v>
      </c>
      <c r="GV161" s="17">
        <f>GU161*VLOOKUP('Données projet'!$B$18,Paramètres!$A$1:$I$89,3,0)*VLOOKUP('Données projet'!$B$18,Paramètres!$A$1:$I$89,5,0)</f>
        <v>-1.1439169611549005E-13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296.67751292332753</v>
      </c>
      <c r="HA161" s="59">
        <f t="shared" si="160"/>
        <v>197.99510031603018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60.05800536209685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60.05800536209685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1.1000000000000001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4.0333333333333341</v>
      </c>
      <c r="H162" s="67">
        <f t="shared" si="110"/>
        <v>240.5333333333333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-1.5429577615577727E-13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461.20962581398715</v>
      </c>
      <c r="T162" s="59">
        <f t="shared" si="142"/>
        <v>348.44322874953923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84.302104399054201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84.302104399054201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-1.72917680174578E-13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510.86584023875525</v>
      </c>
      <c r="AO162" s="59">
        <f t="shared" si="144"/>
        <v>384.62921487244125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94.476496309284869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94.476496309284869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4.1677594708744434E-14</v>
      </c>
      <c r="BF162" s="13">
        <f t="shared" si="167"/>
        <v>6.9326303456159188E-13</v>
      </c>
      <c r="BG162" s="20">
        <f t="shared" si="168"/>
        <v>1.2800215959791691E-12</v>
      </c>
      <c r="BH162" s="59">
        <f t="shared" si="116"/>
        <v>292.08534730284248</v>
      </c>
      <c r="BI162" s="59">
        <f ca="1">AVERAGE(OFFSET($BH$3,0,0,'Données projet'!$E$11+1,1))-AVERAGE(OFFSET($H$3,0,0,'Données projet'!$E$11+1,1))</f>
        <v>201.7253431547006</v>
      </c>
      <c r="BJ162" s="59">
        <f t="shared" si="146"/>
        <v>229.70004720044096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6.7931433975715141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6.7931433975715141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-1.2710188457276673E-13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462.09240749760784</v>
      </c>
      <c r="CE162" s="59">
        <f t="shared" si="148"/>
        <v>403.52202223463337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71.964927819494619</v>
      </c>
      <c r="CL162" s="21">
        <f>EXP(-LN(2)/25)*CL161+(1-EXP(-LN(2)/25))/(LN(2)/25)*Calculateur!CG162*Calculateur!CI162*VLOOKUP('Données projet'!$B$12,Paramètres!$A$1:$I$89,3,0)*0.475*44/12</f>
        <v>3.8577969409620065</v>
      </c>
      <c r="CM162" s="21">
        <f>EXP(-LN(2)/2)*CM161+(1-EXP(-LN(2)/2))/(LN(2)/2)*CG162*CJ162*VLOOKUP('Données projet'!$B$12,Paramètres!$A$1:$I$89,3,0)*0.475*44/12</f>
        <v>2.2574589511919142E-11</v>
      </c>
      <c r="CN162" s="22">
        <f t="shared" si="172"/>
        <v>75.822724760479204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319.88925869887464</v>
      </c>
      <c r="CZ162" s="59">
        <f t="shared" si="150"/>
        <v>258.2857172412098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34.406627621028811</v>
      </c>
      <c r="DG162" s="21">
        <f>EXP(-LN(2)/25)*DG161+(1-EXP(-LN(2)/25))/(LN(2)/25)*Calculateur!DB162*Calculateur!DD162*VLOOKUP('Données projet'!$B$13,Paramètres!$A$1:$I$89,3,0)*0.475*44/12</f>
        <v>5.3463183851216503</v>
      </c>
      <c r="DH162" s="21">
        <f>EXP(-LN(2)/2)*DH161+(1-EXP(-LN(2)/2))/(LN(2)/2)*DB162*DE162*VLOOKUP('Données projet'!$B$13,Paramètres!$A$1:$I$89,3,0)*0.475*44/12</f>
        <v>5.4206257043987168E-11</v>
      </c>
      <c r="DI162" s="22">
        <f t="shared" si="175"/>
        <v>39.752946006204667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-5.6843418860808015E-13</v>
      </c>
      <c r="DP162" s="17">
        <f>DO162*VLOOKUP('Données projet'!$B$14,Paramètres!$A$1:$I$89,3,0)*VLOOKUP('Données projet'!$B$14,Paramètres!$A$1:$I$89,5,0)</f>
        <v>-3.39923644787632E-13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443.64905827069435</v>
      </c>
      <c r="DU162" s="59">
        <f t="shared" si="152"/>
        <v>381.14782516862385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44.859073329738649</v>
      </c>
      <c r="EB162" s="21">
        <f>EXP(-LN(2)/25)*EB161+(1-EXP(-LN(2)/25))/(LN(2)/25)*Calculateur!DW162*Calculateur!DY162*VLOOKUP('Données projet'!$B$14,Paramètres!$A$1:$I$89,3,0)*0.475*44/12</f>
        <v>4.6615034516019396</v>
      </c>
      <c r="EC162" s="21">
        <f>EXP(-LN(2)/2)*EC161+(1-EXP(-LN(2)/2))/(LN(2)/2)*DW162*DZ162*VLOOKUP('Données projet'!$B$14,Paramètres!$A$1:$I$89,3,0)*0.475*44/12</f>
        <v>1.3268742686455818E-11</v>
      </c>
      <c r="ED162" s="22">
        <f t="shared" si="178"/>
        <v>49.520576781353853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-3.4106051316484809E-13</v>
      </c>
      <c r="EK162" s="17">
        <f>EJ162*VLOOKUP('Données projet'!$B$15,Paramètres!$A$1:$I$89,3,0)*VLOOKUP('Données projet'!$B$15,Paramètres!$A$1:$I$89,5,0)</f>
        <v>-3.0859155231155454E-13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504.37890861635196</v>
      </c>
      <c r="EP162" s="59">
        <f t="shared" si="154"/>
        <v>611.82129317522913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9.8441585607591371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9.8441585607591371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-1.1368683772161603E-13</v>
      </c>
      <c r="FF162" s="17">
        <f>FE162*VLOOKUP('Données projet'!$B$16,Paramètres!$A$1:$I$89,3,0)*VLOOKUP('Données projet'!$B$16,Paramètres!$A$1:$I$89,5,0)</f>
        <v>-1.223725121235475E-13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334.01098870576732</v>
      </c>
      <c r="FK162" s="59">
        <f t="shared" si="156"/>
        <v>171.1802153303471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55.671590943251253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55.671590943251253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-1.7053025658242404E-13</v>
      </c>
      <c r="GA162" s="17">
        <f>FZ162*VLOOKUP('Données projet'!$B$17,Paramètres!$A$1:$I$89,3,0)*VLOOKUP('Données projet'!$B$17,Paramètres!$A$1:$I$89,5,0)</f>
        <v>-1.4897523215040567E-13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330.12856974146598</v>
      </c>
      <c r="GF162" s="59">
        <f t="shared" si="158"/>
        <v>321.23368446552286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24.502098674809822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24.502098674809822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69.65964017350214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-1.7053025658242404E-13</v>
      </c>
      <c r="GV162" s="17">
        <f>GU162*VLOOKUP('Données projet'!$B$18,Paramètres!$A$1:$I$89,3,0)*VLOOKUP('Données projet'!$B$18,Paramètres!$A$1:$I$89,5,0)</f>
        <v>-1.1439169611549005E-13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296.67751292332753</v>
      </c>
      <c r="HA162" s="59">
        <f t="shared" si="160"/>
        <v>197.99510031603018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58.880304508712314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58.880304508712314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1.1000000000000001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4.0333333333333341</v>
      </c>
      <c r="H163" s="67">
        <f t="shared" si="110"/>
        <v>240.5333333333333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-1.5429577615577727E-13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461.20962581398715</v>
      </c>
      <c r="T163" s="59">
        <f t="shared" si="142"/>
        <v>348.44322874953923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82.648991550995206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82.648991550995206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-1.72917680174578E-13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510.86584023875525</v>
      </c>
      <c r="AO163" s="59">
        <f t="shared" si="144"/>
        <v>384.62921487244125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92.623869841632555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92.623869841632555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4.1677594708744434E-14</v>
      </c>
      <c r="BF163" s="13">
        <f t="shared" si="167"/>
        <v>6.9326303456159188E-13</v>
      </c>
      <c r="BG163" s="20">
        <f t="shared" si="168"/>
        <v>1.2800215959791691E-12</v>
      </c>
      <c r="BH163" s="59">
        <f t="shared" si="116"/>
        <v>292.10699707039277</v>
      </c>
      <c r="BI163" s="59">
        <f ca="1">AVERAGE(OFFSET($BH$3,0,0,'Données projet'!$E$11+1,1))-AVERAGE(OFFSET($H$3,0,0,'Données projet'!$E$11+1,1))</f>
        <v>201.7253431547006</v>
      </c>
      <c r="BJ163" s="59">
        <f t="shared" si="146"/>
        <v>229.70004720044096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6.6599339989534814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6.6599339989534814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-1.2710188457276673E-13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462.09240749760784</v>
      </c>
      <c r="CE163" s="59">
        <f t="shared" si="148"/>
        <v>403.52202223463337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70.553739479226095</v>
      </c>
      <c r="CL163" s="21">
        <f>EXP(-LN(2)/25)*CL162+(1-EXP(-LN(2)/25))/(LN(2)/25)*Calculateur!CG163*Calculateur!CI163*VLOOKUP('Données projet'!$B$12,Paramètres!$A$1:$I$89,3,0)*0.475*44/12</f>
        <v>3.7523052807386765</v>
      </c>
      <c r="CM163" s="21">
        <f>EXP(-LN(2)/2)*CM162+(1-EXP(-LN(2)/2))/(LN(2)/2)*CG163*CJ163*VLOOKUP('Données projet'!$B$12,Paramètres!$A$1:$I$89,3,0)*0.475*44/12</f>
        <v>1.5962645326380739E-11</v>
      </c>
      <c r="CN163" s="22">
        <f t="shared" si="172"/>
        <v>74.306044759980736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319.88925869887464</v>
      </c>
      <c r="CZ163" s="59">
        <f t="shared" si="150"/>
        <v>258.2857172412098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33.731934639351095</v>
      </c>
      <c r="DG163" s="21">
        <f>EXP(-LN(2)/25)*DG162+(1-EXP(-LN(2)/25))/(LN(2)/25)*Calculateur!DB163*Calculateur!DD163*VLOOKUP('Données projet'!$B$13,Paramètres!$A$1:$I$89,3,0)*0.475*44/12</f>
        <v>5.200123027729834</v>
      </c>
      <c r="DH163" s="21">
        <f>EXP(-LN(2)/2)*DH162+(1-EXP(-LN(2)/2))/(LN(2)/2)*DB163*DE163*VLOOKUP('Données projet'!$B$13,Paramètres!$A$1:$I$89,3,0)*0.475*44/12</f>
        <v>3.8329611938544384E-11</v>
      </c>
      <c r="DI163" s="22">
        <f t="shared" si="175"/>
        <v>38.932057667119253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-5.6843418860808015E-13</v>
      </c>
      <c r="DP163" s="17">
        <f>DO163*VLOOKUP('Données projet'!$B$14,Paramètres!$A$1:$I$89,3,0)*VLOOKUP('Données projet'!$B$14,Paramètres!$A$1:$I$89,5,0)</f>
        <v>-3.39923644787632E-13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443.64905827069435</v>
      </c>
      <c r="DU163" s="59">
        <f t="shared" si="152"/>
        <v>381.14782516862385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43.979414263075498</v>
      </c>
      <c r="EB163" s="21">
        <f>EXP(-LN(2)/25)*EB162+(1-EXP(-LN(2)/25))/(LN(2)/25)*Calculateur!DW163*Calculateur!DY163*VLOOKUP('Données projet'!$B$14,Paramètres!$A$1:$I$89,3,0)*0.475*44/12</f>
        <v>4.5340343945800718</v>
      </c>
      <c r="EC163" s="21">
        <f>EXP(-LN(2)/2)*EC162+(1-EXP(-LN(2)/2))/(LN(2)/2)*DW163*DZ163*VLOOKUP('Données projet'!$B$14,Paramètres!$A$1:$I$89,3,0)*0.475*44/12</f>
        <v>9.382417931412317E-12</v>
      </c>
      <c r="ED163" s="22">
        <f t="shared" si="178"/>
        <v>48.513448657664952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-3.4106051316484809E-13</v>
      </c>
      <c r="EK163" s="17">
        <f>EJ163*VLOOKUP('Données projet'!$B$15,Paramètres!$A$1:$I$89,3,0)*VLOOKUP('Données projet'!$B$15,Paramètres!$A$1:$I$89,5,0)</f>
        <v>-3.0859155231155454E-13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504.37890861635196</v>
      </c>
      <c r="EP163" s="59">
        <f t="shared" si="154"/>
        <v>611.82129317522913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9.6511206157264926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9.6511206157264926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-1.1368683772161603E-13</v>
      </c>
      <c r="FF163" s="17">
        <f>FE163*VLOOKUP('Données projet'!$B$16,Paramètres!$A$1:$I$89,3,0)*VLOOKUP('Données projet'!$B$16,Paramètres!$A$1:$I$89,5,0)</f>
        <v>-1.223725121235475E-13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334.01098870576732</v>
      </c>
      <c r="FK163" s="59">
        <f t="shared" si="156"/>
        <v>171.1802153303471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54.57990500117166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54.57990500117166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-1.7053025658242404E-13</v>
      </c>
      <c r="GA163" s="17">
        <f>FZ163*VLOOKUP('Données projet'!$B$17,Paramètres!$A$1:$I$89,3,0)*VLOOKUP('Données projet'!$B$17,Paramètres!$A$1:$I$89,5,0)</f>
        <v>-1.4897523215040567E-13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330.12856974146598</v>
      </c>
      <c r="GF163" s="59">
        <f t="shared" si="158"/>
        <v>321.23368446552286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24.021627464601316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24.021627464601316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69.665544655561305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-1.7053025658242404E-13</v>
      </c>
      <c r="GV163" s="17">
        <f>GU163*VLOOKUP('Données projet'!$B$18,Paramètres!$A$1:$I$89,3,0)*VLOOKUP('Données projet'!$B$18,Paramètres!$A$1:$I$89,5,0)</f>
        <v>-1.1439169611549005E-13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296.67751292332753</v>
      </c>
      <c r="HA163" s="59">
        <f t="shared" si="160"/>
        <v>197.99510031603018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57.725697650736059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57.725697650736059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1.1000000000000001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4.0333333333333341</v>
      </c>
      <c r="H164" s="67">
        <f t="shared" si="110"/>
        <v>240.5333333333333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-1.5429577615577727E-13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461.20962581398715</v>
      </c>
      <c r="T164" s="59">
        <f t="shared" si="142"/>
        <v>348.44322874953923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81.028295237587372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81.028295237587372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-1.72917680174578E-13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510.86584023875525</v>
      </c>
      <c r="AO164" s="59">
        <f t="shared" si="144"/>
        <v>384.62921487244125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90.807572249020325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90.807572249020325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4.1677594708744434E-14</v>
      </c>
      <c r="BF164" s="13">
        <f t="shared" si="167"/>
        <v>6.9326303456159188E-13</v>
      </c>
      <c r="BG164" s="20">
        <f t="shared" si="168"/>
        <v>1.2800215959791691E-12</v>
      </c>
      <c r="BH164" s="59">
        <f t="shared" si="116"/>
        <v>292.12827126287766</v>
      </c>
      <c r="BI164" s="59">
        <f ca="1">AVERAGE(OFFSET($BH$3,0,0,'Données projet'!$E$11+1,1))-AVERAGE(OFFSET($H$3,0,0,'Données projet'!$E$11+1,1))</f>
        <v>201.7253431547006</v>
      </c>
      <c r="BJ164" s="59">
        <f t="shared" si="146"/>
        <v>229.70004720044096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6.529336755392638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6.529336755392638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-1.2710188457276673E-13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462.09240749760784</v>
      </c>
      <c r="CE164" s="59">
        <f t="shared" si="148"/>
        <v>403.52202223463337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69.170223681570349</v>
      </c>
      <c r="CL164" s="21">
        <f>EXP(-LN(2)/25)*CL163+(1-EXP(-LN(2)/25))/(LN(2)/25)*Calculateur!CG164*Calculateur!CI164*VLOOKUP('Données projet'!$B$12,Paramètres!$A$1:$I$89,3,0)*0.475*44/12</f>
        <v>3.6496982955117185</v>
      </c>
      <c r="CM164" s="21">
        <f>EXP(-LN(2)/2)*CM163+(1-EXP(-LN(2)/2))/(LN(2)/2)*CG164*CJ164*VLOOKUP('Données projet'!$B$12,Paramètres!$A$1:$I$89,3,0)*0.475*44/12</f>
        <v>1.1287294755959571E-11</v>
      </c>
      <c r="CN164" s="22">
        <f t="shared" si="172"/>
        <v>72.819921977093344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319.88925869887464</v>
      </c>
      <c r="CZ164" s="59">
        <f t="shared" si="150"/>
        <v>258.2857172412098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33.07047197552199</v>
      </c>
      <c r="DG164" s="21">
        <f>EXP(-LN(2)/25)*DG163+(1-EXP(-LN(2)/25))/(LN(2)/25)*Calculateur!DB164*Calculateur!DD164*VLOOKUP('Données projet'!$B$13,Paramètres!$A$1:$I$89,3,0)*0.475*44/12</f>
        <v>5.0579253900739767</v>
      </c>
      <c r="DH164" s="21">
        <f>EXP(-LN(2)/2)*DH163+(1-EXP(-LN(2)/2))/(LN(2)/2)*DB164*DE164*VLOOKUP('Données projet'!$B$13,Paramètres!$A$1:$I$89,3,0)*0.475*44/12</f>
        <v>2.7103128521993584E-11</v>
      </c>
      <c r="DI164" s="22">
        <f t="shared" si="175"/>
        <v>38.128397365623066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-5.6843418860808015E-13</v>
      </c>
      <c r="DP164" s="17">
        <f>DO164*VLOOKUP('Données projet'!$B$14,Paramètres!$A$1:$I$89,3,0)*VLOOKUP('Données projet'!$B$14,Paramètres!$A$1:$I$89,5,0)</f>
        <v>-3.39923644787632E-13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443.64905827069435</v>
      </c>
      <c r="DU164" s="59">
        <f t="shared" si="152"/>
        <v>381.14782516862385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43.11700477417056</v>
      </c>
      <c r="EB164" s="21">
        <f>EXP(-LN(2)/25)*EB163+(1-EXP(-LN(2)/25))/(LN(2)/25)*Calculateur!DW164*Calculateur!DY164*VLOOKUP('Données projet'!$B$14,Paramètres!$A$1:$I$89,3,0)*0.475*44/12</f>
        <v>4.4100509856257739</v>
      </c>
      <c r="EC164" s="21">
        <f>EXP(-LN(2)/2)*EC163+(1-EXP(-LN(2)/2))/(LN(2)/2)*DW164*DZ164*VLOOKUP('Données projet'!$B$14,Paramètres!$A$1:$I$89,3,0)*0.475*44/12</f>
        <v>6.6343713432279092E-12</v>
      </c>
      <c r="ED164" s="22">
        <f t="shared" si="178"/>
        <v>47.52705575980297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-3.4106051316484809E-13</v>
      </c>
      <c r="EK164" s="17">
        <f>EJ164*VLOOKUP('Données projet'!$B$15,Paramètres!$A$1:$I$89,3,0)*VLOOKUP('Données projet'!$B$15,Paramètres!$A$1:$I$89,5,0)</f>
        <v>-3.0859155231155454E-13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504.37890861635196</v>
      </c>
      <c r="EP164" s="59">
        <f t="shared" si="154"/>
        <v>611.82129317522913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9.4618680270544182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9.4618680270544182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-1.1368683772161603E-13</v>
      </c>
      <c r="FF164" s="17">
        <f>FE164*VLOOKUP('Données projet'!$B$16,Paramètres!$A$1:$I$89,3,0)*VLOOKUP('Données projet'!$B$16,Paramètres!$A$1:$I$89,5,0)</f>
        <v>-1.223725121235475E-13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334.01098870576732</v>
      </c>
      <c r="FK164" s="59">
        <f t="shared" si="156"/>
        <v>171.1802153303471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53.509626354553575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53.509626354553575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-1.7053025658242404E-13</v>
      </c>
      <c r="GA164" s="17">
        <f>FZ164*VLOOKUP('Données projet'!$B$17,Paramètres!$A$1:$I$89,3,0)*VLOOKUP('Données projet'!$B$17,Paramètres!$A$1:$I$89,5,0)</f>
        <v>-1.4897523215040567E-13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330.12856974146598</v>
      </c>
      <c r="GF164" s="59">
        <f t="shared" si="158"/>
        <v>321.23368446552286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23.5505780017665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23.5505780017665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69.671346708057186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-1.7053025658242404E-13</v>
      </c>
      <c r="GV164" s="17">
        <f>GU164*VLOOKUP('Données projet'!$B$18,Paramètres!$A$1:$I$89,3,0)*VLOOKUP('Données projet'!$B$18,Paramètres!$A$1:$I$89,5,0)</f>
        <v>-1.1439169611549005E-13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296.67751292332753</v>
      </c>
      <c r="HA164" s="59">
        <f t="shared" si="160"/>
        <v>197.99510031603018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56.593731929004072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56.593731929004072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1.1000000000000001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4.0333333333333341</v>
      </c>
      <c r="H165" s="67">
        <f t="shared" si="110"/>
        <v>240.5333333333333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-1.5429577615577727E-13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461.20962581398715</v>
      </c>
      <c r="T165" s="59">
        <f t="shared" si="142"/>
        <v>348.44322874953923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79.439379790358331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79.439379790358331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-1.72917680174578E-13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510.86584023875525</v>
      </c>
      <c r="AO165" s="59">
        <f t="shared" si="144"/>
        <v>384.62921487244125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89.026891144367085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89.026891144367085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4.1677594708744434E-14</v>
      </c>
      <c r="BF165" s="13">
        <f t="shared" si="167"/>
        <v>6.9326303456159188E-13</v>
      </c>
      <c r="BG165" s="20">
        <f t="shared" si="168"/>
        <v>1.2800215959791691E-12</v>
      </c>
      <c r="BH165" s="59">
        <f t="shared" si="116"/>
        <v>292.14917639568489</v>
      </c>
      <c r="BI165" s="59">
        <f ca="1">AVERAGE(OFFSET($BH$3,0,0,'Données projet'!$E$11+1,1))-AVERAGE(OFFSET($H$3,0,0,'Données projet'!$E$11+1,1))</f>
        <v>201.7253431547006</v>
      </c>
      <c r="BJ165" s="59">
        <f t="shared" si="146"/>
        <v>229.70004720044096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6.4013004441215697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6.4013004441215697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-1.2710188457276673E-13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462.09240749760784</v>
      </c>
      <c r="CE165" s="59">
        <f t="shared" si="148"/>
        <v>403.52202223463337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67.813837784845319</v>
      </c>
      <c r="CL165" s="21">
        <f>EXP(-LN(2)/25)*CL164+(1-EXP(-LN(2)/25))/(LN(2)/25)*Calculateur!CG165*Calculateur!CI165*VLOOKUP('Données projet'!$B$12,Paramètres!$A$1:$I$89,3,0)*0.475*44/12</f>
        <v>3.5498971036916589</v>
      </c>
      <c r="CM165" s="21">
        <f>EXP(-LN(2)/2)*CM164+(1-EXP(-LN(2)/2))/(LN(2)/2)*CG165*CJ165*VLOOKUP('Données projet'!$B$12,Paramètres!$A$1:$I$89,3,0)*0.475*44/12</f>
        <v>7.9813226631903695E-12</v>
      </c>
      <c r="CN165" s="22">
        <f t="shared" si="172"/>
        <v>71.363734888544968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319.88925869887464</v>
      </c>
      <c r="CZ165" s="59">
        <f t="shared" si="150"/>
        <v>258.2857172412098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32.421980191078191</v>
      </c>
      <c r="DG165" s="21">
        <f>EXP(-LN(2)/25)*DG164+(1-EXP(-LN(2)/25))/(LN(2)/25)*Calculateur!DB165*Calculateur!DD165*VLOOKUP('Données projet'!$B$13,Paramètres!$A$1:$I$89,3,0)*0.475*44/12</f>
        <v>4.9196161542976675</v>
      </c>
      <c r="DH165" s="21">
        <f>EXP(-LN(2)/2)*DH164+(1-EXP(-LN(2)/2))/(LN(2)/2)*DB165*DE165*VLOOKUP('Données projet'!$B$13,Paramètres!$A$1:$I$89,3,0)*0.475*44/12</f>
        <v>1.9164805969272192E-11</v>
      </c>
      <c r="DI165" s="22">
        <f t="shared" si="175"/>
        <v>37.341596345395025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-5.6843418860808015E-13</v>
      </c>
      <c r="DP165" s="17">
        <f>DO165*VLOOKUP('Données projet'!$B$14,Paramètres!$A$1:$I$89,3,0)*VLOOKUP('Données projet'!$B$14,Paramètres!$A$1:$I$89,5,0)</f>
        <v>-3.39923644787632E-13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443.64905827069435</v>
      </c>
      <c r="DU165" s="59">
        <f t="shared" si="152"/>
        <v>381.14782516862385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42.271506609325201</v>
      </c>
      <c r="EB165" s="21">
        <f>EXP(-LN(2)/25)*EB164+(1-EXP(-LN(2)/25))/(LN(2)/25)*Calculateur!DW165*Calculateur!DY165*VLOOKUP('Données projet'!$B$14,Paramètres!$A$1:$I$89,3,0)*0.475*44/12</f>
        <v>4.289457909509335</v>
      </c>
      <c r="EC165" s="21">
        <f>EXP(-LN(2)/2)*EC164+(1-EXP(-LN(2)/2))/(LN(2)/2)*DW165*DZ165*VLOOKUP('Données projet'!$B$14,Paramètres!$A$1:$I$89,3,0)*0.475*44/12</f>
        <v>4.6912089657061585E-12</v>
      </c>
      <c r="ED165" s="22">
        <f t="shared" si="178"/>
        <v>46.560964518839228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-3.4106051316484809E-13</v>
      </c>
      <c r="EK165" s="17">
        <f>EJ165*VLOOKUP('Données projet'!$B$15,Paramètres!$A$1:$I$89,3,0)*VLOOKUP('Données projet'!$B$15,Paramètres!$A$1:$I$89,5,0)</f>
        <v>-3.0859155231155454E-13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504.37890861635196</v>
      </c>
      <c r="EP165" s="59">
        <f t="shared" si="154"/>
        <v>611.82129317522913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9.2763265662135215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9.2763265662135215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-1.1368683772161603E-13</v>
      </c>
      <c r="FF165" s="17">
        <f>FE165*VLOOKUP('Données projet'!$B$16,Paramètres!$A$1:$I$89,3,0)*VLOOKUP('Données projet'!$B$16,Paramètres!$A$1:$I$89,5,0)</f>
        <v>-1.223725121235475E-13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334.01098870576732</v>
      </c>
      <c r="FK165" s="59">
        <f t="shared" si="156"/>
        <v>171.1802153303471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52.460335219390153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52.460335219390153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-1.7053025658242404E-13</v>
      </c>
      <c r="GA165" s="17">
        <f>FZ165*VLOOKUP('Données projet'!$B$17,Paramètres!$A$1:$I$89,3,0)*VLOOKUP('Données projet'!$B$17,Paramètres!$A$1:$I$89,5,0)</f>
        <v>-1.4897523215040567E-13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330.12856974146598</v>
      </c>
      <c r="GF165" s="59">
        <f t="shared" si="158"/>
        <v>321.23368446552286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23.08876553158607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23.08876553158607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69.677048107913706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-1.7053025658242404E-13</v>
      </c>
      <c r="GV165" s="17">
        <f>GU165*VLOOKUP('Données projet'!$B$18,Paramètres!$A$1:$I$89,3,0)*VLOOKUP('Données projet'!$B$18,Paramètres!$A$1:$I$89,5,0)</f>
        <v>-1.1439169611549005E-13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296.67751292332753</v>
      </c>
      <c r="HA165" s="59">
        <f t="shared" si="160"/>
        <v>197.99510031603018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55.483963364644332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55.483963364644332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1.1000000000000001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4.0333333333333341</v>
      </c>
      <c r="H166" s="67">
        <f t="shared" si="110"/>
        <v>240.5333333333333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-1.5429577615577727E-13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461.20962581398715</v>
      </c>
      <c r="T166" s="59">
        <f t="shared" si="142"/>
        <v>348.44322874953923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77.881622005906721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77.881622005906721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-1.72917680174578E-13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510.86584023875525</v>
      </c>
      <c r="AO166" s="59">
        <f t="shared" si="144"/>
        <v>384.62921487244125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87.281128110067868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87.281128110067868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4.1677594708744434E-14</v>
      </c>
      <c r="BF166" s="13">
        <f t="shared" si="167"/>
        <v>6.9326303456159188E-13</v>
      </c>
      <c r="BG166" s="20">
        <f t="shared" si="168"/>
        <v>1.2800215959791691E-12</v>
      </c>
      <c r="BH166" s="59">
        <f t="shared" si="116"/>
        <v>292.16971887117484</v>
      </c>
      <c r="BI166" s="59">
        <f ca="1">AVERAGE(OFFSET($BH$3,0,0,'Données projet'!$E$11+1,1))-AVERAGE(OFFSET($H$3,0,0,'Données projet'!$E$11+1,1))</f>
        <v>201.7253431547006</v>
      </c>
      <c r="BJ166" s="59">
        <f t="shared" si="146"/>
        <v>229.70004720044096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6.275774846820088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6.275774846820088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-1.2710188457276673E-13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462.09240749760784</v>
      </c>
      <c r="CE166" s="59">
        <f t="shared" si="148"/>
        <v>403.52202223463337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66.484049788241364</v>
      </c>
      <c r="CL166" s="21">
        <f>EXP(-LN(2)/25)*CL165+(1-EXP(-LN(2)/25))/(LN(2)/25)*Calculateur!CG166*Calculateur!CI166*VLOOKUP('Données projet'!$B$12,Paramètres!$A$1:$I$89,3,0)*0.475*44/12</f>
        <v>3.4528249807102354</v>
      </c>
      <c r="CM166" s="21">
        <f>EXP(-LN(2)/2)*CM165+(1-EXP(-LN(2)/2))/(LN(2)/2)*CG166*CJ166*VLOOKUP('Données projet'!$B$12,Paramètres!$A$1:$I$89,3,0)*0.475*44/12</f>
        <v>5.6436473779797855E-12</v>
      </c>
      <c r="CN166" s="22">
        <f t="shared" si="172"/>
        <v>69.936874768957239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319.88925869887464</v>
      </c>
      <c r="CZ166" s="59">
        <f t="shared" si="150"/>
        <v>258.2857172412098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31.786204934986401</v>
      </c>
      <c r="DG166" s="21">
        <f>EXP(-LN(2)/25)*DG165+(1-EXP(-LN(2)/25))/(LN(2)/25)*Calculateur!DB166*Calculateur!DD166*VLOOKUP('Données projet'!$B$13,Paramètres!$A$1:$I$89,3,0)*0.475*44/12</f>
        <v>4.7850889918470285</v>
      </c>
      <c r="DH166" s="21">
        <f>EXP(-LN(2)/2)*DH165+(1-EXP(-LN(2)/2))/(LN(2)/2)*DB166*DE166*VLOOKUP('Données projet'!$B$13,Paramètres!$A$1:$I$89,3,0)*0.475*44/12</f>
        <v>1.3551564260996792E-11</v>
      </c>
      <c r="DI166" s="22">
        <f t="shared" si="175"/>
        <v>36.571293926846977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-5.6843418860808015E-13</v>
      </c>
      <c r="DP166" s="17">
        <f>DO166*VLOOKUP('Données projet'!$B$14,Paramètres!$A$1:$I$89,3,0)*VLOOKUP('Données projet'!$B$14,Paramètres!$A$1:$I$89,5,0)</f>
        <v>-3.39923644787632E-13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443.64905827069435</v>
      </c>
      <c r="DU166" s="59">
        <f t="shared" si="152"/>
        <v>381.14782516862385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41.4425881477895</v>
      </c>
      <c r="EB166" s="21">
        <f>EXP(-LN(2)/25)*EB165+(1-EXP(-LN(2)/25))/(LN(2)/25)*Calculateur!DW166*Calculateur!DY166*VLOOKUP('Données projet'!$B$14,Paramètres!$A$1:$I$89,3,0)*0.475*44/12</f>
        <v>4.1721624574010141</v>
      </c>
      <c r="EC166" s="21">
        <f>EXP(-LN(2)/2)*EC165+(1-EXP(-LN(2)/2))/(LN(2)/2)*DW166*DZ166*VLOOKUP('Données projet'!$B$14,Paramètres!$A$1:$I$89,3,0)*0.475*44/12</f>
        <v>3.3171856716139546E-12</v>
      </c>
      <c r="ED166" s="22">
        <f t="shared" si="178"/>
        <v>45.614750605193834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-3.4106051316484809E-13</v>
      </c>
      <c r="EK166" s="17">
        <f>EJ166*VLOOKUP('Données projet'!$B$15,Paramètres!$A$1:$I$89,3,0)*VLOOKUP('Données projet'!$B$15,Paramètres!$A$1:$I$89,5,0)</f>
        <v>-3.0859155231155454E-13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504.37890861635196</v>
      </c>
      <c r="EP166" s="59">
        <f t="shared" si="154"/>
        <v>611.82129317522913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9.0944234602505993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9.0944234602505993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-1.1368683772161603E-13</v>
      </c>
      <c r="FF166" s="17">
        <f>FE166*VLOOKUP('Données projet'!$B$16,Paramètres!$A$1:$I$89,3,0)*VLOOKUP('Données projet'!$B$16,Paramètres!$A$1:$I$89,5,0)</f>
        <v>-1.223725121235475E-13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334.01098870576732</v>
      </c>
      <c r="FK166" s="59">
        <f t="shared" si="156"/>
        <v>171.1802153303471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51.431620043382893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51.431620043382893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-1.7053025658242404E-13</v>
      </c>
      <c r="GA166" s="17">
        <f>FZ166*VLOOKUP('Données projet'!$B$17,Paramètres!$A$1:$I$89,3,0)*VLOOKUP('Données projet'!$B$17,Paramètres!$A$1:$I$89,5,0)</f>
        <v>-1.4897523215040567E-13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330.12856974146598</v>
      </c>
      <c r="GF166" s="59">
        <f t="shared" si="158"/>
        <v>321.23368446552286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22.636008922268086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22.636008922268086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69.682650601229142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-1.7053025658242404E-13</v>
      </c>
      <c r="GV166" s="17">
        <f>GU166*VLOOKUP('Données projet'!$B$18,Paramètres!$A$1:$I$89,3,0)*VLOOKUP('Données projet'!$B$18,Paramètres!$A$1:$I$89,5,0)</f>
        <v>-1.1439169611549005E-13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296.67751292332753</v>
      </c>
      <c r="HA166" s="59">
        <f t="shared" si="160"/>
        <v>197.99510031603018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54.395956684939698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54.395956684939698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1.1000000000000001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4.0333333333333341</v>
      </c>
      <c r="H167" s="67">
        <f t="shared" si="110"/>
        <v>240.5333333333333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-1.5429577615577727E-13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461.20962581398715</v>
      </c>
      <c r="T167" s="59">
        <f t="shared" si="142"/>
        <v>348.44322874953923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76.354410901469777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76.354410901469777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-1.72917680174578E-13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510.86584023875525</v>
      </c>
      <c r="AO167" s="59">
        <f t="shared" si="144"/>
        <v>384.62921487244125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85.569598424060942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85.569598424060942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4.1677594708744434E-14</v>
      </c>
      <c r="BF167" s="13">
        <f t="shared" si="167"/>
        <v>6.9326303456159188E-13</v>
      </c>
      <c r="BG167" s="20">
        <f t="shared" si="168"/>
        <v>1.2800215959791691E-12</v>
      </c>
      <c r="BH167" s="59">
        <f t="shared" si="116"/>
        <v>292.18990498064102</v>
      </c>
      <c r="BI167" s="59">
        <f ca="1">AVERAGE(OFFSET($BH$3,0,0,'Données projet'!$E$11+1,1))-AVERAGE(OFFSET($H$3,0,0,'Données projet'!$E$11+1,1))</f>
        <v>201.7253431547006</v>
      </c>
      <c r="BJ167" s="59">
        <f t="shared" si="146"/>
        <v>229.70004720044096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6.1527107299186348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6.1527107299186348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-1.2710188457276673E-13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462.09240749760784</v>
      </c>
      <c r="CE167" s="59">
        <f t="shared" si="148"/>
        <v>403.52202223463337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65.180338123160212</v>
      </c>
      <c r="CL167" s="21">
        <f>EXP(-LN(2)/25)*CL166+(1-EXP(-LN(2)/25))/(LN(2)/25)*Calculateur!CG167*Calculateur!CI167*VLOOKUP('Données projet'!$B$12,Paramètres!$A$1:$I$89,3,0)*0.475*44/12</f>
        <v>3.3584073000365398</v>
      </c>
      <c r="CM167" s="21">
        <f>EXP(-LN(2)/2)*CM166+(1-EXP(-LN(2)/2))/(LN(2)/2)*CG167*CJ167*VLOOKUP('Données projet'!$B$12,Paramètres!$A$1:$I$89,3,0)*0.475*44/12</f>
        <v>3.9906613315951848E-12</v>
      </c>
      <c r="CN167" s="22">
        <f t="shared" si="172"/>
        <v>68.538745423200751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319.88925869887464</v>
      </c>
      <c r="CZ167" s="59">
        <f t="shared" si="150"/>
        <v>258.2857172412098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31.162896843881953</v>
      </c>
      <c r="DG167" s="21">
        <f>EXP(-LN(2)/25)*DG166+(1-EXP(-LN(2)/25))/(LN(2)/25)*Calculateur!DB167*Calculateur!DD167*VLOOKUP('Données projet'!$B$13,Paramètres!$A$1:$I$89,3,0)*0.475*44/12</f>
        <v>4.6542404817280776</v>
      </c>
      <c r="DH167" s="21">
        <f>EXP(-LN(2)/2)*DH166+(1-EXP(-LN(2)/2))/(LN(2)/2)*DB167*DE167*VLOOKUP('Données projet'!$B$13,Paramètres!$A$1:$I$89,3,0)*0.475*44/12</f>
        <v>9.5824029846360961E-12</v>
      </c>
      <c r="DI167" s="22">
        <f t="shared" si="175"/>
        <v>35.817137325619619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-5.6843418860808015E-13</v>
      </c>
      <c r="DP167" s="17">
        <f>DO167*VLOOKUP('Données projet'!$B$14,Paramètres!$A$1:$I$89,3,0)*VLOOKUP('Données projet'!$B$14,Paramètres!$A$1:$I$89,5,0)</f>
        <v>-3.39923644787632E-13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443.64905827069435</v>
      </c>
      <c r="DU167" s="59">
        <f t="shared" si="152"/>
        <v>381.14782516862385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40.629924271694172</v>
      </c>
      <c r="EB167" s="21">
        <f>EXP(-LN(2)/25)*EB166+(1-EXP(-LN(2)/25))/(LN(2)/25)*Calculateur!DW167*Calculateur!DY167*VLOOKUP('Données projet'!$B$14,Paramètres!$A$1:$I$89,3,0)*0.475*44/12</f>
        <v>4.058074455598895</v>
      </c>
      <c r="EC167" s="21">
        <f>EXP(-LN(2)/2)*EC166+(1-EXP(-LN(2)/2))/(LN(2)/2)*DW167*DZ167*VLOOKUP('Données projet'!$B$14,Paramètres!$A$1:$I$89,3,0)*0.475*44/12</f>
        <v>2.3456044828530792E-12</v>
      </c>
      <c r="ED167" s="22">
        <f t="shared" si="178"/>
        <v>44.687998727295408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-3.4106051316484809E-13</v>
      </c>
      <c r="EK167" s="17">
        <f>EJ167*VLOOKUP('Données projet'!$B$15,Paramètres!$A$1:$I$89,3,0)*VLOOKUP('Données projet'!$B$15,Paramètres!$A$1:$I$89,5,0)</f>
        <v>-3.0859155231155454E-13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504.37890861635196</v>
      </c>
      <c r="EP167" s="59">
        <f t="shared" si="154"/>
        <v>611.82129317522913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8.9160873632456692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8.9160873632456692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-1.1368683772161603E-13</v>
      </c>
      <c r="FF167" s="17">
        <f>FE167*VLOOKUP('Données projet'!$B$16,Paramètres!$A$1:$I$89,3,0)*VLOOKUP('Données projet'!$B$16,Paramètres!$A$1:$I$89,5,0)</f>
        <v>-1.223725121235475E-13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334.01098870576732</v>
      </c>
      <c r="FK167" s="59">
        <f t="shared" si="156"/>
        <v>171.1802153303471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50.423077344522831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50.423077344522831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-1.7053025658242404E-13</v>
      </c>
      <c r="GA167" s="17">
        <f>FZ167*VLOOKUP('Données projet'!$B$17,Paramètres!$A$1:$I$89,3,0)*VLOOKUP('Données projet'!$B$17,Paramètres!$A$1:$I$89,5,0)</f>
        <v>-1.4897523215040567E-13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330.12856974146598</v>
      </c>
      <c r="GF167" s="59">
        <f t="shared" si="158"/>
        <v>321.23368446552286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22.192130593904562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22.192130593904562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69.688155903810838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-1.7053025658242404E-13</v>
      </c>
      <c r="GV167" s="17">
        <f>GU167*VLOOKUP('Données projet'!$B$18,Paramètres!$A$1:$I$89,3,0)*VLOOKUP('Données projet'!$B$18,Paramètres!$A$1:$I$89,5,0)</f>
        <v>-1.1439169611549005E-13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296.67751292332753</v>
      </c>
      <c r="HA167" s="59">
        <f t="shared" si="160"/>
        <v>197.99510031603018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53.329285152605529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53.329285152605529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1.1000000000000001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4.0333333333333341</v>
      </c>
      <c r="H168" s="67">
        <f t="shared" si="110"/>
        <v>240.5333333333333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-1.5429577615577727E-13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461.20962581398715</v>
      </c>
      <c r="T168" s="59">
        <f t="shared" si="142"/>
        <v>348.44322874953923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74.857147475284037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74.857147475284037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-1.72917680174578E-13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510.86584023875525</v>
      </c>
      <c r="AO168" s="59">
        <f t="shared" si="144"/>
        <v>384.62921487244125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83.891630791266579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83.891630791266579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4.1677594708744434E-14</v>
      </c>
      <c r="BF168" s="13">
        <f t="shared" si="167"/>
        <v>6.9326303456159188E-13</v>
      </c>
      <c r="BG168" s="20">
        <f t="shared" si="168"/>
        <v>1.2800215959791691E-12</v>
      </c>
      <c r="BH168" s="59">
        <f t="shared" si="116"/>
        <v>292.20974090623747</v>
      </c>
      <c r="BI168" s="59">
        <f ca="1">AVERAGE(OFFSET($BH$3,0,0,'Données projet'!$E$11+1,1))-AVERAGE(OFFSET($H$3,0,0,'Données projet'!$E$11+1,1))</f>
        <v>201.7253431547006</v>
      </c>
      <c r="BJ168" s="59">
        <f t="shared" si="146"/>
        <v>229.70004720044096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6.0320598252879192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6.0320598252879192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-1.2710188457276673E-13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462.09240749760784</v>
      </c>
      <c r="CE168" s="59">
        <f t="shared" si="148"/>
        <v>403.52202223463337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63.902191448645709</v>
      </c>
      <c r="CL168" s="21">
        <f>EXP(-LN(2)/25)*CL167+(1-EXP(-LN(2)/25))/(LN(2)/25)*Calculateur!CG168*Calculateur!CI168*VLOOKUP('Données projet'!$B$12,Paramètres!$A$1:$I$89,3,0)*0.475*44/12</f>
        <v>3.2665714758060762</v>
      </c>
      <c r="CM168" s="21">
        <f>EXP(-LN(2)/2)*CM167+(1-EXP(-LN(2)/2))/(LN(2)/2)*CG168*CJ168*VLOOKUP('Données projet'!$B$12,Paramètres!$A$1:$I$89,3,0)*0.475*44/12</f>
        <v>2.8218236889898927E-12</v>
      </c>
      <c r="CN168" s="22">
        <f t="shared" si="172"/>
        <v>67.168762924454612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319.88925869887464</v>
      </c>
      <c r="CZ168" s="59">
        <f t="shared" si="150"/>
        <v>258.2857172412098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30.55181144426367</v>
      </c>
      <c r="DG168" s="21">
        <f>EXP(-LN(2)/25)*DG167+(1-EXP(-LN(2)/25))/(LN(2)/25)*Calculateur!DB168*Calculateur!DD168*VLOOKUP('Données projet'!$B$13,Paramètres!$A$1:$I$89,3,0)*0.475*44/12</f>
        <v>4.5269700309993537</v>
      </c>
      <c r="DH168" s="21">
        <f>EXP(-LN(2)/2)*DH167+(1-EXP(-LN(2)/2))/(LN(2)/2)*DB168*DE168*VLOOKUP('Données projet'!$B$13,Paramètres!$A$1:$I$89,3,0)*0.475*44/12</f>
        <v>6.775782130498396E-12</v>
      </c>
      <c r="DI168" s="22">
        <f t="shared" si="175"/>
        <v>35.0787814752698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-5.6843418860808015E-13</v>
      </c>
      <c r="DP168" s="17">
        <f>DO168*VLOOKUP('Données projet'!$B$14,Paramètres!$A$1:$I$89,3,0)*VLOOKUP('Données projet'!$B$14,Paramètres!$A$1:$I$89,5,0)</f>
        <v>-3.39923644787632E-13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443.64905827069435</v>
      </c>
      <c r="DU168" s="59">
        <f t="shared" si="152"/>
        <v>381.14782516862385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39.833196238533056</v>
      </c>
      <c r="EB168" s="21">
        <f>EXP(-LN(2)/25)*EB167+(1-EXP(-LN(2)/25))/(LN(2)/25)*Calculateur!DW168*Calculateur!DY168*VLOOKUP('Données projet'!$B$14,Paramètres!$A$1:$I$89,3,0)*0.475*44/12</f>
        <v>3.9471061962056826</v>
      </c>
      <c r="EC168" s="21">
        <f>EXP(-LN(2)/2)*EC167+(1-EXP(-LN(2)/2))/(LN(2)/2)*DW168*DZ168*VLOOKUP('Données projet'!$B$14,Paramètres!$A$1:$I$89,3,0)*0.475*44/12</f>
        <v>1.6585928358069773E-12</v>
      </c>
      <c r="ED168" s="22">
        <f t="shared" si="178"/>
        <v>43.780302434740392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-3.4106051316484809E-13</v>
      </c>
      <c r="EK168" s="17">
        <f>EJ168*VLOOKUP('Données projet'!$B$15,Paramètres!$A$1:$I$89,3,0)*VLOOKUP('Données projet'!$B$15,Paramètres!$A$1:$I$89,5,0)</f>
        <v>-3.0859155231155454E-13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504.37890861635196</v>
      </c>
      <c r="EP168" s="59">
        <f t="shared" si="154"/>
        <v>611.82129317522913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8.7412483283287283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8.7412483283287283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-1.1368683772161603E-13</v>
      </c>
      <c r="FF168" s="17">
        <f>FE168*VLOOKUP('Données projet'!$B$16,Paramètres!$A$1:$I$89,3,0)*VLOOKUP('Données projet'!$B$16,Paramètres!$A$1:$I$89,5,0)</f>
        <v>-1.223725121235475E-13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334.01098870576732</v>
      </c>
      <c r="FK168" s="59">
        <f t="shared" si="156"/>
        <v>171.1802153303471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49.434311552837109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49.434311552837109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-1.7053025658242404E-13</v>
      </c>
      <c r="GA168" s="17">
        <f>FZ168*VLOOKUP('Données projet'!$B$17,Paramètres!$A$1:$I$89,3,0)*VLOOKUP('Données projet'!$B$17,Paramètres!$A$1:$I$89,5,0)</f>
        <v>-1.4897523215040567E-13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330.12856974146598</v>
      </c>
      <c r="GF168" s="59">
        <f t="shared" si="158"/>
        <v>321.23368446552286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21.7569564488212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21.7569564488212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69.693565701700777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-1.7053025658242404E-13</v>
      </c>
      <c r="GV168" s="17">
        <f>GU168*VLOOKUP('Données projet'!$B$18,Paramètres!$A$1:$I$89,3,0)*VLOOKUP('Données projet'!$B$18,Paramètres!$A$1:$I$89,5,0)</f>
        <v>-1.1439169611549005E-13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296.67751292332753</v>
      </c>
      <c r="HA168" s="59">
        <f t="shared" si="160"/>
        <v>197.99510031603018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52.283530398415039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52.283530398415039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1.1000000000000001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4.0333333333333341</v>
      </c>
      <c r="H169" s="67">
        <f t="shared" si="110"/>
        <v>240.5333333333333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-1.5429577615577727E-13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461.20962581398715</v>
      </c>
      <c r="T169" s="59">
        <f t="shared" si="142"/>
        <v>348.44322874953923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73.389244471645284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73.389244471645284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-1.72917680174578E-13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510.86584023875525</v>
      </c>
      <c r="AO169" s="59">
        <f t="shared" si="144"/>
        <v>384.62921487244125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82.246567080292124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82.246567080292124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4.1677594708744434E-14</v>
      </c>
      <c r="BF169" s="13">
        <f t="shared" si="167"/>
        <v>6.9326303456159188E-13</v>
      </c>
      <c r="BG169" s="20">
        <f t="shared" si="168"/>
        <v>1.2800215959791691E-12</v>
      </c>
      <c r="BH169" s="59">
        <f t="shared" si="116"/>
        <v>292.22923272287125</v>
      </c>
      <c r="BI169" s="59">
        <f ca="1">AVERAGE(OFFSET($BH$3,0,0,'Données projet'!$E$11+1,1))-AVERAGE(OFFSET($H$3,0,0,'Données projet'!$E$11+1,1))</f>
        <v>201.7253431547006</v>
      </c>
      <c r="BJ169" s="59">
        <f t="shared" si="146"/>
        <v>229.70004720044096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5.9137748113072259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5.9137748113072259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-1.2710188457276673E-13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462.09240749760784</v>
      </c>
      <c r="CE169" s="59">
        <f t="shared" si="148"/>
        <v>403.52202223463337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62.649108450825942</v>
      </c>
      <c r="CL169" s="21">
        <f>EXP(-LN(2)/25)*CL168+(1-EXP(-LN(2)/25))/(LN(2)/25)*Calculateur!CG169*Calculateur!CI169*VLOOKUP('Données projet'!$B$12,Paramètres!$A$1:$I$89,3,0)*0.475*44/12</f>
        <v>3.1772469070186311</v>
      </c>
      <c r="CM169" s="21">
        <f>EXP(-LN(2)/2)*CM168+(1-EXP(-LN(2)/2))/(LN(2)/2)*CG169*CJ169*VLOOKUP('Données projet'!$B$12,Paramètres!$A$1:$I$89,3,0)*0.475*44/12</f>
        <v>1.9953306657975924E-12</v>
      </c>
      <c r="CN169" s="22">
        <f t="shared" si="172"/>
        <v>65.826355357846566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319.88925869887464</v>
      </c>
      <c r="CZ169" s="59">
        <f t="shared" si="150"/>
        <v>258.2857172412098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29.952709056606611</v>
      </c>
      <c r="DG169" s="21">
        <f>EXP(-LN(2)/25)*DG168+(1-EXP(-LN(2)/25))/(LN(2)/25)*Calculateur!DB169*Calculateur!DD169*VLOOKUP('Données projet'!$B$13,Paramètres!$A$1:$I$89,3,0)*0.475*44/12</f>
        <v>4.4031797974386686</v>
      </c>
      <c r="DH169" s="21">
        <f>EXP(-LN(2)/2)*DH168+(1-EXP(-LN(2)/2))/(LN(2)/2)*DB169*DE169*VLOOKUP('Données projet'!$B$13,Paramètres!$A$1:$I$89,3,0)*0.475*44/12</f>
        <v>4.791201492318048E-12</v>
      </c>
      <c r="DI169" s="22">
        <f t="shared" si="175"/>
        <v>34.355888854050072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-5.6843418860808015E-13</v>
      </c>
      <c r="DP169" s="17">
        <f>DO169*VLOOKUP('Données projet'!$B$14,Paramètres!$A$1:$I$89,3,0)*VLOOKUP('Données projet'!$B$14,Paramètres!$A$1:$I$89,5,0)</f>
        <v>-3.39923644787632E-13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443.64905827069435</v>
      </c>
      <c r="DU169" s="59">
        <f t="shared" si="152"/>
        <v>381.14782516862385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39.052091556146109</v>
      </c>
      <c r="EB169" s="21">
        <f>EXP(-LN(2)/25)*EB168+(1-EXP(-LN(2)/25))/(LN(2)/25)*Calculateur!DW169*Calculateur!DY169*VLOOKUP('Données projet'!$B$14,Paramètres!$A$1:$I$89,3,0)*0.475*44/12</f>
        <v>3.8391723697011444</v>
      </c>
      <c r="EC169" s="21">
        <f>EXP(-LN(2)/2)*EC168+(1-EXP(-LN(2)/2))/(LN(2)/2)*DW169*DZ169*VLOOKUP('Données projet'!$B$14,Paramètres!$A$1:$I$89,3,0)*0.475*44/12</f>
        <v>1.1728022414265396E-12</v>
      </c>
      <c r="ED169" s="22">
        <f t="shared" si="178"/>
        <v>42.891263925848428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-3.4106051316484809E-13</v>
      </c>
      <c r="EK169" s="17">
        <f>EJ169*VLOOKUP('Données projet'!$B$15,Paramètres!$A$1:$I$89,3,0)*VLOOKUP('Données projet'!$B$15,Paramètres!$A$1:$I$89,5,0)</f>
        <v>-3.0859155231155454E-13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504.37890861635196</v>
      </c>
      <c r="EP169" s="59">
        <f t="shared" si="154"/>
        <v>611.82129317522913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8.5698377802452264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8.5698377802452264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-1.1368683772161603E-13</v>
      </c>
      <c r="FF169" s="17">
        <f>FE169*VLOOKUP('Données projet'!$B$16,Paramètres!$A$1:$I$89,3,0)*VLOOKUP('Données projet'!$B$16,Paramètres!$A$1:$I$89,5,0)</f>
        <v>-1.223725121235475E-13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334.01098870576732</v>
      </c>
      <c r="FK169" s="59">
        <f t="shared" si="156"/>
        <v>171.1802153303471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48.464934855238759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48.464934855238759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-1.7053025658242404E-13</v>
      </c>
      <c r="GA169" s="17">
        <f>FZ169*VLOOKUP('Données projet'!$B$17,Paramètres!$A$1:$I$89,3,0)*VLOOKUP('Données projet'!$B$17,Paramètres!$A$1:$I$89,5,0)</f>
        <v>-1.4897523215040567E-13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330.12856974146598</v>
      </c>
      <c r="GF169" s="59">
        <f t="shared" si="158"/>
        <v>321.23368446552286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21.330315803292905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21.330315803292905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69.698881651691806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-1.7053025658242404E-13</v>
      </c>
      <c r="GV169" s="17">
        <f>GU169*VLOOKUP('Données projet'!$B$18,Paramètres!$A$1:$I$89,3,0)*VLOOKUP('Données projet'!$B$18,Paramètres!$A$1:$I$89,5,0)</f>
        <v>-1.1439169611549005E-13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296.67751292332753</v>
      </c>
      <c r="HA169" s="59">
        <f t="shared" si="160"/>
        <v>197.99510031603018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51.258282257106806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51.258282257106806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1.1000000000000001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4.0333333333333341</v>
      </c>
      <c r="H170" s="67">
        <f t="shared" si="110"/>
        <v>240.5333333333333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-1.5429577615577727E-13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461.20962581398715</v>
      </c>
      <c r="T170" s="59">
        <f t="shared" si="142"/>
        <v>348.44322874953923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71.950126150575471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71.950126150575471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-1.72917680174578E-13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510.86584023875525</v>
      </c>
      <c r="AO170" s="59">
        <f t="shared" si="144"/>
        <v>384.62921487244125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80.63376206530009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80.63376206530009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4.1677594708744434E-14</v>
      </c>
      <c r="BF170" s="13">
        <f t="shared" si="167"/>
        <v>6.9326303456159188E-13</v>
      </c>
      <c r="BG170" s="20">
        <f t="shared" si="168"/>
        <v>1.2800215959791691E-12</v>
      </c>
      <c r="BH170" s="59">
        <f t="shared" si="116"/>
        <v>292.24838640006362</v>
      </c>
      <c r="BI170" s="59">
        <f ca="1">AVERAGE(OFFSET($BH$3,0,0,'Données projet'!$E$11+1,1))-AVERAGE(OFFSET($H$3,0,0,'Données projet'!$E$11+1,1))</f>
        <v>201.7253431547006</v>
      </c>
      <c r="BJ170" s="59">
        <f t="shared" si="146"/>
        <v>229.70004720044096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5.7978092943039599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5.7978092943039599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-1.2710188457276673E-13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462.09240749760784</v>
      </c>
      <c r="CE170" s="59">
        <f t="shared" si="148"/>
        <v>403.52202223463337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61.420597646288257</v>
      </c>
      <c r="CL170" s="21">
        <f>EXP(-LN(2)/25)*CL169+(1-EXP(-LN(2)/25))/(LN(2)/25)*Calculateur!CG170*Calculateur!CI170*VLOOKUP('Données projet'!$B$12,Paramètres!$A$1:$I$89,3,0)*0.475*44/12</f>
        <v>3.0903649232620536</v>
      </c>
      <c r="CM170" s="21">
        <f>EXP(-LN(2)/2)*CM169+(1-EXP(-LN(2)/2))/(LN(2)/2)*CG170*CJ170*VLOOKUP('Données projet'!$B$12,Paramètres!$A$1:$I$89,3,0)*0.475*44/12</f>
        <v>1.4109118444949464E-12</v>
      </c>
      <c r="CN170" s="22">
        <f t="shared" si="172"/>
        <v>64.510962569551722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319.88925869887464</v>
      </c>
      <c r="CZ170" s="59">
        <f t="shared" si="150"/>
        <v>258.2857172412098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29.36535470135513</v>
      </c>
      <c r="DG170" s="21">
        <f>EXP(-LN(2)/25)*DG169+(1-EXP(-LN(2)/25))/(LN(2)/25)*Calculateur!DB170*Calculateur!DD170*VLOOKUP('Données projet'!$B$13,Paramètres!$A$1:$I$89,3,0)*0.475*44/12</f>
        <v>4.2827746143245466</v>
      </c>
      <c r="DH170" s="21">
        <f>EXP(-LN(2)/2)*DH169+(1-EXP(-LN(2)/2))/(LN(2)/2)*DB170*DE170*VLOOKUP('Données projet'!$B$13,Paramètres!$A$1:$I$89,3,0)*0.475*44/12</f>
        <v>3.387891065249198E-12</v>
      </c>
      <c r="DI170" s="22">
        <f t="shared" si="175"/>
        <v>33.648129315683065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-5.6843418860808015E-13</v>
      </c>
      <c r="DP170" s="17">
        <f>DO170*VLOOKUP('Données projet'!$B$14,Paramètres!$A$1:$I$89,3,0)*VLOOKUP('Données projet'!$B$14,Paramètres!$A$1:$I$89,5,0)</f>
        <v>-3.39923644787632E-13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443.64905827069435</v>
      </c>
      <c r="DU170" s="59">
        <f t="shared" si="152"/>
        <v>381.14782516862385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38.286303860153964</v>
      </c>
      <c r="EB170" s="21">
        <f>EXP(-LN(2)/25)*EB169+(1-EXP(-LN(2)/25))/(LN(2)/25)*Calculateur!DW170*Calculateur!DY170*VLOOKUP('Données projet'!$B$14,Paramètres!$A$1:$I$89,3,0)*0.475*44/12</f>
        <v>3.734189999358366</v>
      </c>
      <c r="EC170" s="21">
        <f>EXP(-LN(2)/2)*EC169+(1-EXP(-LN(2)/2))/(LN(2)/2)*DW170*DZ170*VLOOKUP('Données projet'!$B$14,Paramètres!$A$1:$I$89,3,0)*0.475*44/12</f>
        <v>8.2929641790348865E-13</v>
      </c>
      <c r="ED170" s="22">
        <f t="shared" si="178"/>
        <v>42.020493859513159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-3.4106051316484809E-13</v>
      </c>
      <c r="EK170" s="17">
        <f>EJ170*VLOOKUP('Données projet'!$B$15,Paramètres!$A$1:$I$89,3,0)*VLOOKUP('Données projet'!$B$15,Paramètres!$A$1:$I$89,5,0)</f>
        <v>-3.0859155231155454E-13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504.37890861635196</v>
      </c>
      <c r="EP170" s="59">
        <f t="shared" si="154"/>
        <v>611.82129317522913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8.4017884884595322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8.4017884884595322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-1.1368683772161603E-13</v>
      </c>
      <c r="FF170" s="17">
        <f>FE170*VLOOKUP('Données projet'!$B$16,Paramètres!$A$1:$I$89,3,0)*VLOOKUP('Données projet'!$B$16,Paramètres!$A$1:$I$89,5,0)</f>
        <v>-1.223725121235475E-13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334.01098870576732</v>
      </c>
      <c r="FK170" s="59">
        <f t="shared" si="156"/>
        <v>171.1802153303471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47.514567043418914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47.514567043418914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-1.7053025658242404E-13</v>
      </c>
      <c r="GA170" s="17">
        <f>FZ170*VLOOKUP('Données projet'!$B$17,Paramètres!$A$1:$I$89,3,0)*VLOOKUP('Données projet'!$B$17,Paramètres!$A$1:$I$89,5,0)</f>
        <v>-1.4897523215040567E-13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330.12856974146598</v>
      </c>
      <c r="GF170" s="59">
        <f t="shared" si="158"/>
        <v>321.23368446552286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20.91204132059832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20.91204132059832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69.704105381835177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-1.7053025658242404E-13</v>
      </c>
      <c r="GV170" s="17">
        <f>GU170*VLOOKUP('Données projet'!$B$18,Paramètres!$A$1:$I$89,3,0)*VLOOKUP('Données projet'!$B$18,Paramètres!$A$1:$I$89,5,0)</f>
        <v>-1.1439169611549005E-13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296.67751292332753</v>
      </c>
      <c r="HA170" s="59">
        <f t="shared" si="160"/>
        <v>197.99510031603018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50.253138606510007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50.253138606510007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1.1000000000000001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4.0333333333333341</v>
      </c>
      <c r="H171" s="67">
        <f t="shared" si="110"/>
        <v>240.5333333333333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-1.5429577615577727E-13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461.20962581398715</v>
      </c>
      <c r="T171" s="59">
        <f t="shared" si="142"/>
        <v>348.44322874953923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70.53922806200633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70.53922806200633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-1.72917680174578E-13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510.86584023875525</v>
      </c>
      <c r="AO171" s="59">
        <f t="shared" si="144"/>
        <v>384.62921487244125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79.052583172938128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79.052583172938128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4.1677594708744434E-14</v>
      </c>
      <c r="BF171" s="13">
        <f t="shared" si="167"/>
        <v>6.9326303456159188E-13</v>
      </c>
      <c r="BG171" s="20">
        <f t="shared" si="168"/>
        <v>1.2800215959791691E-12</v>
      </c>
      <c r="BH171" s="59">
        <f t="shared" si="116"/>
        <v>292.26720780377792</v>
      </c>
      <c r="BI171" s="59">
        <f ca="1">AVERAGE(OFFSET($BH$3,0,0,'Données projet'!$E$11+1,1))-AVERAGE(OFFSET($H$3,0,0,'Données projet'!$E$11+1,1))</f>
        <v>201.7253431547006</v>
      </c>
      <c r="BJ171" s="59">
        <f t="shared" si="146"/>
        <v>229.70004720044096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5.6841177903571465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5.6841177903571465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-1.2710188457276673E-13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462.09240749760784</v>
      </c>
      <c r="CE171" s="59">
        <f t="shared" si="148"/>
        <v>403.52202223463337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60.21617718930996</v>
      </c>
      <c r="CL171" s="21">
        <f>EXP(-LN(2)/25)*CL170+(1-EXP(-LN(2)/25))/(LN(2)/25)*Calculateur!CG171*Calculateur!CI171*VLOOKUP('Données projet'!$B$12,Paramètres!$A$1:$I$89,3,0)*0.475*44/12</f>
        <v>3.0058587319202243</v>
      </c>
      <c r="CM171" s="21">
        <f>EXP(-LN(2)/2)*CM170+(1-EXP(-LN(2)/2))/(LN(2)/2)*CG171*CJ171*VLOOKUP('Données projet'!$B$12,Paramètres!$A$1:$I$89,3,0)*0.475*44/12</f>
        <v>9.9766533289879619E-13</v>
      </c>
      <c r="CN171" s="22">
        <f t="shared" si="172"/>
        <v>63.222035921231182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319.88925869887464</v>
      </c>
      <c r="CZ171" s="59">
        <f t="shared" si="150"/>
        <v>258.2857172412098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28.789518006759351</v>
      </c>
      <c r="DG171" s="21">
        <f>EXP(-LN(2)/25)*DG170+(1-EXP(-LN(2)/25))/(LN(2)/25)*Calculateur!DB171*Calculateur!DD171*VLOOKUP('Données projet'!$B$13,Paramètres!$A$1:$I$89,3,0)*0.475*44/12</f>
        <v>4.1656619172745133</v>
      </c>
      <c r="DH171" s="21">
        <f>EXP(-LN(2)/2)*DH170+(1-EXP(-LN(2)/2))/(LN(2)/2)*DB171*DE171*VLOOKUP('Données projet'!$B$13,Paramètres!$A$1:$I$89,3,0)*0.475*44/12</f>
        <v>2.395600746159024E-12</v>
      </c>
      <c r="DI171" s="22">
        <f t="shared" si="175"/>
        <v>32.955179924036258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-5.6843418860808015E-13</v>
      </c>
      <c r="DP171" s="17">
        <f>DO171*VLOOKUP('Données projet'!$B$14,Paramètres!$A$1:$I$89,3,0)*VLOOKUP('Données projet'!$B$14,Paramètres!$A$1:$I$89,5,0)</f>
        <v>-3.39923644787632E-13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443.64905827069435</v>
      </c>
      <c r="DU171" s="59">
        <f t="shared" si="152"/>
        <v>381.14782516862385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37.535532793795845</v>
      </c>
      <c r="EB171" s="21">
        <f>EXP(-LN(2)/25)*EB170+(1-EXP(-LN(2)/25))/(LN(2)/25)*Calculateur!DW171*Calculateur!DY171*VLOOKUP('Données projet'!$B$14,Paramètres!$A$1:$I$89,3,0)*0.475*44/12</f>
        <v>3.6320783774533942</v>
      </c>
      <c r="EC171" s="21">
        <f>EXP(-LN(2)/2)*EC170+(1-EXP(-LN(2)/2))/(LN(2)/2)*DW171*DZ171*VLOOKUP('Données projet'!$B$14,Paramètres!$A$1:$I$89,3,0)*0.475*44/12</f>
        <v>5.8640112071326981E-13</v>
      </c>
      <c r="ED171" s="22">
        <f t="shared" si="178"/>
        <v>41.167611171249831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-3.4106051316484809E-13</v>
      </c>
      <c r="EK171" s="17">
        <f>EJ171*VLOOKUP('Données projet'!$B$15,Paramètres!$A$1:$I$89,3,0)*VLOOKUP('Données projet'!$B$15,Paramètres!$A$1:$I$89,5,0)</f>
        <v>-3.0859155231155454E-13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504.37890861635196</v>
      </c>
      <c r="EP171" s="59">
        <f t="shared" si="154"/>
        <v>611.82129317522913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8.2370345407858085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8.2370345407858085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-1.1368683772161603E-13</v>
      </c>
      <c r="FF171" s="17">
        <f>FE171*VLOOKUP('Données projet'!$B$16,Paramètres!$A$1:$I$89,3,0)*VLOOKUP('Données projet'!$B$16,Paramètres!$A$1:$I$89,5,0)</f>
        <v>-1.223725121235475E-13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334.01098870576732</v>
      </c>
      <c r="FK171" s="59">
        <f t="shared" si="156"/>
        <v>171.1802153303471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46.582835364721724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46.582835364721724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-1.7053025658242404E-13</v>
      </c>
      <c r="GA171" s="17">
        <f>FZ171*VLOOKUP('Données projet'!$B$17,Paramètres!$A$1:$I$89,3,0)*VLOOKUP('Données projet'!$B$17,Paramètres!$A$1:$I$89,5,0)</f>
        <v>-1.4897523215040567E-13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330.12856974146598</v>
      </c>
      <c r="GF171" s="59">
        <f t="shared" si="158"/>
        <v>321.23368446552286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20.501968945387134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20.501968945387134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69.709238491939075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-1.7053025658242404E-13</v>
      </c>
      <c r="GV171" s="17">
        <f>GU171*VLOOKUP('Données projet'!$B$18,Paramètres!$A$1:$I$89,3,0)*VLOOKUP('Données projet'!$B$18,Paramètres!$A$1:$I$89,5,0)</f>
        <v>-1.1439169611549005E-13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296.67751292332753</v>
      </c>
      <c r="HA171" s="59">
        <f t="shared" si="160"/>
        <v>197.99510031603018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49.267705209824321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49.267705209824321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1.1000000000000001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4.0333333333333341</v>
      </c>
      <c r="H172" s="67">
        <f t="shared" si="110"/>
        <v>240.5333333333333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-1.5429577615577727E-13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461.20962581398715</v>
      </c>
      <c r="T172" s="59">
        <f t="shared" si="142"/>
        <v>348.44322874953923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69.155996824391167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69.155996824391167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-1.72917680174578E-13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510.86584023875525</v>
      </c>
      <c r="AO172" s="59">
        <f t="shared" si="144"/>
        <v>384.62921487244125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77.502410234231476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77.502410234231476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4.1677594708744434E-14</v>
      </c>
      <c r="BF172" s="13">
        <f t="shared" si="167"/>
        <v>6.9326303456159188E-13</v>
      </c>
      <c r="BG172" s="20">
        <f t="shared" si="168"/>
        <v>1.2800215959791691E-12</v>
      </c>
      <c r="BH172" s="59">
        <f t="shared" si="116"/>
        <v>292.28570269821614</v>
      </c>
      <c r="BI172" s="59">
        <f ca="1">AVERAGE(OFFSET($BH$3,0,0,'Données projet'!$E$11+1,1))-AVERAGE(OFFSET($H$3,0,0,'Données projet'!$E$11+1,1))</f>
        <v>201.7253431547006</v>
      </c>
      <c r="BJ172" s="59">
        <f t="shared" si="146"/>
        <v>229.70004720044096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5.5726557074577601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5.5726557074577601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-1.2710188457276673E-13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462.09240749760784</v>
      </c>
      <c r="CE172" s="59">
        <f t="shared" si="148"/>
        <v>403.52202223463337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59.035374682869062</v>
      </c>
      <c r="CL172" s="21">
        <f>EXP(-LN(2)/25)*CL171+(1-EXP(-LN(2)/25))/(LN(2)/25)*Calculateur!CG172*Calculateur!CI172*VLOOKUP('Données projet'!$B$12,Paramètres!$A$1:$I$89,3,0)*0.475*44/12</f>
        <v>2.9236633668246252</v>
      </c>
      <c r="CM172" s="21">
        <f>EXP(-LN(2)/2)*CM171+(1-EXP(-LN(2)/2))/(LN(2)/2)*CG172*CJ172*VLOOKUP('Données projet'!$B$12,Paramètres!$A$1:$I$89,3,0)*0.475*44/12</f>
        <v>7.0545592224747318E-13</v>
      </c>
      <c r="CN172" s="22">
        <f t="shared" si="172"/>
        <v>61.959038049694392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319.88925869887464</v>
      </c>
      <c r="CZ172" s="59">
        <f t="shared" si="150"/>
        <v>258.2857172412098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28.224973118518893</v>
      </c>
      <c r="DG172" s="21">
        <f>EXP(-LN(2)/25)*DG171+(1-EXP(-LN(2)/25))/(LN(2)/25)*Calculateur!DB172*Calculateur!DD172*VLOOKUP('Données projet'!$B$13,Paramètres!$A$1:$I$89,3,0)*0.475*44/12</f>
        <v>4.0517516730840022</v>
      </c>
      <c r="DH172" s="21">
        <f>EXP(-LN(2)/2)*DH171+(1-EXP(-LN(2)/2))/(LN(2)/2)*DB172*DE172*VLOOKUP('Données projet'!$B$13,Paramètres!$A$1:$I$89,3,0)*0.475*44/12</f>
        <v>1.693945532624599E-12</v>
      </c>
      <c r="DI172" s="22">
        <f t="shared" si="175"/>
        <v>32.276724791604586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-5.6843418860808015E-13</v>
      </c>
      <c r="DP172" s="17">
        <f>DO172*VLOOKUP('Données projet'!$B$14,Paramètres!$A$1:$I$89,3,0)*VLOOKUP('Données projet'!$B$14,Paramètres!$A$1:$I$89,5,0)</f>
        <v>-3.39923644787632E-13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443.64905827069435</v>
      </c>
      <c r="DU172" s="59">
        <f t="shared" si="152"/>
        <v>381.14782516862385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36.799483890123874</v>
      </c>
      <c r="EB172" s="21">
        <f>EXP(-LN(2)/25)*EB171+(1-EXP(-LN(2)/25))/(LN(2)/25)*Calculateur!DW172*Calculateur!DY172*VLOOKUP('Données projet'!$B$14,Paramètres!$A$1:$I$89,3,0)*0.475*44/12</f>
        <v>3.5327590032192306</v>
      </c>
      <c r="EC172" s="21">
        <f>EXP(-LN(2)/2)*EC171+(1-EXP(-LN(2)/2))/(LN(2)/2)*DW172*DZ172*VLOOKUP('Données projet'!$B$14,Paramètres!$A$1:$I$89,3,0)*0.475*44/12</f>
        <v>4.1464820895174432E-13</v>
      </c>
      <c r="ED172" s="22">
        <f t="shared" si="178"/>
        <v>40.332242893343519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-3.4106051316484809E-13</v>
      </c>
      <c r="EK172" s="17">
        <f>EJ172*VLOOKUP('Données projet'!$B$15,Paramètres!$A$1:$I$89,3,0)*VLOOKUP('Données projet'!$B$15,Paramètres!$A$1:$I$89,5,0)</f>
        <v>-3.0859155231155454E-13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504.37890861635196</v>
      </c>
      <c r="EP172" s="59">
        <f t="shared" si="154"/>
        <v>611.82129317522913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8.0755113175359803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8.0755113175359803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-1.1368683772161603E-13</v>
      </c>
      <c r="FF172" s="17">
        <f>FE172*VLOOKUP('Données projet'!$B$16,Paramètres!$A$1:$I$89,3,0)*VLOOKUP('Données projet'!$B$16,Paramètres!$A$1:$I$89,5,0)</f>
        <v>-1.223725121235475E-13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334.01098870576732</v>
      </c>
      <c r="FK172" s="59">
        <f t="shared" si="156"/>
        <v>171.1802153303471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45.669374375943583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45.669374375943583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-1.7053025658242404E-13</v>
      </c>
      <c r="GA172" s="17">
        <f>FZ172*VLOOKUP('Données projet'!$B$17,Paramètres!$A$1:$I$89,3,0)*VLOOKUP('Données projet'!$B$17,Paramètres!$A$1:$I$89,5,0)</f>
        <v>-1.4897523215040567E-13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330.12856974146598</v>
      </c>
      <c r="GF172" s="59">
        <f t="shared" si="158"/>
        <v>321.23368446552286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20.099937839334387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20.099937839334387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69.714282554058585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-1.7053025658242404E-13</v>
      </c>
      <c r="GV172" s="17">
        <f>GU172*VLOOKUP('Données projet'!$B$18,Paramètres!$A$1:$I$89,3,0)*VLOOKUP('Données projet'!$B$18,Paramètres!$A$1:$I$89,5,0)</f>
        <v>-1.1439169611549005E-13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296.67751292332753</v>
      </c>
      <c r="HA172" s="59">
        <f t="shared" si="160"/>
        <v>197.99510031603018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48.301595560992617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48.301595560992617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1.1000000000000001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4.0333333333333341</v>
      </c>
      <c r="H173" s="67">
        <f t="shared" si="110"/>
        <v>240.5333333333333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-1.5429577615577727E-13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461.20962581398715</v>
      </c>
      <c r="T173" s="59">
        <f t="shared" si="142"/>
        <v>348.44322874953923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67.799889907657885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67.799889907657885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-1.72917680174578E-13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510.86584023875525</v>
      </c>
      <c r="AO173" s="59">
        <f t="shared" si="144"/>
        <v>384.62921487244125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75.982635241340731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75.982635241340731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4.1677594708744434E-14</v>
      </c>
      <c r="BF173" s="13">
        <f t="shared" si="167"/>
        <v>6.9326303456159188E-13</v>
      </c>
      <c r="BG173" s="20">
        <f t="shared" si="168"/>
        <v>1.2800215959791691E-12</v>
      </c>
      <c r="BH173" s="59">
        <f t="shared" si="116"/>
        <v>292.30387674758418</v>
      </c>
      <c r="BI173" s="59">
        <f ca="1">AVERAGE(OFFSET($BH$3,0,0,'Données projet'!$E$11+1,1))-AVERAGE(OFFSET($H$3,0,0,'Données projet'!$E$11+1,1))</f>
        <v>201.7253431547006</v>
      </c>
      <c r="BJ173" s="59">
        <f t="shared" si="146"/>
        <v>229.70004720044096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5.4633793280188732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5.4633793280188732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-1.2710188457276673E-13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462.09240749760784</v>
      </c>
      <c r="CE173" s="59">
        <f t="shared" si="148"/>
        <v>403.52202223463337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57.877726993361058</v>
      </c>
      <c r="CL173" s="21">
        <f>EXP(-LN(2)/25)*CL172+(1-EXP(-LN(2)/25))/(LN(2)/25)*Calculateur!CG173*Calculateur!CI173*VLOOKUP('Données projet'!$B$12,Paramètres!$A$1:$I$89,3,0)*0.475*44/12</f>
        <v>2.8437156383100315</v>
      </c>
      <c r="CM173" s="21">
        <f>EXP(-LN(2)/2)*CM172+(1-EXP(-LN(2)/2))/(LN(2)/2)*CG173*CJ173*VLOOKUP('Données projet'!$B$12,Paramètres!$A$1:$I$89,3,0)*0.475*44/12</f>
        <v>4.988326664493981E-13</v>
      </c>
      <c r="CN173" s="22">
        <f t="shared" si="172"/>
        <v>60.721442631671586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319.88925869887464</v>
      </c>
      <c r="CZ173" s="59">
        <f t="shared" si="150"/>
        <v>258.2857172412098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27.671498611198448</v>
      </c>
      <c r="DG173" s="21">
        <f>EXP(-LN(2)/25)*DG172+(1-EXP(-LN(2)/25))/(LN(2)/25)*Calculateur!DB173*Calculateur!DD173*VLOOKUP('Données projet'!$B$13,Paramètres!$A$1:$I$89,3,0)*0.475*44/12</f>
        <v>3.9409563105111602</v>
      </c>
      <c r="DH173" s="21">
        <f>EXP(-LN(2)/2)*DH172+(1-EXP(-LN(2)/2))/(LN(2)/2)*DB173*DE173*VLOOKUP('Données projet'!$B$13,Paramètres!$A$1:$I$89,3,0)*0.475*44/12</f>
        <v>1.197800373079512E-12</v>
      </c>
      <c r="DI173" s="22">
        <f t="shared" si="175"/>
        <v>31.612454921710807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-5.6843418860808015E-13</v>
      </c>
      <c r="DP173" s="17">
        <f>DO173*VLOOKUP('Données projet'!$B$14,Paramètres!$A$1:$I$89,3,0)*VLOOKUP('Données projet'!$B$14,Paramètres!$A$1:$I$89,5,0)</f>
        <v>-3.39923644787632E-13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443.64905827069435</v>
      </c>
      <c r="DU173" s="59">
        <f t="shared" si="152"/>
        <v>381.14782516862385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36.07786845650741</v>
      </c>
      <c r="EB173" s="21">
        <f>EXP(-LN(2)/25)*EB172+(1-EXP(-LN(2)/25))/(LN(2)/25)*Calculateur!DW173*Calculateur!DY173*VLOOKUP('Données projet'!$B$14,Paramètres!$A$1:$I$89,3,0)*0.475*44/12</f>
        <v>3.4361555224964788</v>
      </c>
      <c r="EC173" s="21">
        <f>EXP(-LN(2)/2)*EC172+(1-EXP(-LN(2)/2))/(LN(2)/2)*DW173*DZ173*VLOOKUP('Données projet'!$B$14,Paramètres!$A$1:$I$89,3,0)*0.475*44/12</f>
        <v>2.9320056035663491E-13</v>
      </c>
      <c r="ED173" s="22">
        <f t="shared" si="178"/>
        <v>39.514023979004179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-3.4106051316484809E-13</v>
      </c>
      <c r="EK173" s="17">
        <f>EJ173*VLOOKUP('Données projet'!$B$15,Paramètres!$A$1:$I$89,3,0)*VLOOKUP('Données projet'!$B$15,Paramètres!$A$1:$I$89,5,0)</f>
        <v>-3.0859155231155454E-13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504.37890861635196</v>
      </c>
      <c r="EP173" s="59">
        <f t="shared" si="154"/>
        <v>611.82129317522913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7.9171554661746431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7.9171554661746431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-1.1368683772161603E-13</v>
      </c>
      <c r="FF173" s="17">
        <f>FE173*VLOOKUP('Données projet'!$B$16,Paramètres!$A$1:$I$89,3,0)*VLOOKUP('Données projet'!$B$16,Paramètres!$A$1:$I$89,5,0)</f>
        <v>-1.223725121235475E-13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334.01098870576732</v>
      </c>
      <c r="FK173" s="59">
        <f t="shared" si="156"/>
        <v>171.1802153303471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44.773825799999187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44.773825799999187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-1.7053025658242404E-13</v>
      </c>
      <c r="GA173" s="17">
        <f>FZ173*VLOOKUP('Données projet'!$B$17,Paramètres!$A$1:$I$89,3,0)*VLOOKUP('Données projet'!$B$17,Paramètres!$A$1:$I$89,5,0)</f>
        <v>-1.4897523215040567E-13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330.12856974146598</v>
      </c>
      <c r="GF173" s="59">
        <f t="shared" si="158"/>
        <v>321.23368446552286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19.705790318056572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19.705790318056572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69.719239112977149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-1.7053025658242404E-13</v>
      </c>
      <c r="GV173" s="17">
        <f>GU173*VLOOKUP('Données projet'!$B$18,Paramètres!$A$1:$I$89,3,0)*VLOOKUP('Données projet'!$B$18,Paramètres!$A$1:$I$89,5,0)</f>
        <v>-1.1439169611549005E-13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296.67751292332753</v>
      </c>
      <c r="HA173" s="59">
        <f t="shared" si="160"/>
        <v>197.99510031603018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47.354430733105808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47.354430733105808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1.1000000000000001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4.0333333333333341</v>
      </c>
      <c r="H174" s="67">
        <f t="shared" si="110"/>
        <v>240.5333333333333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-1.5429577615577727E-13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461.20962581398715</v>
      </c>
      <c r="T174" s="59">
        <f t="shared" si="142"/>
        <v>348.44322874953923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66.470375420418208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66.470375420418208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-1.72917680174578E-13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510.86584023875525</v>
      </c>
      <c r="AO174" s="59">
        <f t="shared" si="144"/>
        <v>384.62921487244125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74.492662109089366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74.492662109089366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4.1677594708744434E-14</v>
      </c>
      <c r="BF174" s="13">
        <f t="shared" si="167"/>
        <v>6.9326303456159188E-13</v>
      </c>
      <c r="BG174" s="20">
        <f t="shared" si="168"/>
        <v>1.2800215959791691E-12</v>
      </c>
      <c r="BH174" s="59">
        <f t="shared" si="116"/>
        <v>292.32173551782688</v>
      </c>
      <c r="BI174" s="59">
        <f ca="1">AVERAGE(OFFSET($BH$3,0,0,'Données projet'!$E$11+1,1))-AVERAGE(OFFSET($H$3,0,0,'Données projet'!$E$11+1,1))</f>
        <v>201.7253431547006</v>
      </c>
      <c r="BJ174" s="59">
        <f t="shared" si="146"/>
        <v>229.70004720044096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5.3562457917287727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5.3562457917287727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-1.2710188457276673E-13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462.09240749760784</v>
      </c>
      <c r="CE174" s="59">
        <f t="shared" si="148"/>
        <v>403.52202223463337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56.742780068948939</v>
      </c>
      <c r="CL174" s="21">
        <f>EXP(-LN(2)/25)*CL173+(1-EXP(-LN(2)/25))/(LN(2)/25)*Calculateur!CG174*Calculateur!CI174*VLOOKUP('Données projet'!$B$12,Paramètres!$A$1:$I$89,3,0)*0.475*44/12</f>
        <v>2.7659540846359376</v>
      </c>
      <c r="CM174" s="21">
        <f>EXP(-LN(2)/2)*CM173+(1-EXP(-LN(2)/2))/(LN(2)/2)*CG174*CJ174*VLOOKUP('Données projet'!$B$12,Paramètres!$A$1:$I$89,3,0)*0.475*44/12</f>
        <v>3.5272796112373659E-13</v>
      </c>
      <c r="CN174" s="22">
        <f t="shared" si="172"/>
        <v>59.50873415358523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319.88925869887464</v>
      </c>
      <c r="CZ174" s="59">
        <f t="shared" si="150"/>
        <v>258.2857172412098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27.128877401380439</v>
      </c>
      <c r="DG174" s="21">
        <f>EXP(-LN(2)/25)*DG173+(1-EXP(-LN(2)/25))/(LN(2)/25)*Calculateur!DB174*Calculateur!DD174*VLOOKUP('Données projet'!$B$13,Paramètres!$A$1:$I$89,3,0)*0.475*44/12</f>
        <v>3.8331906529543476</v>
      </c>
      <c r="DH174" s="21">
        <f>EXP(-LN(2)/2)*DH173+(1-EXP(-LN(2)/2))/(LN(2)/2)*DB174*DE174*VLOOKUP('Données projet'!$B$13,Paramètres!$A$1:$I$89,3,0)*0.475*44/12</f>
        <v>8.469727663122995E-13</v>
      </c>
      <c r="DI174" s="22">
        <f t="shared" si="175"/>
        <v>30.962068054335631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-5.6843418860808015E-13</v>
      </c>
      <c r="DP174" s="17">
        <f>DO174*VLOOKUP('Données projet'!$B$14,Paramètres!$A$1:$I$89,3,0)*VLOOKUP('Données projet'!$B$14,Paramètres!$A$1:$I$89,5,0)</f>
        <v>-3.39923644787632E-13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443.64905827069435</v>
      </c>
      <c r="DU174" s="59">
        <f t="shared" si="152"/>
        <v>381.14782516862385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35.370403461402212</v>
      </c>
      <c r="EB174" s="21">
        <f>EXP(-LN(2)/25)*EB173+(1-EXP(-LN(2)/25))/(LN(2)/25)*Calculateur!DW174*Calculateur!DY174*VLOOKUP('Données projet'!$B$14,Paramètres!$A$1:$I$89,3,0)*0.475*44/12</f>
        <v>3.3421936690342471</v>
      </c>
      <c r="EC174" s="21">
        <f>EXP(-LN(2)/2)*EC173+(1-EXP(-LN(2)/2))/(LN(2)/2)*DW174*DZ174*VLOOKUP('Données projet'!$B$14,Paramètres!$A$1:$I$89,3,0)*0.475*44/12</f>
        <v>2.0732410447587216E-13</v>
      </c>
      <c r="ED174" s="22">
        <f t="shared" si="178"/>
        <v>38.712597130436663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-3.4106051316484809E-13</v>
      </c>
      <c r="EK174" s="17">
        <f>EJ174*VLOOKUP('Données projet'!$B$15,Paramètres!$A$1:$I$89,3,0)*VLOOKUP('Données projet'!$B$15,Paramètres!$A$1:$I$89,5,0)</f>
        <v>-3.0859155231155454E-13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504.37890861635196</v>
      </c>
      <c r="EP174" s="59">
        <f t="shared" si="154"/>
        <v>611.82129317522913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7.7619048764709699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7.7619048764709699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-1.1368683772161603E-13</v>
      </c>
      <c r="FF174" s="17">
        <f>FE174*VLOOKUP('Données projet'!$B$16,Paramètres!$A$1:$I$89,3,0)*VLOOKUP('Données projet'!$B$16,Paramètres!$A$1:$I$89,5,0)</f>
        <v>-1.223725121235475E-13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334.01098870576732</v>
      </c>
      <c r="FK174" s="59">
        <f t="shared" si="156"/>
        <v>171.1802153303471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43.89583838539837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43.89583838539837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-1.7053025658242404E-13</v>
      </c>
      <c r="GA174" s="17">
        <f>FZ174*VLOOKUP('Données projet'!$B$17,Paramètres!$A$1:$I$89,3,0)*VLOOKUP('Données projet'!$B$17,Paramètres!$A$1:$I$89,5,0)</f>
        <v>-1.4897523215040567E-13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330.12856974146598</v>
      </c>
      <c r="GF174" s="59">
        <f t="shared" si="158"/>
        <v>321.23368446552286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19.319371789264764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19.319371789264764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69.724109686679697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-1.7053025658242404E-13</v>
      </c>
      <c r="GV174" s="17">
        <f>GU174*VLOOKUP('Données projet'!$B$18,Paramètres!$A$1:$I$89,3,0)*VLOOKUP('Données projet'!$B$18,Paramètres!$A$1:$I$89,5,0)</f>
        <v>-1.1439169611549005E-13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296.67751292332753</v>
      </c>
      <c r="HA174" s="59">
        <f t="shared" si="160"/>
        <v>197.99510031603018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46.425839229780358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46.425839229780358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1.1000000000000001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4.0333333333333341</v>
      </c>
      <c r="H175" s="67">
        <f t="shared" si="110"/>
        <v>240.5333333333333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-1.5429577615577727E-13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461.20962581398715</v>
      </c>
      <c r="T175" s="59">
        <f t="shared" si="142"/>
        <v>348.44322874953923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65.166931901349528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65.166931901349528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-1.72917680174578E-13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510.86584023875525</v>
      </c>
      <c r="AO175" s="59">
        <f t="shared" si="144"/>
        <v>384.62921487244125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73.031906441167578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73.031906441167578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4.1677594708744434E-14</v>
      </c>
      <c r="BF175" s="13">
        <f t="shared" si="167"/>
        <v>6.9326303456159188E-13</v>
      </c>
      <c r="BG175" s="20">
        <f t="shared" si="168"/>
        <v>1.2800215959791691E-12</v>
      </c>
      <c r="BH175" s="59">
        <f t="shared" si="116"/>
        <v>292.33928447833199</v>
      </c>
      <c r="BI175" s="59">
        <f ca="1">AVERAGE(OFFSET($BH$3,0,0,'Données projet'!$E$11+1,1))-AVERAGE(OFFSET($H$3,0,0,'Données projet'!$E$11+1,1))</f>
        <v>201.7253431547006</v>
      </c>
      <c r="BJ175" s="59">
        <f t="shared" si="146"/>
        <v>229.70004720044096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5.2512130787403164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5.2512130787403164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-1.2710188457276673E-13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462.09240749760784</v>
      </c>
      <c r="CE175" s="59">
        <f t="shared" si="148"/>
        <v>403.52202223463337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55.630088761475271</v>
      </c>
      <c r="CL175" s="21">
        <f>EXP(-LN(2)/25)*CL174+(1-EXP(-LN(2)/25))/(LN(2)/25)*Calculateur!CG175*Calculateur!CI175*VLOOKUP('Données projet'!$B$12,Paramètres!$A$1:$I$89,3,0)*0.475*44/12</f>
        <v>2.6903189247363644</v>
      </c>
      <c r="CM175" s="21">
        <f>EXP(-LN(2)/2)*CM174+(1-EXP(-LN(2)/2))/(LN(2)/2)*CG175*CJ175*VLOOKUP('Données projet'!$B$12,Paramètres!$A$1:$I$89,3,0)*0.475*44/12</f>
        <v>2.4941633322469905E-13</v>
      </c>
      <c r="CN175" s="22">
        <f t="shared" si="172"/>
        <v>58.320407686211887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319.88925869887464</v>
      </c>
      <c r="CZ175" s="59">
        <f t="shared" si="150"/>
        <v>258.2857172412098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26.596896662520706</v>
      </c>
      <c r="DG175" s="21">
        <f>EXP(-LN(2)/25)*DG174+(1-EXP(-LN(2)/25))/(LN(2)/25)*Calculateur!DB175*Calculateur!DD175*VLOOKUP('Données projet'!$B$13,Paramètres!$A$1:$I$89,3,0)*0.475*44/12</f>
        <v>3.7283718529705752</v>
      </c>
      <c r="DH175" s="21">
        <f>EXP(-LN(2)/2)*DH174+(1-EXP(-LN(2)/2))/(LN(2)/2)*DB175*DE175*VLOOKUP('Données projet'!$B$13,Paramètres!$A$1:$I$89,3,0)*0.475*44/12</f>
        <v>5.9890018653975601E-13</v>
      </c>
      <c r="DI175" s="22">
        <f t="shared" si="175"/>
        <v>30.325268515491882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-5.6843418860808015E-13</v>
      </c>
      <c r="DP175" s="17">
        <f>DO175*VLOOKUP('Données projet'!$B$14,Paramètres!$A$1:$I$89,3,0)*VLOOKUP('Données projet'!$B$14,Paramètres!$A$1:$I$89,5,0)</f>
        <v>-3.39923644787632E-13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443.64905827069435</v>
      </c>
      <c r="DU175" s="59">
        <f t="shared" si="152"/>
        <v>381.14782516862385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34.676811423339991</v>
      </c>
      <c r="EB175" s="21">
        <f>EXP(-LN(2)/25)*EB174+(1-EXP(-LN(2)/25))/(LN(2)/25)*Calculateur!DW175*Calculateur!DY175*VLOOKUP('Données projet'!$B$14,Paramètres!$A$1:$I$89,3,0)*0.475*44/12</f>
        <v>3.2508012073961794</v>
      </c>
      <c r="EC175" s="21">
        <f>EXP(-LN(2)/2)*EC174+(1-EXP(-LN(2)/2))/(LN(2)/2)*DW175*DZ175*VLOOKUP('Données projet'!$B$14,Paramètres!$A$1:$I$89,3,0)*0.475*44/12</f>
        <v>1.4660028017831745E-13</v>
      </c>
      <c r="ED175" s="22">
        <f t="shared" si="178"/>
        <v>37.92761263073632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-3.4106051316484809E-13</v>
      </c>
      <c r="EK175" s="17">
        <f>EJ175*VLOOKUP('Données projet'!$B$15,Paramètres!$A$1:$I$89,3,0)*VLOOKUP('Données projet'!$B$15,Paramètres!$A$1:$I$89,5,0)</f>
        <v>-3.0859155231155454E-13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504.37890861635196</v>
      </c>
      <c r="EP175" s="59">
        <f t="shared" si="154"/>
        <v>611.82129317522913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7.6096986561378763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7.6096986561378763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-1.1368683772161603E-13</v>
      </c>
      <c r="FF175" s="17">
        <f>FE175*VLOOKUP('Données projet'!$B$16,Paramètres!$A$1:$I$89,3,0)*VLOOKUP('Données projet'!$B$16,Paramètres!$A$1:$I$89,5,0)</f>
        <v>-1.223725121235475E-13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334.01098870576732</v>
      </c>
      <c r="FK175" s="59">
        <f t="shared" si="156"/>
        <v>171.1802153303471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43.035067768478427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43.035067768478427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-1.7053025658242404E-13</v>
      </c>
      <c r="GA175" s="17">
        <f>FZ175*VLOOKUP('Données projet'!$B$17,Paramètres!$A$1:$I$89,3,0)*VLOOKUP('Données projet'!$B$17,Paramètres!$A$1:$I$89,5,0)</f>
        <v>-1.4897523215040567E-13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330.12856974146598</v>
      </c>
      <c r="GF175" s="59">
        <f t="shared" si="158"/>
        <v>321.23368446552286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18.940530692130533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18.940530692130533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69.728895766817459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-1.7053025658242404E-13</v>
      </c>
      <c r="GV175" s="17">
        <f>GU175*VLOOKUP('Données projet'!$B$18,Paramètres!$A$1:$I$89,3,0)*VLOOKUP('Données projet'!$B$18,Paramètres!$A$1:$I$89,5,0)</f>
        <v>-1.1439169611549005E-13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296.67751292332753</v>
      </c>
      <c r="HA175" s="59">
        <f t="shared" si="160"/>
        <v>197.99510031603018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45.515456839450231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45.515456839450231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1.1000000000000001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4.0333333333333341</v>
      </c>
      <c r="H176" s="67">
        <f t="shared" si="110"/>
        <v>240.5333333333333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-1.5429577615577727E-13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461.20962581398715</v>
      </c>
      <c r="T176" s="59">
        <f t="shared" si="142"/>
        <v>348.44322874953923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63.889048114667744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63.889048114667744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-1.72917680174578E-13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510.86584023875525</v>
      </c>
      <c r="AO176" s="59">
        <f t="shared" si="144"/>
        <v>384.62921487244125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71.599795300920746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71.599795300920746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4.1677594708744434E-14</v>
      </c>
      <c r="BF176" s="13">
        <f t="shared" si="167"/>
        <v>6.9326303456159188E-13</v>
      </c>
      <c r="BG176" s="20">
        <f t="shared" si="168"/>
        <v>1.2800215959791691E-12</v>
      </c>
      <c r="BH176" s="59">
        <f t="shared" si="116"/>
        <v>292.356529003606</v>
      </c>
      <c r="BI176" s="59">
        <f ca="1">AVERAGE(OFFSET($BH$3,0,0,'Données projet'!$E$11+1,1))-AVERAGE(OFFSET($H$3,0,0,'Données projet'!$E$11+1,1))</f>
        <v>201.7253431547006</v>
      </c>
      <c r="BJ176" s="59">
        <f t="shared" si="146"/>
        <v>229.70004720044096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5.1482399931899341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5.1482399931899341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-1.2710188457276673E-13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462.09240749760784</v>
      </c>
      <c r="CE176" s="59">
        <f t="shared" si="148"/>
        <v>403.52202223463337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54.539216651866475</v>
      </c>
      <c r="CL176" s="21">
        <f>EXP(-LN(2)/25)*CL175+(1-EXP(-LN(2)/25))/(LN(2)/25)*Calculateur!CG176*Calculateur!CI176*VLOOKUP('Données projet'!$B$12,Paramètres!$A$1:$I$89,3,0)*0.475*44/12</f>
        <v>2.6167520122617249</v>
      </c>
      <c r="CM176" s="21">
        <f>EXP(-LN(2)/2)*CM175+(1-EXP(-LN(2)/2))/(LN(2)/2)*CG176*CJ176*VLOOKUP('Données projet'!$B$12,Paramètres!$A$1:$I$89,3,0)*0.475*44/12</f>
        <v>1.763639805618683E-13</v>
      </c>
      <c r="CN176" s="22">
        <f t="shared" si="172"/>
        <v>57.15596866412838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319.88925869887464</v>
      </c>
      <c r="CZ176" s="59">
        <f t="shared" si="150"/>
        <v>258.2857172412098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26.075347741473799</v>
      </c>
      <c r="DG176" s="21">
        <f>EXP(-LN(2)/25)*DG175+(1-EXP(-LN(2)/25))/(LN(2)/25)*Calculateur!DB176*Calculateur!DD176*VLOOKUP('Données projet'!$B$13,Paramètres!$A$1:$I$89,3,0)*0.475*44/12</f>
        <v>3.6264193285845403</v>
      </c>
      <c r="DH176" s="21">
        <f>EXP(-LN(2)/2)*DH175+(1-EXP(-LN(2)/2))/(LN(2)/2)*DB176*DE176*VLOOKUP('Données projet'!$B$13,Paramètres!$A$1:$I$89,3,0)*0.475*44/12</f>
        <v>4.2348638315614975E-13</v>
      </c>
      <c r="DI176" s="22">
        <f t="shared" si="175"/>
        <v>29.701767070058761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-5.6843418860808015E-13</v>
      </c>
      <c r="DP176" s="17">
        <f>DO176*VLOOKUP('Données projet'!$B$14,Paramètres!$A$1:$I$89,3,0)*VLOOKUP('Données projet'!$B$14,Paramètres!$A$1:$I$89,5,0)</f>
        <v>-3.39923644787632E-13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443.64905827069435</v>
      </c>
      <c r="DU176" s="59">
        <f t="shared" si="152"/>
        <v>381.14782516862385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33.996820302094797</v>
      </c>
      <c r="EB176" s="21">
        <f>EXP(-LN(2)/25)*EB175+(1-EXP(-LN(2)/25))/(LN(2)/25)*Calculateur!DW176*Calculateur!DY176*VLOOKUP('Données projet'!$B$14,Paramètres!$A$1:$I$89,3,0)*0.475*44/12</f>
        <v>3.1619078774277254</v>
      </c>
      <c r="EC176" s="21">
        <f>EXP(-LN(2)/2)*EC175+(1-EXP(-LN(2)/2))/(LN(2)/2)*DW176*DZ176*VLOOKUP('Données projet'!$B$14,Paramètres!$A$1:$I$89,3,0)*0.475*44/12</f>
        <v>1.0366205223793608E-13</v>
      </c>
      <c r="ED176" s="22">
        <f t="shared" si="178"/>
        <v>37.158728179522626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-3.4106051316484809E-13</v>
      </c>
      <c r="EK176" s="17">
        <f>EJ176*VLOOKUP('Données projet'!$B$15,Paramètres!$A$1:$I$89,3,0)*VLOOKUP('Données projet'!$B$15,Paramètres!$A$1:$I$89,5,0)</f>
        <v>-3.0859155231155454E-13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504.37890861635196</v>
      </c>
      <c r="EP176" s="59">
        <f t="shared" si="154"/>
        <v>611.82129317522913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7.4604771069488871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7.4604771069488871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-1.1368683772161603E-13</v>
      </c>
      <c r="FF176" s="17">
        <f>FE176*VLOOKUP('Données projet'!$B$16,Paramètres!$A$1:$I$89,3,0)*VLOOKUP('Données projet'!$B$16,Paramètres!$A$1:$I$89,5,0)</f>
        <v>-1.223725121235475E-13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334.01098870576732</v>
      </c>
      <c r="FK176" s="59">
        <f t="shared" si="156"/>
        <v>171.1802153303471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42.191176338338053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42.191176338338053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-1.7053025658242404E-13</v>
      </c>
      <c r="GA176" s="17">
        <f>FZ176*VLOOKUP('Données projet'!$B$17,Paramètres!$A$1:$I$89,3,0)*VLOOKUP('Données projet'!$B$17,Paramètres!$A$1:$I$89,5,0)</f>
        <v>-1.4897523215040567E-13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330.12856974146598</v>
      </c>
      <c r="GF176" s="59">
        <f t="shared" si="158"/>
        <v>321.23368446552286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18.569118437840853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18.569118437840853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69.733598819164911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-1.7053025658242404E-13</v>
      </c>
      <c r="GV176" s="17">
        <f>GU176*VLOOKUP('Données projet'!$B$18,Paramètres!$A$1:$I$89,3,0)*VLOOKUP('Données projet'!$B$18,Paramètres!$A$1:$I$89,5,0)</f>
        <v>-1.1439169611549005E-13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296.67751292332753</v>
      </c>
      <c r="HA176" s="59">
        <f t="shared" si="160"/>
        <v>197.99510031603018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44.622926492516044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44.622926492516044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1.1000000000000001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4.0333333333333341</v>
      </c>
      <c r="H177" s="67">
        <f t="shared" si="110"/>
        <v>240.5333333333333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-1.5429577615577727E-13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461.20962581398715</v>
      </c>
      <c r="T177" s="59">
        <f t="shared" si="142"/>
        <v>348.44322874953923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62.63622284961064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62.63622284961064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-1.72917680174578E-13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510.86584023875525</v>
      </c>
      <c r="AO177" s="59">
        <f t="shared" si="144"/>
        <v>384.62921487244125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70.19576698663262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70.19576698663262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4.1677594708744434E-14</v>
      </c>
      <c r="BF177" s="13">
        <f t="shared" si="167"/>
        <v>6.9326303456159188E-13</v>
      </c>
      <c r="BG177" s="20">
        <f t="shared" si="168"/>
        <v>1.2800215959791691E-12</v>
      </c>
      <c r="BH177" s="59">
        <f t="shared" si="116"/>
        <v>292.37347437491945</v>
      </c>
      <c r="BI177" s="59">
        <f ca="1">AVERAGE(OFFSET($BH$3,0,0,'Données projet'!$E$11+1,1))-AVERAGE(OFFSET($H$3,0,0,'Données projet'!$E$11+1,1))</f>
        <v>201.7253431547006</v>
      </c>
      <c r="BJ177" s="59">
        <f t="shared" si="146"/>
        <v>229.70004720044096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5.0472861470398147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5.0472861470398147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-1.2710188457276673E-13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462.09240749760784</v>
      </c>
      <c r="CE177" s="59">
        <f t="shared" si="148"/>
        <v>403.52202223463337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53.469735878960819</v>
      </c>
      <c r="CL177" s="21">
        <f>EXP(-LN(2)/25)*CL176+(1-EXP(-LN(2)/25))/(LN(2)/25)*Calculateur!CG177*Calculateur!CI177*VLOOKUP('Données projet'!$B$12,Paramètres!$A$1:$I$89,3,0)*0.475*44/12</f>
        <v>2.5451967908774202</v>
      </c>
      <c r="CM177" s="21">
        <f>EXP(-LN(2)/2)*CM176+(1-EXP(-LN(2)/2))/(LN(2)/2)*CG177*CJ177*VLOOKUP('Données projet'!$B$12,Paramètres!$A$1:$I$89,3,0)*0.475*44/12</f>
        <v>1.2470816661234952E-13</v>
      </c>
      <c r="CN177" s="22">
        <f t="shared" si="172"/>
        <v>56.014932669838366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319.88925869887464</v>
      </c>
      <c r="CZ177" s="59">
        <f t="shared" si="150"/>
        <v>258.2857172412098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25.564026076655193</v>
      </c>
      <c r="DG177" s="21">
        <f>EXP(-LN(2)/25)*DG176+(1-EXP(-LN(2)/25))/(LN(2)/25)*Calculateur!DB177*Calculateur!DD177*VLOOKUP('Données projet'!$B$13,Paramètres!$A$1:$I$89,3,0)*0.475*44/12</f>
        <v>3.5272547013392916</v>
      </c>
      <c r="DH177" s="21">
        <f>EXP(-LN(2)/2)*DH176+(1-EXP(-LN(2)/2))/(LN(2)/2)*DB177*DE177*VLOOKUP('Données projet'!$B$13,Paramètres!$A$1:$I$89,3,0)*0.475*44/12</f>
        <v>2.99450093269878E-13</v>
      </c>
      <c r="DI177" s="22">
        <f t="shared" si="175"/>
        <v>29.091280777994783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-5.6843418860808015E-13</v>
      </c>
      <c r="DP177" s="17">
        <f>DO177*VLOOKUP('Données projet'!$B$14,Paramètres!$A$1:$I$89,3,0)*VLOOKUP('Données projet'!$B$14,Paramètres!$A$1:$I$89,5,0)</f>
        <v>-3.39923644787632E-13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443.64905827069435</v>
      </c>
      <c r="DU177" s="59">
        <f t="shared" si="152"/>
        <v>381.14782516862385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33.330163391983589</v>
      </c>
      <c r="EB177" s="21">
        <f>EXP(-LN(2)/25)*EB176+(1-EXP(-LN(2)/25))/(LN(2)/25)*Calculateur!DW177*Calculateur!DY177*VLOOKUP('Données projet'!$B$14,Paramètres!$A$1:$I$89,3,0)*0.475*44/12</f>
        <v>3.0754453402419557</v>
      </c>
      <c r="EC177" s="21">
        <f>EXP(-LN(2)/2)*EC176+(1-EXP(-LN(2)/2))/(LN(2)/2)*DW177*DZ177*VLOOKUP('Données projet'!$B$14,Paramètres!$A$1:$I$89,3,0)*0.475*44/12</f>
        <v>7.3300140089158726E-14</v>
      </c>
      <c r="ED177" s="22">
        <f t="shared" si="178"/>
        <v>36.405608732225616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-3.4106051316484809E-13</v>
      </c>
      <c r="EK177" s="17">
        <f>EJ177*VLOOKUP('Données projet'!$B$15,Paramètres!$A$1:$I$89,3,0)*VLOOKUP('Données projet'!$B$15,Paramètres!$A$1:$I$89,5,0)</f>
        <v>-3.0859155231155454E-13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504.37890861635196</v>
      </c>
      <c r="EP177" s="59">
        <f t="shared" si="154"/>
        <v>611.82129317522913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7.3141817013233359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7.3141817013233359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-1.1368683772161603E-13</v>
      </c>
      <c r="FF177" s="17">
        <f>FE177*VLOOKUP('Données projet'!$B$16,Paramètres!$A$1:$I$89,3,0)*VLOOKUP('Données projet'!$B$16,Paramètres!$A$1:$I$89,5,0)</f>
        <v>-1.223725121235475E-13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334.01098870576732</v>
      </c>
      <c r="FK177" s="59">
        <f t="shared" si="156"/>
        <v>171.1802153303471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41.363833104419783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41.363833104419783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-1.7053025658242404E-13</v>
      </c>
      <c r="GA177" s="17">
        <f>FZ177*VLOOKUP('Données projet'!$B$17,Paramètres!$A$1:$I$89,3,0)*VLOOKUP('Données projet'!$B$17,Paramètres!$A$1:$I$89,5,0)</f>
        <v>-1.4897523215040567E-13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330.12856974146598</v>
      </c>
      <c r="GF177" s="59">
        <f t="shared" si="158"/>
        <v>321.23368446552286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18.204989351318687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18.204989351318687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69.738220284068589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-1.7053025658242404E-13</v>
      </c>
      <c r="GV177" s="17">
        <f>GU177*VLOOKUP('Données projet'!$B$18,Paramètres!$A$1:$I$89,3,0)*VLOOKUP('Données projet'!$B$18,Paramètres!$A$1:$I$89,5,0)</f>
        <v>-1.1439169611549005E-13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296.67751292332753</v>
      </c>
      <c r="HA177" s="59">
        <f t="shared" si="160"/>
        <v>197.99510031603018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43.747898121295478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43.747898121295478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1.1000000000000001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4.0333333333333341</v>
      </c>
      <c r="H178" s="67">
        <f t="shared" si="110"/>
        <v>240.5333333333333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-1.5429577615577727E-13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461.20962581398715</v>
      </c>
      <c r="T178" s="59">
        <f t="shared" si="142"/>
        <v>348.44322874953923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61.407964723853347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61.407964723853347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-1.72917680174578E-13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510.86584023875525</v>
      </c>
      <c r="AO178" s="59">
        <f t="shared" si="144"/>
        <v>384.62921487244125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68.819270811214963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68.819270811214963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4.1677594708744434E-14</v>
      </c>
      <c r="BF178" s="13">
        <f t="shared" si="167"/>
        <v>6.9326303456159188E-13</v>
      </c>
      <c r="BG178" s="20">
        <f t="shared" si="168"/>
        <v>1.2800215959791691E-12</v>
      </c>
      <c r="BH178" s="59">
        <f t="shared" si="116"/>
        <v>292.39012578192478</v>
      </c>
      <c r="BI178" s="59">
        <f ca="1">AVERAGE(OFFSET($BH$3,0,0,'Données projet'!$E$11+1,1))-AVERAGE(OFFSET($H$3,0,0,'Données projet'!$E$11+1,1))</f>
        <v>201.7253431547006</v>
      </c>
      <c r="BJ178" s="59">
        <f t="shared" si="146"/>
        <v>229.70004720044096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4.9483119442369334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4.9483119442369334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-1.2710188457276673E-13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462.09240749760784</v>
      </c>
      <c r="CE178" s="59">
        <f t="shared" si="148"/>
        <v>403.52202223463337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52.421226971692988</v>
      </c>
      <c r="CL178" s="21">
        <f>EXP(-LN(2)/25)*CL177+(1-EXP(-LN(2)/25))/(LN(2)/25)*Calculateur!CG178*Calculateur!CI178*VLOOKUP('Données projet'!$B$12,Paramètres!$A$1:$I$89,3,0)*0.475*44/12</f>
        <v>2.4755982507847949</v>
      </c>
      <c r="CM178" s="21">
        <f>EXP(-LN(2)/2)*CM177+(1-EXP(-LN(2)/2))/(LN(2)/2)*CG178*CJ178*VLOOKUP('Données projet'!$B$12,Paramètres!$A$1:$I$89,3,0)*0.475*44/12</f>
        <v>8.8181990280934148E-14</v>
      </c>
      <c r="CN178" s="22">
        <f t="shared" si="172"/>
        <v>54.896825222477865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319.88925869887464</v>
      </c>
      <c r="CZ178" s="59">
        <f t="shared" si="150"/>
        <v>258.2857172412098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25.062731117808259</v>
      </c>
      <c r="DG178" s="21">
        <f>EXP(-LN(2)/25)*DG177+(1-EXP(-LN(2)/25))/(LN(2)/25)*Calculateur!DB178*Calculateur!DD178*VLOOKUP('Données projet'!$B$13,Paramètres!$A$1:$I$89,3,0)*0.475*44/12</f>
        <v>3.4308017360409058</v>
      </c>
      <c r="DH178" s="21">
        <f>EXP(-LN(2)/2)*DH177+(1-EXP(-LN(2)/2))/(LN(2)/2)*DB178*DE178*VLOOKUP('Données projet'!$B$13,Paramètres!$A$1:$I$89,3,0)*0.475*44/12</f>
        <v>2.1174319157807487E-13</v>
      </c>
      <c r="DI178" s="22">
        <f t="shared" si="175"/>
        <v>28.493532853849377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-5.6843418860808015E-13</v>
      </c>
      <c r="DP178" s="17">
        <f>DO178*VLOOKUP('Données projet'!$B$14,Paramètres!$A$1:$I$89,3,0)*VLOOKUP('Données projet'!$B$14,Paramètres!$A$1:$I$89,5,0)</f>
        <v>-3.39923644787632E-13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443.64905827069435</v>
      </c>
      <c r="DU178" s="59">
        <f t="shared" si="152"/>
        <v>381.14782516862385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32.676579217259096</v>
      </c>
      <c r="EB178" s="21">
        <f>EXP(-LN(2)/25)*EB177+(1-EXP(-LN(2)/25))/(LN(2)/25)*Calculateur!DW178*Calculateur!DY178*VLOOKUP('Données projet'!$B$14,Paramètres!$A$1:$I$89,3,0)*0.475*44/12</f>
        <v>2.991347125682398</v>
      </c>
      <c r="EC178" s="21">
        <f>EXP(-LN(2)/2)*EC177+(1-EXP(-LN(2)/2))/(LN(2)/2)*DW178*DZ178*VLOOKUP('Données projet'!$B$14,Paramètres!$A$1:$I$89,3,0)*0.475*44/12</f>
        <v>5.1831026118968041E-14</v>
      </c>
      <c r="ED178" s="22">
        <f t="shared" si="178"/>
        <v>35.667926342941541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-3.4106051316484809E-13</v>
      </c>
      <c r="EK178" s="17">
        <f>EJ178*VLOOKUP('Données projet'!$B$15,Paramètres!$A$1:$I$89,3,0)*VLOOKUP('Données projet'!$B$15,Paramètres!$A$1:$I$89,5,0)</f>
        <v>-3.0859155231155454E-13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504.37890861635196</v>
      </c>
      <c r="EP178" s="59">
        <f t="shared" si="154"/>
        <v>611.82129317522913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7.1707550593707152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7.1707550593707152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-1.1368683772161603E-13</v>
      </c>
      <c r="FF178" s="17">
        <f>FE178*VLOOKUP('Données projet'!$B$16,Paramètres!$A$1:$I$89,3,0)*VLOOKUP('Données projet'!$B$16,Paramètres!$A$1:$I$89,5,0)</f>
        <v>-1.223725121235475E-13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334.01098870576732</v>
      </c>
      <c r="FK178" s="59">
        <f t="shared" si="156"/>
        <v>171.1802153303471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40.552713566689107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40.552713566689107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-1.7053025658242404E-13</v>
      </c>
      <c r="GA178" s="17">
        <f>FZ178*VLOOKUP('Données projet'!$B$17,Paramètres!$A$1:$I$89,3,0)*VLOOKUP('Données projet'!$B$17,Paramètres!$A$1:$I$89,5,0)</f>
        <v>-1.4897523215040567E-13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330.12856974146598</v>
      </c>
      <c r="GF178" s="59">
        <f t="shared" si="158"/>
        <v>321.23368446552286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17.848000614086409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17.848000614086409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69.742761576888228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-1.7053025658242404E-13</v>
      </c>
      <c r="GV178" s="17">
        <f>GU178*VLOOKUP('Données projet'!$B$18,Paramètres!$A$1:$I$89,3,0)*VLOOKUP('Données projet'!$B$18,Paramètres!$A$1:$I$89,5,0)</f>
        <v>-1.1439169611549005E-13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296.67751292332753</v>
      </c>
      <c r="HA178" s="59">
        <f t="shared" si="160"/>
        <v>197.99510031603018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42.890028522719945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42.890028522719945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1.1000000000000001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4.0333333333333341</v>
      </c>
      <c r="H179" s="67">
        <f t="shared" si="110"/>
        <v>240.5333333333333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-1.5429577615577727E-13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461.20962581398715</v>
      </c>
      <c r="T179" s="59">
        <f t="shared" si="142"/>
        <v>348.44322874953923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60.203791990778676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60.203791990778676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-1.72917680174578E-13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510.86584023875525</v>
      </c>
      <c r="AO179" s="59">
        <f t="shared" si="144"/>
        <v>384.62921487244125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67.469766886217485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67.469766886217485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4.1677594708744434E-14</v>
      </c>
      <c r="BF179" s="13">
        <f t="shared" si="167"/>
        <v>6.9326303456159188E-13</v>
      </c>
      <c r="BG179" s="20">
        <f t="shared" si="168"/>
        <v>1.2800215959791691E-12</v>
      </c>
      <c r="BH179" s="59">
        <f t="shared" si="116"/>
        <v>292.40648832424557</v>
      </c>
      <c r="BI179" s="59">
        <f ca="1">AVERAGE(OFFSET($BH$3,0,0,'Données projet'!$E$11+1,1))-AVERAGE(OFFSET($H$3,0,0,'Données projet'!$E$11+1,1))</f>
        <v>201.7253431547006</v>
      </c>
      <c r="BJ179" s="59">
        <f t="shared" si="146"/>
        <v>229.70004720044096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4.8512785651827137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4.8512785651827137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-1.2710188457276673E-13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462.09240749760784</v>
      </c>
      <c r="CE179" s="59">
        <f t="shared" si="148"/>
        <v>403.52202223463337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51.393278684569388</v>
      </c>
      <c r="CL179" s="21">
        <f>EXP(-LN(2)/25)*CL178+(1-EXP(-LN(2)/25))/(LN(2)/25)*Calculateur!CG179*Calculateur!CI179*VLOOKUP('Données projet'!$B$12,Paramètres!$A$1:$I$89,3,0)*0.475*44/12</f>
        <v>2.4079028864310308</v>
      </c>
      <c r="CM179" s="21">
        <f>EXP(-LN(2)/2)*CM178+(1-EXP(-LN(2)/2))/(LN(2)/2)*CG179*CJ179*VLOOKUP('Données projet'!$B$12,Paramètres!$A$1:$I$89,3,0)*0.475*44/12</f>
        <v>6.2354083306174762E-14</v>
      </c>
      <c r="CN179" s="22">
        <f t="shared" si="172"/>
        <v>53.801181571000484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319.88925869887464</v>
      </c>
      <c r="CZ179" s="59">
        <f t="shared" si="150"/>
        <v>258.2857172412098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24.571266247344578</v>
      </c>
      <c r="DG179" s="21">
        <f>EXP(-LN(2)/25)*DG178+(1-EXP(-LN(2)/25))/(LN(2)/25)*Calculateur!DB179*Calculateur!DD179*VLOOKUP('Données projet'!$B$13,Paramètres!$A$1:$I$89,3,0)*0.475*44/12</f>
        <v>3.3369862821508449</v>
      </c>
      <c r="DH179" s="21">
        <f>EXP(-LN(2)/2)*DH178+(1-EXP(-LN(2)/2))/(LN(2)/2)*DB179*DE179*VLOOKUP('Données projet'!$B$13,Paramètres!$A$1:$I$89,3,0)*0.475*44/12</f>
        <v>1.49725046634939E-13</v>
      </c>
      <c r="DI179" s="22">
        <f t="shared" si="175"/>
        <v>27.908252529495574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-5.6843418860808015E-13</v>
      </c>
      <c r="DP179" s="17">
        <f>DO179*VLOOKUP('Données projet'!$B$14,Paramètres!$A$1:$I$89,3,0)*VLOOKUP('Données projet'!$B$14,Paramètres!$A$1:$I$89,5,0)</f>
        <v>-3.39923644787632E-13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443.64905827069435</v>
      </c>
      <c r="DU179" s="59">
        <f t="shared" si="152"/>
        <v>381.14782516862385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32.035811429553974</v>
      </c>
      <c r="EB179" s="21">
        <f>EXP(-LN(2)/25)*EB178+(1-EXP(-LN(2)/25))/(LN(2)/25)*Calculateur!DW179*Calculateur!DY179*VLOOKUP('Données projet'!$B$14,Paramètres!$A$1:$I$89,3,0)*0.475*44/12</f>
        <v>2.9095485812225044</v>
      </c>
      <c r="EC179" s="21">
        <f>EXP(-LN(2)/2)*EC178+(1-EXP(-LN(2)/2))/(LN(2)/2)*DW179*DZ179*VLOOKUP('Données projet'!$B$14,Paramètres!$A$1:$I$89,3,0)*0.475*44/12</f>
        <v>3.6650070044579363E-14</v>
      </c>
      <c r="ED179" s="22">
        <f t="shared" si="178"/>
        <v>34.945360010776511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-3.4106051316484809E-13</v>
      </c>
      <c r="EK179" s="17">
        <f>EJ179*VLOOKUP('Données projet'!$B$15,Paramètres!$A$1:$I$89,3,0)*VLOOKUP('Données projet'!$B$15,Paramètres!$A$1:$I$89,5,0)</f>
        <v>-3.0859155231155454E-13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504.37890861635196</v>
      </c>
      <c r="EP179" s="59">
        <f t="shared" si="154"/>
        <v>611.82129317522913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7.0301409263851715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7.0301409263851715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-1.1368683772161603E-13</v>
      </c>
      <c r="FF179" s="17">
        <f>FE179*VLOOKUP('Données projet'!$B$16,Paramètres!$A$1:$I$89,3,0)*VLOOKUP('Données projet'!$B$16,Paramètres!$A$1:$I$89,5,0)</f>
        <v>-1.223725121235475E-13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334.01098870576732</v>
      </c>
      <c r="FK179" s="59">
        <f t="shared" si="156"/>
        <v>171.1802153303471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39.757499588359259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39.757499588359259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-1.7053025658242404E-13</v>
      </c>
      <c r="GA179" s="17">
        <f>FZ179*VLOOKUP('Données projet'!$B$17,Paramètres!$A$1:$I$89,3,0)*VLOOKUP('Données projet'!$B$17,Paramètres!$A$1:$I$89,5,0)</f>
        <v>-1.4897523215040567E-13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330.12856974146598</v>
      </c>
      <c r="GF179" s="59">
        <f t="shared" si="158"/>
        <v>321.23368446552286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17.498012208249627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17.498012208249627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69.747224088430258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-1.7053025658242404E-13</v>
      </c>
      <c r="GV179" s="17">
        <f>GU179*VLOOKUP('Données projet'!$B$18,Paramètres!$A$1:$I$89,3,0)*VLOOKUP('Données projet'!$B$18,Paramètres!$A$1:$I$89,5,0)</f>
        <v>-1.1439169611549005E-13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296.67751292332753</v>
      </c>
      <c r="HA179" s="59">
        <f t="shared" si="160"/>
        <v>197.99510031603018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42.048981223723686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42.048981223723686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1.1000000000000001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4.0333333333333341</v>
      </c>
      <c r="H180" s="67">
        <f t="shared" si="110"/>
        <v>240.5333333333333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-1.5429577615577727E-13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461.20962581398715</v>
      </c>
      <c r="T180" s="59">
        <f t="shared" si="142"/>
        <v>348.44322874953923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59.023232350526754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59.023232350526754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-1.72917680174578E-13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510.86584023875525</v>
      </c>
      <c r="AO180" s="59">
        <f t="shared" si="144"/>
        <v>384.62921487244125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66.146725910073087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66.146725910073087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4.1677594708744434E-14</v>
      </c>
      <c r="BF180" s="13">
        <f t="shared" si="167"/>
        <v>6.9326303456159188E-13</v>
      </c>
      <c r="BG180" s="20">
        <f t="shared" si="168"/>
        <v>1.2800215959791691E-12</v>
      </c>
      <c r="BH180" s="59">
        <f t="shared" si="116"/>
        <v>292.4225670130383</v>
      </c>
      <c r="BI180" s="59">
        <f ca="1">AVERAGE(OFFSET($BH$3,0,0,'Données projet'!$E$11+1,1))-AVERAGE(OFFSET($H$3,0,0,'Données projet'!$E$11+1,1))</f>
        <v>201.7253431547006</v>
      </c>
      <c r="BJ180" s="59">
        <f t="shared" si="146"/>
        <v>229.70004720044096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4.7561479515072298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4.7561479515072298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-1.2710188457276673E-13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462.09240749760784</v>
      </c>
      <c r="CE180" s="59">
        <f t="shared" si="148"/>
        <v>403.52202223463337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50.385487836369741</v>
      </c>
      <c r="CL180" s="21">
        <f>EXP(-LN(2)/25)*CL179+(1-EXP(-LN(2)/25))/(LN(2)/25)*Calculateur!CG180*Calculateur!CI180*VLOOKUP('Données projet'!$B$12,Paramètres!$A$1:$I$89,3,0)*0.475*44/12</f>
        <v>2.3420586553754648</v>
      </c>
      <c r="CM180" s="21">
        <f>EXP(-LN(2)/2)*CM179+(1-EXP(-LN(2)/2))/(LN(2)/2)*CG180*CJ180*VLOOKUP('Données projet'!$B$12,Paramètres!$A$1:$I$89,3,0)*0.475*44/12</f>
        <v>4.4090995140467074E-14</v>
      </c>
      <c r="CN180" s="22">
        <f t="shared" si="172"/>
        <v>52.727546491745251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319.88925869887464</v>
      </c>
      <c r="CZ180" s="59">
        <f t="shared" si="150"/>
        <v>258.2857172412098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24.089438703226719</v>
      </c>
      <c r="DG180" s="21">
        <f>EXP(-LN(2)/25)*DG179+(1-EXP(-LN(2)/25))/(LN(2)/25)*Calculateur!DB180*Calculateur!DD180*VLOOKUP('Données projet'!$B$13,Paramètres!$A$1:$I$89,3,0)*0.475*44/12</f>
        <v>3.2457362167809483</v>
      </c>
      <c r="DH180" s="21">
        <f>EXP(-LN(2)/2)*DH179+(1-EXP(-LN(2)/2))/(LN(2)/2)*DB180*DE180*VLOOKUP('Données projet'!$B$13,Paramètres!$A$1:$I$89,3,0)*0.475*44/12</f>
        <v>1.0587159578903744E-13</v>
      </c>
      <c r="DI180" s="22">
        <f t="shared" si="175"/>
        <v>27.335174920007773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-5.6843418860808015E-13</v>
      </c>
      <c r="DP180" s="17">
        <f>DO180*VLOOKUP('Données projet'!$B$14,Paramètres!$A$1:$I$89,3,0)*VLOOKUP('Données projet'!$B$14,Paramètres!$A$1:$I$89,5,0)</f>
        <v>-3.39923644787632E-13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443.64905827069435</v>
      </c>
      <c r="DU180" s="59">
        <f t="shared" si="152"/>
        <v>381.14782516862385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31.407608707335985</v>
      </c>
      <c r="EB180" s="21">
        <f>EXP(-LN(2)/25)*EB179+(1-EXP(-LN(2)/25))/(LN(2)/25)*Calculateur!DW180*Calculateur!DY180*VLOOKUP('Données projet'!$B$14,Paramètres!$A$1:$I$89,3,0)*0.475*44/12</f>
        <v>2.8299868222624651</v>
      </c>
      <c r="EC180" s="21">
        <f>EXP(-LN(2)/2)*EC179+(1-EXP(-LN(2)/2))/(LN(2)/2)*DW180*DZ180*VLOOKUP('Données projet'!$B$14,Paramètres!$A$1:$I$89,3,0)*0.475*44/12</f>
        <v>2.591551305948402E-14</v>
      </c>
      <c r="ED180" s="22">
        <f t="shared" si="178"/>
        <v>34.23759552959848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-3.4106051316484809E-13</v>
      </c>
      <c r="EK180" s="17">
        <f>EJ180*VLOOKUP('Données projet'!$B$15,Paramètres!$A$1:$I$89,3,0)*VLOOKUP('Données projet'!$B$15,Paramètres!$A$1:$I$89,5,0)</f>
        <v>-3.0859155231155454E-13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504.37890861635196</v>
      </c>
      <c r="EP180" s="59">
        <f t="shared" si="154"/>
        <v>611.82129317522913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6.8922841507813226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6.8922841507813226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-1.1368683772161603E-13</v>
      </c>
      <c r="FF180" s="17">
        <f>FE180*VLOOKUP('Données projet'!$B$16,Paramètres!$A$1:$I$89,3,0)*VLOOKUP('Données projet'!$B$16,Paramètres!$A$1:$I$89,5,0)</f>
        <v>-1.223725121235475E-13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334.01098870576732</v>
      </c>
      <c r="FK180" s="59">
        <f t="shared" si="156"/>
        <v>171.1802153303471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38.977879271111824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38.977879271111824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-1.7053025658242404E-13</v>
      </c>
      <c r="GA180" s="17">
        <f>FZ180*VLOOKUP('Données projet'!$B$17,Paramètres!$A$1:$I$89,3,0)*VLOOKUP('Données projet'!$B$17,Paramètres!$A$1:$I$89,5,0)</f>
        <v>-1.4897523215040567E-13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330.12856974146598</v>
      </c>
      <c r="GF180" s="59">
        <f t="shared" si="158"/>
        <v>321.23368446552286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17.154886861579453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17.154886861579453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69.751609185373724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-1.7053025658242404E-13</v>
      </c>
      <c r="GV180" s="17">
        <f>GU180*VLOOKUP('Données projet'!$B$18,Paramètres!$A$1:$I$89,3,0)*VLOOKUP('Données projet'!$B$18,Paramètres!$A$1:$I$89,5,0)</f>
        <v>-1.1439169611549005E-13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296.67751292332753</v>
      </c>
      <c r="HA180" s="59">
        <f t="shared" si="160"/>
        <v>197.99510031603018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41.224426349272548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41.224426349272548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1.1000000000000001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4.0333333333333341</v>
      </c>
      <c r="H181" s="67">
        <f t="shared" si="110"/>
        <v>240.5333333333333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-1.5429577615577727E-13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461.20962581398715</v>
      </c>
      <c r="T181" s="59">
        <f t="shared" si="142"/>
        <v>348.44322874953923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57.865822764749893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57.865822764749893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-1.72917680174578E-13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510.86584023875525</v>
      </c>
      <c r="AO181" s="59">
        <f t="shared" si="144"/>
        <v>384.62921487244125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64.849628960495565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64.849628960495565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4.1677594708744434E-14</v>
      </c>
      <c r="BF181" s="13">
        <f t="shared" si="167"/>
        <v>6.9326303456159188E-13</v>
      </c>
      <c r="BG181" s="20">
        <f t="shared" si="168"/>
        <v>1.2800215959791691E-12</v>
      </c>
      <c r="BH181" s="59">
        <f t="shared" si="116"/>
        <v>292.43836677252699</v>
      </c>
      <c r="BI181" s="59">
        <f ca="1">AVERAGE(OFFSET($BH$3,0,0,'Données projet'!$E$11+1,1))-AVERAGE(OFFSET($H$3,0,0,'Données projet'!$E$11+1,1))</f>
        <v>201.7253431547006</v>
      </c>
      <c r="BJ181" s="59">
        <f t="shared" si="146"/>
        <v>229.70004720044096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4.6628827911419775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4.6628827911419775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-1.2710188457276673E-13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462.09240749760784</v>
      </c>
      <c r="CE181" s="59">
        <f t="shared" si="148"/>
        <v>403.52202223463337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49.397459152011564</v>
      </c>
      <c r="CL181" s="21">
        <f>EXP(-LN(2)/25)*CL180+(1-EXP(-LN(2)/25))/(LN(2)/25)*Calculateur!CG181*Calculateur!CI181*VLOOKUP('Données projet'!$B$12,Paramètres!$A$1:$I$89,3,0)*0.475*44/12</f>
        <v>2.2780149382807107</v>
      </c>
      <c r="CM181" s="21">
        <f>EXP(-LN(2)/2)*CM180+(1-EXP(-LN(2)/2))/(LN(2)/2)*CG181*CJ181*VLOOKUP('Données projet'!$B$12,Paramètres!$A$1:$I$89,3,0)*0.475*44/12</f>
        <v>3.1177041653087381E-14</v>
      </c>
      <c r="CN181" s="22">
        <f t="shared" si="172"/>
        <v>51.675474090292305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319.88925869887464</v>
      </c>
      <c r="CZ181" s="59">
        <f t="shared" si="150"/>
        <v>258.2857172412098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23.61705950336323</v>
      </c>
      <c r="DG181" s="21">
        <f>EXP(-LN(2)/25)*DG180+(1-EXP(-LN(2)/25))/(LN(2)/25)*Calculateur!DB181*Calculateur!DD181*VLOOKUP('Données projet'!$B$13,Paramètres!$A$1:$I$89,3,0)*0.475*44/12</f>
        <v>3.1569813892472238</v>
      </c>
      <c r="DH181" s="21">
        <f>EXP(-LN(2)/2)*DH180+(1-EXP(-LN(2)/2))/(LN(2)/2)*DB181*DE181*VLOOKUP('Données projet'!$B$13,Paramètres!$A$1:$I$89,3,0)*0.475*44/12</f>
        <v>7.4862523317469501E-14</v>
      </c>
      <c r="DI181" s="22">
        <f t="shared" si="175"/>
        <v>26.774040892610529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-5.6843418860808015E-13</v>
      </c>
      <c r="DP181" s="17">
        <f>DO181*VLOOKUP('Données projet'!$B$14,Paramètres!$A$1:$I$89,3,0)*VLOOKUP('Données projet'!$B$14,Paramètres!$A$1:$I$89,5,0)</f>
        <v>-3.39923644787632E-13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443.64905827069435</v>
      </c>
      <c r="DU181" s="59">
        <f t="shared" si="152"/>
        <v>381.14782516862385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30.791724657334868</v>
      </c>
      <c r="EB181" s="21">
        <f>EXP(-LN(2)/25)*EB180+(1-EXP(-LN(2)/25))/(LN(2)/25)*Calculateur!DW181*Calculateur!DY181*VLOOKUP('Données projet'!$B$14,Paramètres!$A$1:$I$89,3,0)*0.475*44/12</f>
        <v>2.7526006837851589</v>
      </c>
      <c r="EC181" s="21">
        <f>EXP(-LN(2)/2)*EC180+(1-EXP(-LN(2)/2))/(LN(2)/2)*DW181*DZ181*VLOOKUP('Données projet'!$B$14,Paramètres!$A$1:$I$89,3,0)*0.475*44/12</f>
        <v>1.8325035022289682E-14</v>
      </c>
      <c r="ED181" s="22">
        <f t="shared" si="178"/>
        <v>33.54432534112005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-3.4106051316484809E-13</v>
      </c>
      <c r="EK181" s="17">
        <f>EJ181*VLOOKUP('Données projet'!$B$15,Paramètres!$A$1:$I$89,3,0)*VLOOKUP('Données projet'!$B$15,Paramètres!$A$1:$I$89,5,0)</f>
        <v>-3.0859155231155454E-13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504.37890861635196</v>
      </c>
      <c r="EP181" s="59">
        <f t="shared" si="154"/>
        <v>611.82129317522913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6.7571306624627345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6.7571306624627345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-1.1368683772161603E-13</v>
      </c>
      <c r="FF181" s="17">
        <f>FE181*VLOOKUP('Données projet'!$B$16,Paramètres!$A$1:$I$89,3,0)*VLOOKUP('Données projet'!$B$16,Paramètres!$A$1:$I$89,5,0)</f>
        <v>-1.223725121235475E-13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334.01098870576732</v>
      </c>
      <c r="FK181" s="59">
        <f t="shared" si="156"/>
        <v>171.1802153303471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38.213546832764173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38.213546832764173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-1.7053025658242404E-13</v>
      </c>
      <c r="GA181" s="17">
        <f>FZ181*VLOOKUP('Données projet'!$B$17,Paramètres!$A$1:$I$89,3,0)*VLOOKUP('Données projet'!$B$17,Paramètres!$A$1:$I$89,5,0)</f>
        <v>-1.4897523215040567E-13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330.12856974146598</v>
      </c>
      <c r="GF181" s="59">
        <f t="shared" si="158"/>
        <v>321.23368446552286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16.818489993671687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16.818489993671687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69.755918210688819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-1.7053025658242404E-13</v>
      </c>
      <c r="GV181" s="17">
        <f>GU181*VLOOKUP('Données projet'!$B$18,Paramètres!$A$1:$I$89,3,0)*VLOOKUP('Données projet'!$B$18,Paramètres!$A$1:$I$89,5,0)</f>
        <v>-1.1439169611549005E-13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296.67751292332753</v>
      </c>
      <c r="HA181" s="59">
        <f t="shared" si="160"/>
        <v>197.99510031603018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40.416040492980578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40.416040492980578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1.1000000000000001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4.0333333333333341</v>
      </c>
      <c r="H182" s="67">
        <f t="shared" si="110"/>
        <v>240.5333333333333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-1.5429577615577727E-13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461.20962581398715</v>
      </c>
      <c r="T182" s="59">
        <f t="shared" si="142"/>
        <v>348.44322874953923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56.731109274999973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56.731109274999973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-1.72917680174578E-13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510.86584023875525</v>
      </c>
      <c r="AO182" s="59">
        <f t="shared" si="144"/>
        <v>384.62921487244125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63.577967290948244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63.577967290948244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4.1677594708744434E-14</v>
      </c>
      <c r="BF182" s="13">
        <f t="shared" si="167"/>
        <v>6.9326303456159188E-13</v>
      </c>
      <c r="BG182" s="20">
        <f t="shared" si="168"/>
        <v>1.2800215959791691E-12</v>
      </c>
      <c r="BH182" s="59">
        <f t="shared" si="116"/>
        <v>292.45389244151147</v>
      </c>
      <c r="BI182" s="59">
        <f ca="1">AVERAGE(OFFSET($BH$3,0,0,'Données projet'!$E$11+1,1))-AVERAGE(OFFSET($H$3,0,0,'Données projet'!$E$11+1,1))</f>
        <v>201.7253431547006</v>
      </c>
      <c r="BJ182" s="59">
        <f t="shared" si="146"/>
        <v>229.70004720044096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4.5714465036853564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4.5714465036853564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-1.2710188457276673E-13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462.09240749760784</v>
      </c>
      <c r="CE182" s="59">
        <f t="shared" si="148"/>
        <v>403.52202223463337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48.428805107515664</v>
      </c>
      <c r="CL182" s="21">
        <f>EXP(-LN(2)/25)*CL181+(1-EXP(-LN(2)/25))/(LN(2)/25)*Calculateur!CG182*Calculateur!CI182*VLOOKUP('Données projet'!$B$12,Paramètres!$A$1:$I$89,3,0)*0.475*44/12</f>
        <v>2.2157224999978253</v>
      </c>
      <c r="CM182" s="21">
        <f>EXP(-LN(2)/2)*CM181+(1-EXP(-LN(2)/2))/(LN(2)/2)*CG182*CJ182*VLOOKUP('Données projet'!$B$12,Paramètres!$A$1:$I$89,3,0)*0.475*44/12</f>
        <v>2.2045497570233537E-14</v>
      </c>
      <c r="CN182" s="22">
        <f t="shared" si="172"/>
        <v>50.64452760751351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319.88925869887464</v>
      </c>
      <c r="CZ182" s="59">
        <f t="shared" si="150"/>
        <v>258.2857172412098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23.1539433714862</v>
      </c>
      <c r="DG182" s="21">
        <f>EXP(-LN(2)/25)*DG181+(1-EXP(-LN(2)/25))/(LN(2)/25)*Calculateur!DB182*Calculateur!DD182*VLOOKUP('Données projet'!$B$13,Paramètres!$A$1:$I$89,3,0)*0.475*44/12</f>
        <v>3.0706535671398227</v>
      </c>
      <c r="DH182" s="21">
        <f>EXP(-LN(2)/2)*DH181+(1-EXP(-LN(2)/2))/(LN(2)/2)*DB182*DE182*VLOOKUP('Données projet'!$B$13,Paramètres!$A$1:$I$89,3,0)*0.475*44/12</f>
        <v>5.2935797894518719E-14</v>
      </c>
      <c r="DI182" s="22">
        <f t="shared" si="175"/>
        <v>26.224596938626075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-5.6843418860808015E-13</v>
      </c>
      <c r="DP182" s="17">
        <f>DO182*VLOOKUP('Données projet'!$B$14,Paramètres!$A$1:$I$89,3,0)*VLOOKUP('Données projet'!$B$14,Paramètres!$A$1:$I$89,5,0)</f>
        <v>-3.39923644787632E-13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443.64905827069435</v>
      </c>
      <c r="DU182" s="59">
        <f t="shared" si="152"/>
        <v>381.14782516862385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30.187917717902092</v>
      </c>
      <c r="EB182" s="21">
        <f>EXP(-LN(2)/25)*EB181+(1-EXP(-LN(2)/25))/(LN(2)/25)*Calculateur!DW182*Calculateur!DY182*VLOOKUP('Données projet'!$B$14,Paramètres!$A$1:$I$89,3,0)*0.475*44/12</f>
        <v>2.6773306733340747</v>
      </c>
      <c r="EC182" s="21">
        <f>EXP(-LN(2)/2)*EC181+(1-EXP(-LN(2)/2))/(LN(2)/2)*DW182*DZ182*VLOOKUP('Données projet'!$B$14,Paramètres!$A$1:$I$89,3,0)*0.475*44/12</f>
        <v>1.295775652974201E-14</v>
      </c>
      <c r="ED182" s="22">
        <f t="shared" si="178"/>
        <v>32.865248391236179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-3.4106051316484809E-13</v>
      </c>
      <c r="EK182" s="17">
        <f>EJ182*VLOOKUP('Données projet'!$B$15,Paramètres!$A$1:$I$89,3,0)*VLOOKUP('Données projet'!$B$15,Paramètres!$A$1:$I$89,5,0)</f>
        <v>-3.0859155231155454E-13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504.37890861635196</v>
      </c>
      <c r="EP182" s="59">
        <f t="shared" si="154"/>
        <v>611.82129317522913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6.624627451614586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6.624627451614586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-1.1368683772161603E-13</v>
      </c>
      <c r="FF182" s="17">
        <f>FE182*VLOOKUP('Données projet'!$B$16,Paramètres!$A$1:$I$89,3,0)*VLOOKUP('Données projet'!$B$16,Paramètres!$A$1:$I$89,5,0)</f>
        <v>-1.223725121235475E-13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334.01098870576732</v>
      </c>
      <c r="FK182" s="59">
        <f t="shared" si="156"/>
        <v>171.1802153303471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37.464202487335768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37.464202487335768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-1.7053025658242404E-13</v>
      </c>
      <c r="GA182" s="17">
        <f>FZ182*VLOOKUP('Données projet'!$B$17,Paramètres!$A$1:$I$89,3,0)*VLOOKUP('Données projet'!$B$17,Paramètres!$A$1:$I$89,5,0)</f>
        <v>-1.4897523215040567E-13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330.12856974146598</v>
      </c>
      <c r="GF182" s="59">
        <f t="shared" si="158"/>
        <v>321.23368446552286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16.488689663161761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16.488689663161761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69.760152484048234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-1.7053025658242404E-13</v>
      </c>
      <c r="GV182" s="17">
        <f>GU182*VLOOKUP('Données projet'!$B$18,Paramètres!$A$1:$I$89,3,0)*VLOOKUP('Données projet'!$B$18,Paramètres!$A$1:$I$89,5,0)</f>
        <v>-1.1439169611549005E-13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296.67751292332753</v>
      </c>
      <c r="HA182" s="59">
        <f t="shared" si="160"/>
        <v>197.99510031603018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39.623506590263808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39.623506590263808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1.1000000000000001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4.0333333333333341</v>
      </c>
      <c r="H183" s="67">
        <f t="shared" si="110"/>
        <v>240.5333333333333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-1.5429577615577727E-13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461.20962581398715</v>
      </c>
      <c r="T183" s="59">
        <f t="shared" si="142"/>
        <v>348.44322874953923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55.618646824677164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55.618646824677164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-1.72917680174578E-13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510.86584023875525</v>
      </c>
      <c r="AO183" s="59">
        <f t="shared" si="144"/>
        <v>384.62921487244125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62.331242131103714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62.331242131103714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4.1677594708744434E-14</v>
      </c>
      <c r="BF183" s="13">
        <f t="shared" si="167"/>
        <v>6.9326303456159188E-13</v>
      </c>
      <c r="BG183" s="20">
        <f t="shared" si="168"/>
        <v>1.2800215959791691E-12</v>
      </c>
      <c r="BH183" s="59">
        <f t="shared" si="116"/>
        <v>292.46914877484932</v>
      </c>
      <c r="BI183" s="59">
        <f ca="1">AVERAGE(OFFSET($BH$3,0,0,'Données projet'!$E$11+1,1))-AVERAGE(OFFSET($H$3,0,0,'Données projet'!$E$11+1,1))</f>
        <v>201.7253431547006</v>
      </c>
      <c r="BJ183" s="59">
        <f t="shared" si="146"/>
        <v>229.70004720044096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4.4818032260551313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4.4818032260551313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-1.2710188457276673E-13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462.09240749760784</v>
      </c>
      <c r="CE183" s="59">
        <f t="shared" si="148"/>
        <v>403.52202223463337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47.479145778011699</v>
      </c>
      <c r="CL183" s="21">
        <f>EXP(-LN(2)/25)*CL182+(1-EXP(-LN(2)/25))/(LN(2)/25)*Calculateur!CG183*Calculateur!CI183*VLOOKUP('Données projet'!$B$12,Paramètres!$A$1:$I$89,3,0)*0.475*44/12</f>
        <v>2.1551334517156024</v>
      </c>
      <c r="CM183" s="21">
        <f>EXP(-LN(2)/2)*CM182+(1-EXP(-LN(2)/2))/(LN(2)/2)*CG183*CJ183*VLOOKUP('Données projet'!$B$12,Paramètres!$A$1:$I$89,3,0)*0.475*44/12</f>
        <v>1.5588520826543691E-14</v>
      </c>
      <c r="CN183" s="22">
        <f t="shared" si="172"/>
        <v>49.634279229727312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319.88925869887464</v>
      </c>
      <c r="CZ183" s="59">
        <f t="shared" si="150"/>
        <v>258.2857172412098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22.699908664482329</v>
      </c>
      <c r="DG183" s="21">
        <f>EXP(-LN(2)/25)*DG182+(1-EXP(-LN(2)/25))/(LN(2)/25)*Calculateur!DB183*Calculateur!DD183*VLOOKUP('Données projet'!$B$13,Paramètres!$A$1:$I$89,3,0)*0.475*44/12</f>
        <v>2.9866863838677311</v>
      </c>
      <c r="DH183" s="21">
        <f>EXP(-LN(2)/2)*DH182+(1-EXP(-LN(2)/2))/(LN(2)/2)*DB183*DE183*VLOOKUP('Données projet'!$B$13,Paramètres!$A$1:$I$89,3,0)*0.475*44/12</f>
        <v>3.743126165873475E-14</v>
      </c>
      <c r="DI183" s="22">
        <f t="shared" si="175"/>
        <v>25.6865950483501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-5.6843418860808015E-13</v>
      </c>
      <c r="DP183" s="17">
        <f>DO183*VLOOKUP('Données projet'!$B$14,Paramètres!$A$1:$I$89,3,0)*VLOOKUP('Données projet'!$B$14,Paramètres!$A$1:$I$89,5,0)</f>
        <v>-3.39923644787632E-13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443.64905827069435</v>
      </c>
      <c r="DU183" s="59">
        <f t="shared" si="152"/>
        <v>381.14782516862385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29.595951064265726</v>
      </c>
      <c r="EB183" s="21">
        <f>EXP(-LN(2)/25)*EB182+(1-EXP(-LN(2)/25))/(LN(2)/25)*Calculateur!DW183*Calculateur!DY183*VLOOKUP('Données projet'!$B$14,Paramètres!$A$1:$I$89,3,0)*0.475*44/12</f>
        <v>2.6041189252770534</v>
      </c>
      <c r="EC183" s="21">
        <f>EXP(-LN(2)/2)*EC182+(1-EXP(-LN(2)/2))/(LN(2)/2)*DW183*DZ183*VLOOKUP('Données projet'!$B$14,Paramètres!$A$1:$I$89,3,0)*0.475*44/12</f>
        <v>9.1625175111448408E-15</v>
      </c>
      <c r="ED183" s="22">
        <f t="shared" si="178"/>
        <v>32.20006998954279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-3.4106051316484809E-13</v>
      </c>
      <c r="EK183" s="17">
        <f>EJ183*VLOOKUP('Données projet'!$B$15,Paramètres!$A$1:$I$89,3,0)*VLOOKUP('Données projet'!$B$15,Paramètres!$A$1:$I$89,5,0)</f>
        <v>-3.0859155231155454E-13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504.37890861635196</v>
      </c>
      <c r="EP183" s="59">
        <f t="shared" si="154"/>
        <v>611.82129317522913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6.4947225479121906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6.4947225479121906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-1.1368683772161603E-13</v>
      </c>
      <c r="FF183" s="17">
        <f>FE183*VLOOKUP('Données projet'!$B$16,Paramètres!$A$1:$I$89,3,0)*VLOOKUP('Données projet'!$B$16,Paramètres!$A$1:$I$89,5,0)</f>
        <v>-1.223725121235475E-13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334.01098870576732</v>
      </c>
      <c r="FK183" s="59">
        <f t="shared" si="156"/>
        <v>171.1802153303471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36.729552327466294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36.729552327466294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-1.7053025658242404E-13</v>
      </c>
      <c r="GA183" s="17">
        <f>FZ183*VLOOKUP('Données projet'!$B$17,Paramètres!$A$1:$I$89,3,0)*VLOOKUP('Données projet'!$B$17,Paramètres!$A$1:$I$89,5,0)</f>
        <v>-1.4897523215040567E-13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330.12856974146598</v>
      </c>
      <c r="GF183" s="59">
        <f t="shared" si="158"/>
        <v>321.23368446552286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16.165356515974796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16.165356515974796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69.764313302231272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-1.7053025658242404E-13</v>
      </c>
      <c r="GV183" s="17">
        <f>GU183*VLOOKUP('Données projet'!$B$18,Paramètres!$A$1:$I$89,3,0)*VLOOKUP('Données projet'!$B$18,Paramètres!$A$1:$I$89,5,0)</f>
        <v>-1.1439169611549005E-13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296.67751292332753</v>
      </c>
      <c r="HA183" s="59">
        <f t="shared" si="160"/>
        <v>197.99510031603018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38.846513793981366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38.846513793981366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1.1000000000000001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4.0333333333333341</v>
      </c>
      <c r="H184" s="67">
        <f t="shared" si="110"/>
        <v>240.5333333333333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-1.5429577615577727E-13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461.20962581398715</v>
      </c>
      <c r="T184" s="59">
        <f t="shared" si="142"/>
        <v>348.44322874953923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54.527999084470089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54.527999084470089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-1.72917680174578E-13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510.86584023875525</v>
      </c>
      <c r="AO184" s="59">
        <f t="shared" si="144"/>
        <v>384.62921487244125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61.108964491216476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61.108964491216476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4.1677594708744434E-14</v>
      </c>
      <c r="BF184" s="13">
        <f t="shared" si="167"/>
        <v>6.9326303456159188E-13</v>
      </c>
      <c r="BG184" s="20">
        <f t="shared" si="168"/>
        <v>1.2800215959791691E-12</v>
      </c>
      <c r="BH184" s="59">
        <f t="shared" si="116"/>
        <v>292.48414044491187</v>
      </c>
      <c r="BI184" s="59">
        <f ca="1">AVERAGE(OFFSET($BH$3,0,0,'Données projet'!$E$11+1,1))-AVERAGE(OFFSET($H$3,0,0,'Données projet'!$E$11+1,1))</f>
        <v>201.7253431547006</v>
      </c>
      <c r="BJ184" s="59">
        <f t="shared" si="146"/>
        <v>229.70004720044096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4.3939177984222342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4.3939177984222342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-1.2710188457276673E-13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462.09240749760784</v>
      </c>
      <c r="CE184" s="59">
        <f t="shared" si="148"/>
        <v>403.52202223463337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46.548108688724305</v>
      </c>
      <c r="CL184" s="21">
        <f>EXP(-LN(2)/25)*CL183+(1-EXP(-LN(2)/25))/(LN(2)/25)*Calculateur!CG184*Calculateur!CI184*VLOOKUP('Données projet'!$B$12,Paramètres!$A$1:$I$89,3,0)*0.475*44/12</f>
        <v>2.0962012141448967</v>
      </c>
      <c r="CM184" s="21">
        <f>EXP(-LN(2)/2)*CM183+(1-EXP(-LN(2)/2))/(LN(2)/2)*CG184*CJ184*VLOOKUP('Données projet'!$B$12,Paramètres!$A$1:$I$89,3,0)*0.475*44/12</f>
        <v>1.1022748785116768E-14</v>
      </c>
      <c r="CN184" s="22">
        <f t="shared" si="172"/>
        <v>48.644309902869217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319.88925869887464</v>
      </c>
      <c r="CZ184" s="59">
        <f t="shared" si="150"/>
        <v>258.2857172412098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22.25477730114898</v>
      </c>
      <c r="DG184" s="21">
        <f>EXP(-LN(2)/25)*DG183+(1-EXP(-LN(2)/25))/(LN(2)/25)*Calculateur!DB184*Calculateur!DD184*VLOOKUP('Données projet'!$B$13,Paramètres!$A$1:$I$89,3,0)*0.475*44/12</f>
        <v>2.9050152876378572</v>
      </c>
      <c r="DH184" s="21">
        <f>EXP(-LN(2)/2)*DH183+(1-EXP(-LN(2)/2))/(LN(2)/2)*DB184*DE184*VLOOKUP('Données projet'!$B$13,Paramètres!$A$1:$I$89,3,0)*0.475*44/12</f>
        <v>2.6467898947259359E-14</v>
      </c>
      <c r="DI184" s="22">
        <f t="shared" si="175"/>
        <v>25.159792588786861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-5.6843418860808015E-13</v>
      </c>
      <c r="DP184" s="17">
        <f>DO184*VLOOKUP('Données projet'!$B$14,Paramètres!$A$1:$I$89,3,0)*VLOOKUP('Données projet'!$B$14,Paramètres!$A$1:$I$89,5,0)</f>
        <v>-3.39923644787632E-13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443.64905827069435</v>
      </c>
      <c r="DU184" s="59">
        <f t="shared" si="152"/>
        <v>381.14782516862385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29.015592515643164</v>
      </c>
      <c r="EB184" s="21">
        <f>EXP(-LN(2)/25)*EB183+(1-EXP(-LN(2)/25))/(LN(2)/25)*Calculateur!DW184*Calculateur!DY184*VLOOKUP('Données projet'!$B$14,Paramètres!$A$1:$I$89,3,0)*0.475*44/12</f>
        <v>2.5329091563206898</v>
      </c>
      <c r="EC184" s="21">
        <f>EXP(-LN(2)/2)*EC183+(1-EXP(-LN(2)/2))/(LN(2)/2)*DW184*DZ184*VLOOKUP('Données projet'!$B$14,Paramètres!$A$1:$I$89,3,0)*0.475*44/12</f>
        <v>6.4788782648710051E-15</v>
      </c>
      <c r="ED184" s="22">
        <f t="shared" si="178"/>
        <v>31.548501671963862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-3.4106051316484809E-13</v>
      </c>
      <c r="EK184" s="17">
        <f>EJ184*VLOOKUP('Données projet'!$B$15,Paramètres!$A$1:$I$89,3,0)*VLOOKUP('Données projet'!$B$15,Paramètres!$A$1:$I$89,5,0)</f>
        <v>-3.0859155231155454E-13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504.37890861635196</v>
      </c>
      <c r="EP184" s="59">
        <f t="shared" si="154"/>
        <v>611.82129317522913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6.3673650001372319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6.3673650001372319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-1.1368683772161603E-13</v>
      </c>
      <c r="FF184" s="17">
        <f>FE184*VLOOKUP('Données projet'!$B$16,Paramètres!$A$1:$I$89,3,0)*VLOOKUP('Données projet'!$B$16,Paramètres!$A$1:$I$89,5,0)</f>
        <v>-1.223725121235475E-13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334.01098870576732</v>
      </c>
      <c r="FK184" s="59">
        <f t="shared" si="156"/>
        <v>171.1802153303471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36.009308209139505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36.009308209139505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-1.7053025658242404E-13</v>
      </c>
      <c r="GA184" s="17">
        <f>FZ184*VLOOKUP('Données projet'!$B$17,Paramètres!$A$1:$I$89,3,0)*VLOOKUP('Données projet'!$B$17,Paramètres!$A$1:$I$89,5,0)</f>
        <v>-1.4897523215040567E-13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330.12856974146598</v>
      </c>
      <c r="GF184" s="59">
        <f t="shared" si="158"/>
        <v>321.23368446552286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15.848363734590421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15.848363734590421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69.768401939521056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-1.7053025658242404E-13</v>
      </c>
      <c r="GV184" s="17">
        <f>GU184*VLOOKUP('Données projet'!$B$18,Paramètres!$A$1:$I$89,3,0)*VLOOKUP('Données projet'!$B$18,Paramètres!$A$1:$I$89,5,0)</f>
        <v>-1.1439169611549005E-13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296.67751292332753</v>
      </c>
      <c r="HA184" s="59">
        <f t="shared" si="160"/>
        <v>197.99510031603018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38.084757352515211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38.084757352515211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1.1000000000000001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4.0333333333333341</v>
      </c>
      <c r="H185" s="67">
        <f t="shared" si="110"/>
        <v>240.5333333333333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-1.5429577615577727E-13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461.20962581398715</v>
      </c>
      <c r="T185" s="59">
        <f t="shared" si="142"/>
        <v>348.44322874953923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53.458738281219041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53.458738281219041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-1.72917680174578E-13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510.86584023875525</v>
      </c>
      <c r="AO185" s="59">
        <f t="shared" si="144"/>
        <v>384.62921487244125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59.910654970331677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59.910654970331677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4.1677594708744434E-14</v>
      </c>
      <c r="BF185" s="13">
        <f t="shared" si="167"/>
        <v>6.9326303456159188E-13</v>
      </c>
      <c r="BG185" s="20">
        <f t="shared" si="168"/>
        <v>1.2800215959791691E-12</v>
      </c>
      <c r="BH185" s="59">
        <f t="shared" si="116"/>
        <v>292.49887204301513</v>
      </c>
      <c r="BI185" s="59">
        <f ca="1">AVERAGE(OFFSET($BH$3,0,0,'Données projet'!$E$11+1,1))-AVERAGE(OFFSET($H$3,0,0,'Données projet'!$E$11+1,1))</f>
        <v>201.7253431547006</v>
      </c>
      <c r="BJ185" s="59">
        <f t="shared" si="146"/>
        <v>229.70004720044096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4.3077557504204007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4.3077557504204007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-1.2710188457276673E-13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462.09240749760784</v>
      </c>
      <c r="CE185" s="59">
        <f t="shared" si="148"/>
        <v>403.52202223463337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45.635328668881293</v>
      </c>
      <c r="CL185" s="21">
        <f>EXP(-LN(2)/25)*CL184+(1-EXP(-LN(2)/25))/(LN(2)/25)*Calculateur!CG185*Calculateur!CI185*VLOOKUP('Données projet'!$B$12,Paramètres!$A$1:$I$89,3,0)*0.475*44/12</f>
        <v>2.0388804817096737</v>
      </c>
      <c r="CM185" s="21">
        <f>EXP(-LN(2)/2)*CM184+(1-EXP(-LN(2)/2))/(LN(2)/2)*CG185*CJ185*VLOOKUP('Données projet'!$B$12,Paramètres!$A$1:$I$89,3,0)*0.475*44/12</f>
        <v>7.7942604132718453E-15</v>
      </c>
      <c r="CN185" s="22">
        <f t="shared" si="172"/>
        <v>47.674209150590976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319.88925869887464</v>
      </c>
      <c r="CZ185" s="59">
        <f t="shared" si="150"/>
        <v>258.2857172412098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21.818374692347273</v>
      </c>
      <c r="DG185" s="21">
        <f>EXP(-LN(2)/25)*DG184+(1-EXP(-LN(2)/25))/(LN(2)/25)*Calculateur!DB185*Calculateur!DD185*VLOOKUP('Données projet'!$B$13,Paramètres!$A$1:$I$89,3,0)*0.475*44/12</f>
        <v>2.8255774918292857</v>
      </c>
      <c r="DH185" s="21">
        <f>EXP(-LN(2)/2)*DH184+(1-EXP(-LN(2)/2))/(LN(2)/2)*DB185*DE185*VLOOKUP('Données projet'!$B$13,Paramètres!$A$1:$I$89,3,0)*0.475*44/12</f>
        <v>1.8715630829367375E-14</v>
      </c>
      <c r="DI185" s="22">
        <f t="shared" si="175"/>
        <v>24.643952184176577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-5.6843418860808015E-13</v>
      </c>
      <c r="DP185" s="17">
        <f>DO185*VLOOKUP('Données projet'!$B$14,Paramètres!$A$1:$I$89,3,0)*VLOOKUP('Données projet'!$B$14,Paramètres!$A$1:$I$89,5,0)</f>
        <v>-3.39923644787632E-13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443.64905827069435</v>
      </c>
      <c r="DU185" s="59">
        <f t="shared" si="152"/>
        <v>381.14782516862385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28.446614444175328</v>
      </c>
      <c r="EB185" s="21">
        <f>EXP(-LN(2)/25)*EB184+(1-EXP(-LN(2)/25))/(LN(2)/25)*Calculateur!DW185*Calculateur!DY185*VLOOKUP('Données projet'!$B$14,Paramètres!$A$1:$I$89,3,0)*0.475*44/12</f>
        <v>2.463646622241197</v>
      </c>
      <c r="EC185" s="21">
        <f>EXP(-LN(2)/2)*EC184+(1-EXP(-LN(2)/2))/(LN(2)/2)*DW185*DZ185*VLOOKUP('Données projet'!$B$14,Paramètres!$A$1:$I$89,3,0)*0.475*44/12</f>
        <v>4.5812587555724204E-15</v>
      </c>
      <c r="ED185" s="22">
        <f t="shared" si="178"/>
        <v>30.910261066416528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-3.4106051316484809E-13</v>
      </c>
      <c r="EK185" s="17">
        <f>EJ185*VLOOKUP('Données projet'!$B$15,Paramètres!$A$1:$I$89,3,0)*VLOOKUP('Données projet'!$B$15,Paramètres!$A$1:$I$89,5,0)</f>
        <v>-3.0859155231155454E-13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504.37890861635196</v>
      </c>
      <c r="EP185" s="59">
        <f t="shared" si="154"/>
        <v>611.82129317522913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6.2425048561937064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6.2425048561937064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-1.1368683772161603E-13</v>
      </c>
      <c r="FF185" s="17">
        <f>FE185*VLOOKUP('Données projet'!$B$16,Paramètres!$A$1:$I$89,3,0)*VLOOKUP('Données projet'!$B$16,Paramètres!$A$1:$I$89,5,0)</f>
        <v>-1.223725121235475E-13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334.01098870576732</v>
      </c>
      <c r="FK185" s="59">
        <f t="shared" si="156"/>
        <v>171.1802153303471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35.303187638667573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35.303187638667573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-1.7053025658242404E-13</v>
      </c>
      <c r="GA185" s="17">
        <f>FZ185*VLOOKUP('Données projet'!$B$17,Paramètres!$A$1:$I$89,3,0)*VLOOKUP('Données projet'!$B$17,Paramètres!$A$1:$I$89,5,0)</f>
        <v>-1.4897523215040567E-13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330.12856974146598</v>
      </c>
      <c r="GF185" s="59">
        <f t="shared" si="158"/>
        <v>321.23368446552286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15.53758698830249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15.53758698830249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69.772419648094669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-1.7053025658242404E-13</v>
      </c>
      <c r="GV185" s="17">
        <f>GU185*VLOOKUP('Données projet'!$B$18,Paramètres!$A$1:$I$89,3,0)*VLOOKUP('Données projet'!$B$18,Paramètres!$A$1:$I$89,5,0)</f>
        <v>-1.1439169611549005E-13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296.67751292332753</v>
      </c>
      <c r="HA185" s="59">
        <f t="shared" si="160"/>
        <v>197.99510031603018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37.33793849024066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37.33793849024066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1.1000000000000001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4.0333333333333341</v>
      </c>
      <c r="H186" s="67">
        <f t="shared" si="110"/>
        <v>240.5333333333333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-1.5429577615577727E-13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461.20962581398715</v>
      </c>
      <c r="T186" s="59">
        <f t="shared" si="142"/>
        <v>348.44322874953923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52.410445030135051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52.410445030135051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-1.72917680174578E-13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510.86584023875525</v>
      </c>
      <c r="AO186" s="59">
        <f t="shared" si="144"/>
        <v>384.62921487244125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58.735843568254793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58.735843568254793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4.1677594708744434E-14</v>
      </c>
      <c r="BF186" s="13">
        <f t="shared" si="167"/>
        <v>6.9326303456159188E-13</v>
      </c>
      <c r="BG186" s="20">
        <f t="shared" si="168"/>
        <v>1.2800215959791691E-12</v>
      </c>
      <c r="BH186" s="59">
        <f t="shared" si="116"/>
        <v>292.51334808082618</v>
      </c>
      <c r="BI186" s="59">
        <f ca="1">AVERAGE(OFFSET($BH$3,0,0,'Données projet'!$E$11+1,1))-AVERAGE(OFFSET($H$3,0,0,'Données projet'!$E$11+1,1))</f>
        <v>201.7253431547006</v>
      </c>
      <c r="BJ186" s="59">
        <f t="shared" si="146"/>
        <v>229.70004720044096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4.2232832876262227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4.2232832876262227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-1.2710188457276673E-13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462.09240749760784</v>
      </c>
      <c r="CE186" s="59">
        <f t="shared" si="148"/>
        <v>403.52202223463337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44.740447708486563</v>
      </c>
      <c r="CL186" s="21">
        <f>EXP(-LN(2)/25)*CL185+(1-EXP(-LN(2)/25))/(LN(2)/25)*Calculateur!CG186*Calculateur!CI186*VLOOKUP('Données projet'!$B$12,Paramètres!$A$1:$I$89,3,0)*0.475*44/12</f>
        <v>1.983127187717258</v>
      </c>
      <c r="CM186" s="21">
        <f>EXP(-LN(2)/2)*CM185+(1-EXP(-LN(2)/2))/(LN(2)/2)*CG186*CJ186*VLOOKUP('Données projet'!$B$12,Paramètres!$A$1:$I$89,3,0)*0.475*44/12</f>
        <v>5.5113743925583842E-15</v>
      </c>
      <c r="CN186" s="22">
        <f t="shared" si="172"/>
        <v>46.723574896203829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319.88925869887464</v>
      </c>
      <c r="CZ186" s="59">
        <f t="shared" si="150"/>
        <v>258.2857172412098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21.39052967252486</v>
      </c>
      <c r="DG186" s="21">
        <f>EXP(-LN(2)/25)*DG185+(1-EXP(-LN(2)/25))/(LN(2)/25)*Calculateur!DB186*Calculateur!DD186*VLOOKUP('Données projet'!$B$13,Paramètres!$A$1:$I$89,3,0)*0.475*44/12</f>
        <v>2.7483119267245515</v>
      </c>
      <c r="DH186" s="21">
        <f>EXP(-LN(2)/2)*DH185+(1-EXP(-LN(2)/2))/(LN(2)/2)*DB186*DE186*VLOOKUP('Données projet'!$B$13,Paramètres!$A$1:$I$89,3,0)*0.475*44/12</f>
        <v>1.323394947362968E-14</v>
      </c>
      <c r="DI186" s="22">
        <f t="shared" si="175"/>
        <v>24.138841599249425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-5.6843418860808015E-13</v>
      </c>
      <c r="DP186" s="17">
        <f>DO186*VLOOKUP('Données projet'!$B$14,Paramètres!$A$1:$I$89,3,0)*VLOOKUP('Données projet'!$B$14,Paramètres!$A$1:$I$89,5,0)</f>
        <v>-3.39923644787632E-13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443.64905827069435</v>
      </c>
      <c r="DU186" s="59">
        <f t="shared" si="152"/>
        <v>381.14782516862385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27.888793685646618</v>
      </c>
      <c r="EB186" s="21">
        <f>EXP(-LN(2)/25)*EB185+(1-EXP(-LN(2)/25))/(LN(2)/25)*Calculateur!DW186*Calculateur!DY186*VLOOKUP('Données projet'!$B$14,Paramètres!$A$1:$I$89,3,0)*0.475*44/12</f>
        <v>2.3962780757984663</v>
      </c>
      <c r="EC186" s="21">
        <f>EXP(-LN(2)/2)*EC185+(1-EXP(-LN(2)/2))/(LN(2)/2)*DW186*DZ186*VLOOKUP('Données projet'!$B$14,Paramètres!$A$1:$I$89,3,0)*0.475*44/12</f>
        <v>3.2394391324355025E-15</v>
      </c>
      <c r="ED186" s="22">
        <f t="shared" si="178"/>
        <v>30.285071761445089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-3.4106051316484809E-13</v>
      </c>
      <c r="EK186" s="17">
        <f>EJ186*VLOOKUP('Données projet'!$B$15,Paramètres!$A$1:$I$89,3,0)*VLOOKUP('Données projet'!$B$15,Paramètres!$A$1:$I$89,5,0)</f>
        <v>-3.0859155231155454E-13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504.37890861635196</v>
      </c>
      <c r="EP186" s="59">
        <f t="shared" si="154"/>
        <v>611.82129317522913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6.1200931435157457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6.1200931435157457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-1.1368683772161603E-13</v>
      </c>
      <c r="FF186" s="17">
        <f>FE186*VLOOKUP('Données projet'!$B$16,Paramètres!$A$1:$I$89,3,0)*VLOOKUP('Données projet'!$B$16,Paramètres!$A$1:$I$89,5,0)</f>
        <v>-1.223725121235475E-13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334.01098870576732</v>
      </c>
      <c r="FK186" s="59">
        <f t="shared" si="156"/>
        <v>171.1802153303471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34.610913661891573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34.610913661891573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-1.7053025658242404E-13</v>
      </c>
      <c r="GA186" s="17">
        <f>FZ186*VLOOKUP('Données projet'!$B$17,Paramètres!$A$1:$I$89,3,0)*VLOOKUP('Données projet'!$B$17,Paramètres!$A$1:$I$89,5,0)</f>
        <v>-1.4897523215040567E-13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330.12856974146598</v>
      </c>
      <c r="GF186" s="59">
        <f t="shared" si="158"/>
        <v>321.23368446552286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15.232904384454166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15.232904384454166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69.776367658406784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-1.7053025658242404E-13</v>
      </c>
      <c r="GV186" s="17">
        <f>GU186*VLOOKUP('Données projet'!$B$18,Paramètres!$A$1:$I$89,3,0)*VLOOKUP('Données projet'!$B$18,Paramètres!$A$1:$I$89,5,0)</f>
        <v>-1.1439169611549005E-13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296.67751292332753</v>
      </c>
      <c r="HA186" s="59">
        <f t="shared" si="160"/>
        <v>197.99510031603018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36.605764290340787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36.605764290340787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1.1000000000000001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4.0333333333333341</v>
      </c>
      <c r="H187" s="67">
        <f t="shared" si="110"/>
        <v>240.5333333333333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-1.5429577615577727E-13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461.20962581398715</v>
      </c>
      <c r="T187" s="59">
        <f t="shared" si="142"/>
        <v>348.44322874953923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51.382708170309073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51.382708170309073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-1.72917680174578E-13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510.86584023875525</v>
      </c>
      <c r="AO187" s="59">
        <f t="shared" si="144"/>
        <v>384.62921487244125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57.58406950120844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57.58406950120844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4.1677594708744434E-14</v>
      </c>
      <c r="BF187" s="13">
        <f t="shared" si="167"/>
        <v>6.9326303456159188E-13</v>
      </c>
      <c r="BG187" s="20">
        <f t="shared" si="168"/>
        <v>1.2800215959791691E-12</v>
      </c>
      <c r="BH187" s="59">
        <f t="shared" si="116"/>
        <v>292.52757299174476</v>
      </c>
      <c r="BI187" s="59">
        <f ca="1">AVERAGE(OFFSET($BH$3,0,0,'Données projet'!$E$11+1,1))-AVERAGE(OFFSET($H$3,0,0,'Données projet'!$E$11+1,1))</f>
        <v>201.7253431547006</v>
      </c>
      <c r="BJ187" s="59">
        <f t="shared" si="146"/>
        <v>229.70004720044096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4.1404672783043246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4.1404672783043246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-1.2710188457276673E-13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462.09240749760784</v>
      </c>
      <c r="CE187" s="59">
        <f t="shared" si="148"/>
        <v>403.52202223463337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43.863114817901682</v>
      </c>
      <c r="CL187" s="21">
        <f>EXP(-LN(2)/25)*CL186+(1-EXP(-LN(2)/25))/(LN(2)/25)*Calculateur!CG187*Calculateur!CI187*VLOOKUP('Données projet'!$B$12,Paramètres!$A$1:$I$89,3,0)*0.475*44/12</f>
        <v>1.9288984704810033</v>
      </c>
      <c r="CM187" s="21">
        <f>EXP(-LN(2)/2)*CM186+(1-EXP(-LN(2)/2))/(LN(2)/2)*CG187*CJ187*VLOOKUP('Données projet'!$B$12,Paramètres!$A$1:$I$89,3,0)*0.475*44/12</f>
        <v>3.8971302066359226E-15</v>
      </c>
      <c r="CN187" s="22">
        <f t="shared" si="172"/>
        <v>45.792013288382691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319.88925869887464</v>
      </c>
      <c r="CZ187" s="59">
        <f t="shared" si="150"/>
        <v>258.2857172412098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20.971074432581471</v>
      </c>
      <c r="DG187" s="21">
        <f>EXP(-LN(2)/25)*DG186+(1-EXP(-LN(2)/25))/(LN(2)/25)*Calculateur!DB187*Calculateur!DD187*VLOOKUP('Données projet'!$B$13,Paramètres!$A$1:$I$89,3,0)*0.475*44/12</f>
        <v>2.6731591925608256</v>
      </c>
      <c r="DH187" s="21">
        <f>EXP(-LN(2)/2)*DH186+(1-EXP(-LN(2)/2))/(LN(2)/2)*DB187*DE187*VLOOKUP('Données projet'!$B$13,Paramètres!$A$1:$I$89,3,0)*0.475*44/12</f>
        <v>9.3578154146836876E-15</v>
      </c>
      <c r="DI187" s="22">
        <f t="shared" si="175"/>
        <v>23.644233625142306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-5.6843418860808015E-13</v>
      </c>
      <c r="DP187" s="17">
        <f>DO187*VLOOKUP('Données projet'!$B$14,Paramètres!$A$1:$I$89,3,0)*VLOOKUP('Données projet'!$B$14,Paramètres!$A$1:$I$89,5,0)</f>
        <v>-3.39923644787632E-13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443.64905827069435</v>
      </c>
      <c r="DU187" s="59">
        <f t="shared" si="152"/>
        <v>381.14782516862385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27.341911451955589</v>
      </c>
      <c r="EB187" s="21">
        <f>EXP(-LN(2)/25)*EB186+(1-EXP(-LN(2)/25))/(LN(2)/25)*Calculateur!DW187*Calculateur!DY187*VLOOKUP('Données projet'!$B$14,Paramètres!$A$1:$I$89,3,0)*0.475*44/12</f>
        <v>2.3307517258009698</v>
      </c>
      <c r="EC187" s="21">
        <f>EXP(-LN(2)/2)*EC186+(1-EXP(-LN(2)/2))/(LN(2)/2)*DW187*DZ187*VLOOKUP('Données projet'!$B$14,Paramètres!$A$1:$I$89,3,0)*0.475*44/12</f>
        <v>2.2906293777862102E-15</v>
      </c>
      <c r="ED187" s="22">
        <f t="shared" si="178"/>
        <v>29.672663177756561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-3.4106051316484809E-13</v>
      </c>
      <c r="EK187" s="17">
        <f>EJ187*VLOOKUP('Données projet'!$B$15,Paramètres!$A$1:$I$89,3,0)*VLOOKUP('Données projet'!$B$15,Paramètres!$A$1:$I$89,5,0)</f>
        <v>-3.0859155231155454E-13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504.37890861635196</v>
      </c>
      <c r="EP187" s="59">
        <f t="shared" si="154"/>
        <v>611.82129317522913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6.0000818498596278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6.0000818498596278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-1.1368683772161603E-13</v>
      </c>
      <c r="FF187" s="17">
        <f>FE187*VLOOKUP('Données projet'!$B$16,Paramètres!$A$1:$I$89,3,0)*VLOOKUP('Données projet'!$B$16,Paramètres!$A$1:$I$89,5,0)</f>
        <v>-1.223725121235475E-13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334.01098870576732</v>
      </c>
      <c r="FK187" s="59">
        <f t="shared" si="156"/>
        <v>171.1802153303471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33.932214755554718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33.932214755554718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-1.7053025658242404E-13</v>
      </c>
      <c r="GA187" s="17">
        <f>FZ187*VLOOKUP('Données projet'!$B$17,Paramètres!$A$1:$I$89,3,0)*VLOOKUP('Données projet'!$B$17,Paramètres!$A$1:$I$89,5,0)</f>
        <v>-1.4897523215040567E-13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330.12856974146598</v>
      </c>
      <c r="GF187" s="59">
        <f t="shared" si="158"/>
        <v>321.23368446552286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14.934196420629268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14.934196420629268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69.780247179566402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-1.7053025658242404E-13</v>
      </c>
      <c r="GV187" s="17">
        <f>GU187*VLOOKUP('Données projet'!$B$18,Paramètres!$A$1:$I$89,3,0)*VLOOKUP('Données projet'!$B$18,Paramètres!$A$1:$I$89,5,0)</f>
        <v>-1.1439169611549005E-13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296.67751292332753</v>
      </c>
      <c r="HA187" s="59">
        <f t="shared" si="160"/>
        <v>197.99510031603018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35.88794757991878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35.88794757991878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1.1000000000000001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4.0333333333333341</v>
      </c>
      <c r="H188" s="67">
        <f t="shared" si="110"/>
        <v>240.5333333333333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-1.5429577615577727E-13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461.20962581398715</v>
      </c>
      <c r="T188" s="59">
        <f t="shared" si="142"/>
        <v>348.44322874953923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50.375124603446693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50.375124603446693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-1.72917680174578E-13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510.86584023875525</v>
      </c>
      <c r="AO188" s="59">
        <f t="shared" si="144"/>
        <v>384.62921487244125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56.45488102110405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56.45488102110405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4.1677594708744434E-14</v>
      </c>
      <c r="BF188" s="13">
        <f t="shared" si="167"/>
        <v>6.9326303456159188E-13</v>
      </c>
      <c r="BG188" s="20">
        <f t="shared" si="168"/>
        <v>1.2800215959791691E-12</v>
      </c>
      <c r="BH188" s="59">
        <f t="shared" si="116"/>
        <v>292.54155113226113</v>
      </c>
      <c r="BI188" s="59">
        <f ca="1">AVERAGE(OFFSET($BH$3,0,0,'Données projet'!$E$11+1,1))-AVERAGE(OFFSET($H$3,0,0,'Données projet'!$E$11+1,1))</f>
        <v>201.7253431547006</v>
      </c>
      <c r="BJ188" s="59">
        <f t="shared" si="146"/>
        <v>229.70004720044096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4.0592752404124504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4.0592752404124504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-1.2710188457276673E-13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462.09240749760784</v>
      </c>
      <c r="CE188" s="59">
        <f t="shared" si="148"/>
        <v>403.52202223463337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43.002985890180945</v>
      </c>
      <c r="CL188" s="21">
        <f>EXP(-LN(2)/25)*CL187+(1-EXP(-LN(2)/25))/(LN(2)/25)*Calculateur!CG188*Calculateur!CI188*VLOOKUP('Données projet'!$B$12,Paramètres!$A$1:$I$89,3,0)*0.475*44/12</f>
        <v>1.8761526403693383</v>
      </c>
      <c r="CM188" s="21">
        <f>EXP(-LN(2)/2)*CM187+(1-EXP(-LN(2)/2))/(LN(2)/2)*CG188*CJ188*VLOOKUP('Données projet'!$B$12,Paramètres!$A$1:$I$89,3,0)*0.475*44/12</f>
        <v>2.7556871962791921E-15</v>
      </c>
      <c r="CN188" s="22">
        <f t="shared" si="172"/>
        <v>44.879138530550286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319.88925869887464</v>
      </c>
      <c r="CZ188" s="59">
        <f t="shared" si="150"/>
        <v>258.2857172412098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20.559844454050936</v>
      </c>
      <c r="DG188" s="21">
        <f>EXP(-LN(2)/25)*DG187+(1-EXP(-LN(2)/25))/(LN(2)/25)*Calculateur!DB188*Calculateur!DD188*VLOOKUP('Données projet'!$B$13,Paramètres!$A$1:$I$89,3,0)*0.475*44/12</f>
        <v>2.6000615138649175</v>
      </c>
      <c r="DH188" s="21">
        <f>EXP(-LN(2)/2)*DH187+(1-EXP(-LN(2)/2))/(LN(2)/2)*DB188*DE188*VLOOKUP('Données projet'!$B$13,Paramètres!$A$1:$I$89,3,0)*0.475*44/12</f>
        <v>6.6169747368148398E-15</v>
      </c>
      <c r="DI188" s="22">
        <f t="shared" si="175"/>
        <v>23.159905967915861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-5.6843418860808015E-13</v>
      </c>
      <c r="DP188" s="17">
        <f>DO188*VLOOKUP('Données projet'!$B$14,Paramètres!$A$1:$I$89,3,0)*VLOOKUP('Données projet'!$B$14,Paramètres!$A$1:$I$89,5,0)</f>
        <v>-3.39923644787632E-13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443.64905827069435</v>
      </c>
      <c r="DU188" s="59">
        <f t="shared" si="152"/>
        <v>381.14782516862385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26.805753245302018</v>
      </c>
      <c r="EB188" s="21">
        <f>EXP(-LN(2)/25)*EB187+(1-EXP(-LN(2)/25))/(LN(2)/25)*Calculateur!DW188*Calculateur!DY188*VLOOKUP('Données projet'!$B$14,Paramètres!$A$1:$I$89,3,0)*0.475*44/12</f>
        <v>2.2670171972900359</v>
      </c>
      <c r="EC188" s="21">
        <f>EXP(-LN(2)/2)*EC187+(1-EXP(-LN(2)/2))/(LN(2)/2)*DW188*DZ188*VLOOKUP('Données projet'!$B$14,Paramètres!$A$1:$I$89,3,0)*0.475*44/12</f>
        <v>1.6197195662177513E-15</v>
      </c>
      <c r="ED188" s="22">
        <f t="shared" si="178"/>
        <v>29.072770442592052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-3.4106051316484809E-13</v>
      </c>
      <c r="EK188" s="17">
        <f>EJ188*VLOOKUP('Données projet'!$B$15,Paramètres!$A$1:$I$89,3,0)*VLOOKUP('Données projet'!$B$15,Paramètres!$A$1:$I$89,5,0)</f>
        <v>-3.0859155231155454E-13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504.37890861635196</v>
      </c>
      <c r="EP188" s="59">
        <f t="shared" si="154"/>
        <v>611.82129317522913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5.8824239044724447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5.8824239044724447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-1.1368683772161603E-13</v>
      </c>
      <c r="FF188" s="17">
        <f>FE188*VLOOKUP('Données projet'!$B$16,Paramètres!$A$1:$I$89,3,0)*VLOOKUP('Données projet'!$B$16,Paramètres!$A$1:$I$89,5,0)</f>
        <v>-1.223725121235475E-13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334.01098870576732</v>
      </c>
      <c r="FK188" s="59">
        <f t="shared" si="156"/>
        <v>171.1802153303471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33.266824720805673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33.266824720805673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-1.7053025658242404E-13</v>
      </c>
      <c r="GA188" s="17">
        <f>FZ188*VLOOKUP('Données projet'!$B$17,Paramètres!$A$1:$I$89,3,0)*VLOOKUP('Données projet'!$B$17,Paramètres!$A$1:$I$89,5,0)</f>
        <v>-1.4897523215040567E-13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330.12856974146598</v>
      </c>
      <c r="GF188" s="59">
        <f t="shared" si="158"/>
        <v>321.23368446552286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14.641345937781109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14.641345937781109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69.784059399707218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-1.7053025658242404E-13</v>
      </c>
      <c r="GV188" s="17">
        <f>GU188*VLOOKUP('Données projet'!$B$18,Paramètres!$A$1:$I$89,3,0)*VLOOKUP('Données projet'!$B$18,Paramètres!$A$1:$I$89,5,0)</f>
        <v>-1.1439169611549005E-13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296.67751292332753</v>
      </c>
      <c r="HA188" s="59">
        <f t="shared" si="160"/>
        <v>197.99510031603018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35.18420681736319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35.18420681736319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1.1000000000000001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4.0333333333333341</v>
      </c>
      <c r="H189" s="67">
        <f t="shared" si="110"/>
        <v>240.5333333333333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-1.5429577615577727E-13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461.20962581398715</v>
      </c>
      <c r="T189" s="59">
        <f t="shared" si="142"/>
        <v>348.44322874953923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49.38729913576519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49.38729913576519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-1.72917680174578E-13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510.86584023875525</v>
      </c>
      <c r="AO189" s="59">
        <f t="shared" si="144"/>
        <v>384.62921487244125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55.34783523835754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55.34783523835754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4.1677594708744434E-14</v>
      </c>
      <c r="BF189" s="13">
        <f t="shared" si="167"/>
        <v>6.9326303456159188E-13</v>
      </c>
      <c r="BG189" s="20">
        <f t="shared" si="168"/>
        <v>1.2800215959791691E-12</v>
      </c>
      <c r="BH189" s="59">
        <f t="shared" si="116"/>
        <v>292.55528678328994</v>
      </c>
      <c r="BI189" s="59">
        <f ca="1">AVERAGE(OFFSET($BH$3,0,0,'Données projet'!$E$11+1,1))-AVERAGE(OFFSET($H$3,0,0,'Données projet'!$E$11+1,1))</f>
        <v>201.7253431547006</v>
      </c>
      <c r="BJ189" s="59">
        <f t="shared" si="146"/>
        <v>229.70004720044096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3.9796753288613829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3.9796753288613829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-1.2710188457276673E-13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462.09240749760784</v>
      </c>
      <c r="CE189" s="59">
        <f t="shared" si="148"/>
        <v>403.52202223463337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42.159723566105967</v>
      </c>
      <c r="CL189" s="21">
        <f>EXP(-LN(2)/25)*CL188+(1-EXP(-LN(2)/25))/(LN(2)/25)*Calculateur!CG189*Calculateur!CI189*VLOOKUP('Données projet'!$B$12,Paramètres!$A$1:$I$89,3,0)*0.475*44/12</f>
        <v>1.8248491477558593</v>
      </c>
      <c r="CM189" s="21">
        <f>EXP(-LN(2)/2)*CM188+(1-EXP(-LN(2)/2))/(LN(2)/2)*CG189*CJ189*VLOOKUP('Données projet'!$B$12,Paramètres!$A$1:$I$89,3,0)*0.475*44/12</f>
        <v>1.9485651033179613E-15</v>
      </c>
      <c r="CN189" s="22">
        <f t="shared" si="172"/>
        <v>43.984572713861823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319.88925869887464</v>
      </c>
      <c r="CZ189" s="59">
        <f t="shared" si="150"/>
        <v>258.2857172412098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20.156678444573863</v>
      </c>
      <c r="DG189" s="21">
        <f>EXP(-LN(2)/25)*DG188+(1-EXP(-LN(2)/25))/(LN(2)/25)*Calculateur!DB189*Calculateur!DD189*VLOOKUP('Données projet'!$B$13,Paramètres!$A$1:$I$89,3,0)*0.475*44/12</f>
        <v>2.5289626950369888</v>
      </c>
      <c r="DH189" s="21">
        <f>EXP(-LN(2)/2)*DH188+(1-EXP(-LN(2)/2))/(LN(2)/2)*DB189*DE189*VLOOKUP('Données projet'!$B$13,Paramètres!$A$1:$I$89,3,0)*0.475*44/12</f>
        <v>4.6789077073418438E-15</v>
      </c>
      <c r="DI189" s="22">
        <f t="shared" si="175"/>
        <v>22.685641139610855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-5.6843418860808015E-13</v>
      </c>
      <c r="DP189" s="17">
        <f>DO189*VLOOKUP('Données projet'!$B$14,Paramètres!$A$1:$I$89,3,0)*VLOOKUP('Données projet'!$B$14,Paramètres!$A$1:$I$89,5,0)</f>
        <v>-3.39923644787632E-13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443.64905827069435</v>
      </c>
      <c r="DU189" s="59">
        <f t="shared" si="152"/>
        <v>381.14782516862385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26.280108774056707</v>
      </c>
      <c r="EB189" s="21">
        <f>EXP(-LN(2)/25)*EB188+(1-EXP(-LN(2)/25))/(LN(2)/25)*Calculateur!DW189*Calculateur!DY189*VLOOKUP('Données projet'!$B$14,Paramètres!$A$1:$I$89,3,0)*0.475*44/12</f>
        <v>2.205025492812887</v>
      </c>
      <c r="EC189" s="21">
        <f>EXP(-LN(2)/2)*EC188+(1-EXP(-LN(2)/2))/(LN(2)/2)*DW189*DZ189*VLOOKUP('Données projet'!$B$14,Paramètres!$A$1:$I$89,3,0)*0.475*44/12</f>
        <v>1.1453146888931051E-15</v>
      </c>
      <c r="ED189" s="22">
        <f t="shared" si="178"/>
        <v>28.485134266869593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-3.4106051316484809E-13</v>
      </c>
      <c r="EK189" s="17">
        <f>EJ189*VLOOKUP('Données projet'!$B$15,Paramètres!$A$1:$I$89,3,0)*VLOOKUP('Données projet'!$B$15,Paramètres!$A$1:$I$89,5,0)</f>
        <v>-3.0859155231155454E-13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504.37890861635196</v>
      </c>
      <c r="EP189" s="59">
        <f t="shared" si="154"/>
        <v>611.82129317522913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5.7670731596300433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5.7670731596300433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-1.1368683772161603E-13</v>
      </c>
      <c r="FF189" s="17">
        <f>FE189*VLOOKUP('Données projet'!$B$16,Paramètres!$A$1:$I$89,3,0)*VLOOKUP('Données projet'!$B$16,Paramètres!$A$1:$I$89,5,0)</f>
        <v>-1.223725121235475E-13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334.01098870576732</v>
      </c>
      <c r="FK189" s="59">
        <f t="shared" si="156"/>
        <v>171.1802153303471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32.614482578790209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32.614482578790209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-1.7053025658242404E-13</v>
      </c>
      <c r="GA189" s="17">
        <f>FZ189*VLOOKUP('Données projet'!$B$17,Paramètres!$A$1:$I$89,3,0)*VLOOKUP('Données projet'!$B$17,Paramètres!$A$1:$I$89,5,0)</f>
        <v>-1.4897523215040567E-13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330.12856974146598</v>
      </c>
      <c r="GF189" s="59">
        <f t="shared" si="158"/>
        <v>321.23368446552286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14.354238074280445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14.354238074280445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69.787805486351445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-1.7053025658242404E-13</v>
      </c>
      <c r="GV189" s="17">
        <f>GU189*VLOOKUP('Données projet'!$B$18,Paramètres!$A$1:$I$89,3,0)*VLOOKUP('Données projet'!$B$18,Paramètres!$A$1:$I$89,5,0)</f>
        <v>-1.1439169611549005E-13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296.67751292332753</v>
      </c>
      <c r="HA189" s="59">
        <f t="shared" si="160"/>
        <v>197.99510031603018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34.494265981921835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34.494265981921835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1.1000000000000001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4.0333333333333341</v>
      </c>
      <c r="H190" s="67">
        <f t="shared" si="110"/>
        <v>240.5333333333333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-1.5429577615577727E-13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461.20962581398715</v>
      </c>
      <c r="T190" s="59">
        <f t="shared" si="142"/>
        <v>348.44322874953923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48.418844322990878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48.418844322990878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-1.72917680174578E-13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510.86584023875525</v>
      </c>
      <c r="AO190" s="59">
        <f t="shared" si="144"/>
        <v>384.62921487244125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54.262497948179437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54.262497948179437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4.1677594708744434E-14</v>
      </c>
      <c r="BF190" s="13">
        <f t="shared" si="167"/>
        <v>6.9326303456159188E-13</v>
      </c>
      <c r="BG190" s="20">
        <f t="shared" si="168"/>
        <v>1.2800215959791691E-12</v>
      </c>
      <c r="BH190" s="59">
        <f t="shared" si="116"/>
        <v>292.56878415148174</v>
      </c>
      <c r="BI190" s="59">
        <f ca="1">AVERAGE(OFFSET($BH$3,0,0,'Données projet'!$E$11+1,1))-AVERAGE(OFFSET($H$3,0,0,'Données projet'!$E$11+1,1))</f>
        <v>201.7253431547006</v>
      </c>
      <c r="BJ190" s="59">
        <f t="shared" si="146"/>
        <v>229.70004720044096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3.9016363230246798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3.9016363230246798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-1.2710188457276673E-13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462.09240749760784</v>
      </c>
      <c r="CE190" s="59">
        <f t="shared" si="148"/>
        <v>403.52202223463337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41.332997101866873</v>
      </c>
      <c r="CL190" s="21">
        <f>EXP(-LN(2)/25)*CL189+(1-EXP(-LN(2)/25))/(LN(2)/25)*Calculateur!CG190*Calculateur!CI190*VLOOKUP('Données projet'!$B$12,Paramètres!$A$1:$I$89,3,0)*0.475*44/12</f>
        <v>1.7749485518458294</v>
      </c>
      <c r="CM190" s="21">
        <f>EXP(-LN(2)/2)*CM189+(1-EXP(-LN(2)/2))/(LN(2)/2)*CG190*CJ190*VLOOKUP('Données projet'!$B$12,Paramètres!$A$1:$I$89,3,0)*0.475*44/12</f>
        <v>1.3778435981395961E-15</v>
      </c>
      <c r="CN190" s="22">
        <f t="shared" si="172"/>
        <v>43.107945653712704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319.88925869887464</v>
      </c>
      <c r="CZ190" s="59">
        <f t="shared" si="150"/>
        <v>258.2857172412098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19.761418274635655</v>
      </c>
      <c r="DG190" s="21">
        <f>EXP(-LN(2)/25)*DG189+(1-EXP(-LN(2)/25))/(LN(2)/25)*Calculateur!DB190*Calculateur!DD190*VLOOKUP('Données projet'!$B$13,Paramètres!$A$1:$I$89,3,0)*0.475*44/12</f>
        <v>2.4598080771488342</v>
      </c>
      <c r="DH190" s="21">
        <f>EXP(-LN(2)/2)*DH189+(1-EXP(-LN(2)/2))/(LN(2)/2)*DB190*DE190*VLOOKUP('Données projet'!$B$13,Paramètres!$A$1:$I$89,3,0)*0.475*44/12</f>
        <v>3.3084873684074199E-15</v>
      </c>
      <c r="DI190" s="22">
        <f t="shared" si="175"/>
        <v>22.221226351784495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-5.6843418860808015E-13</v>
      </c>
      <c r="DP190" s="17">
        <f>DO190*VLOOKUP('Données projet'!$B$14,Paramètres!$A$1:$I$89,3,0)*VLOOKUP('Données projet'!$B$14,Paramètres!$A$1:$I$89,5,0)</f>
        <v>-3.39923644787632E-13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443.64905827069435</v>
      </c>
      <c r="DU190" s="59">
        <f t="shared" si="152"/>
        <v>381.14782516862385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25.764771870281045</v>
      </c>
      <c r="EB190" s="21">
        <f>EXP(-LN(2)/25)*EB189+(1-EXP(-LN(2)/25))/(LN(2)/25)*Calculateur!DW190*Calculateur!DY190*VLOOKUP('Données projet'!$B$14,Paramètres!$A$1:$I$89,3,0)*0.475*44/12</f>
        <v>2.1447289547546675</v>
      </c>
      <c r="EC190" s="21">
        <f>EXP(-LN(2)/2)*EC189+(1-EXP(-LN(2)/2))/(LN(2)/2)*DW190*DZ190*VLOOKUP('Données projet'!$B$14,Paramètres!$A$1:$I$89,3,0)*0.475*44/12</f>
        <v>8.0985978310887563E-16</v>
      </c>
      <c r="ED190" s="22">
        <f t="shared" si="178"/>
        <v>27.909500825035714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-3.4106051316484809E-13</v>
      </c>
      <c r="EK190" s="17">
        <f>EJ190*VLOOKUP('Données projet'!$B$15,Paramètres!$A$1:$I$89,3,0)*VLOOKUP('Données projet'!$B$15,Paramètres!$A$1:$I$89,5,0)</f>
        <v>-3.0859155231155454E-13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504.37890861635196</v>
      </c>
      <c r="EP190" s="59">
        <f t="shared" si="154"/>
        <v>611.82129317522913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5.6539843725369945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5.6539843725369945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-1.1368683772161603E-13</v>
      </c>
      <c r="FF190" s="17">
        <f>FE190*VLOOKUP('Données projet'!$B$16,Paramètres!$A$1:$I$89,3,0)*VLOOKUP('Données projet'!$B$16,Paramètres!$A$1:$I$89,5,0)</f>
        <v>-1.223725121235475E-13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334.01098870576732</v>
      </c>
      <c r="FK190" s="59">
        <f t="shared" si="156"/>
        <v>171.1802153303471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31.974932468290248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31.974932468290248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-1.7053025658242404E-13</v>
      </c>
      <c r="GA190" s="17">
        <f>FZ190*VLOOKUP('Données projet'!$B$17,Paramètres!$A$1:$I$89,3,0)*VLOOKUP('Données projet'!$B$17,Paramètres!$A$1:$I$89,5,0)</f>
        <v>-1.4897523215040567E-13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330.12856974146598</v>
      </c>
      <c r="GF190" s="59">
        <f t="shared" si="158"/>
        <v>321.23368446552286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14.072760220864525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14.072760220864525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69.791486586767391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-1.7053025658242404E-13</v>
      </c>
      <c r="GV190" s="17">
        <f>GU190*VLOOKUP('Données projet'!$B$18,Paramètres!$A$1:$I$89,3,0)*VLOOKUP('Données projet'!$B$18,Paramètres!$A$1:$I$89,5,0)</f>
        <v>-1.1439169611549005E-13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296.67751292332753</v>
      </c>
      <c r="HA190" s="59">
        <f t="shared" si="160"/>
        <v>197.99510031603018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33.817854465441123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33.817854465441123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1.1000000000000001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4.0333333333333341</v>
      </c>
      <c r="H191" s="67">
        <f t="shared" si="110"/>
        <v>240.5333333333333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-1.5429577615577727E-13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461.20962581398715</v>
      </c>
      <c r="T191" s="59">
        <f t="shared" si="142"/>
        <v>348.44322874953923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47.469380318395963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47.469380318395963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-1.72917680174578E-13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510.86584023875525</v>
      </c>
      <c r="AO191" s="59">
        <f t="shared" si="144"/>
        <v>384.62921487244125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53.198443460271342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53.198443460271342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4.1677594708744434E-14</v>
      </c>
      <c r="BF191" s="13">
        <f t="shared" si="167"/>
        <v>6.9326303456159188E-13</v>
      </c>
      <c r="BG191" s="20">
        <f t="shared" si="168"/>
        <v>1.2800215959791691E-12</v>
      </c>
      <c r="BH191" s="59">
        <f t="shared" si="116"/>
        <v>292.58204737051096</v>
      </c>
      <c r="BI191" s="59">
        <f ca="1">AVERAGE(OFFSET($BH$3,0,0,'Données projet'!$E$11+1,1))-AVERAGE(OFFSET($H$3,0,0,'Données projet'!$E$11+1,1))</f>
        <v>201.7253431547006</v>
      </c>
      <c r="BJ191" s="59">
        <f t="shared" si="146"/>
        <v>229.70004720044096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3.8251276144933408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3.8251276144933408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-1.2710188457276673E-13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462.09240749760784</v>
      </c>
      <c r="CE191" s="59">
        <f t="shared" si="148"/>
        <v>403.52202223463337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40.522482239338153</v>
      </c>
      <c r="CL191" s="21">
        <f>EXP(-LN(2)/25)*CL190+(1-EXP(-LN(2)/25))/(LN(2)/25)*Calculateur!CG191*Calculateur!CI191*VLOOKUP('Données projet'!$B$12,Paramètres!$A$1:$I$89,3,0)*0.475*44/12</f>
        <v>1.7264124903551177</v>
      </c>
      <c r="CM191" s="21">
        <f>EXP(-LN(2)/2)*CM190+(1-EXP(-LN(2)/2))/(LN(2)/2)*CG191*CJ191*VLOOKUP('Données projet'!$B$12,Paramètres!$A$1:$I$89,3,0)*0.475*44/12</f>
        <v>9.7428255165898066E-16</v>
      </c>
      <c r="CN191" s="22">
        <f t="shared" si="172"/>
        <v>42.248894729693269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319.88925869887464</v>
      </c>
      <c r="CZ191" s="59">
        <f t="shared" si="150"/>
        <v>258.2857172412098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19.373908915545037</v>
      </c>
      <c r="DG191" s="21">
        <f>EXP(-LN(2)/25)*DG190+(1-EXP(-LN(2)/25))/(LN(2)/25)*Calculateur!DB191*Calculateur!DD191*VLOOKUP('Données projet'!$B$13,Paramètres!$A$1:$I$89,3,0)*0.475*44/12</f>
        <v>2.3925444959235147</v>
      </c>
      <c r="DH191" s="21">
        <f>EXP(-LN(2)/2)*DH190+(1-EXP(-LN(2)/2))/(LN(2)/2)*DB191*DE191*VLOOKUP('Données projet'!$B$13,Paramètres!$A$1:$I$89,3,0)*0.475*44/12</f>
        <v>2.3394538536709219E-15</v>
      </c>
      <c r="DI191" s="22">
        <f t="shared" si="175"/>
        <v>21.766453411468557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-5.6843418860808015E-13</v>
      </c>
      <c r="DP191" s="17">
        <f>DO191*VLOOKUP('Données projet'!$B$14,Paramètres!$A$1:$I$89,3,0)*VLOOKUP('Données projet'!$B$14,Paramètres!$A$1:$I$89,5,0)</f>
        <v>-3.39923644787632E-13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443.64905827069435</v>
      </c>
      <c r="DU191" s="59">
        <f t="shared" si="152"/>
        <v>381.14782516862385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25.259540408863952</v>
      </c>
      <c r="EB191" s="21">
        <f>EXP(-LN(2)/25)*EB190+(1-EXP(-LN(2)/25))/(LN(2)/25)*Calculateur!DW191*Calculateur!DY191*VLOOKUP('Données projet'!$B$14,Paramètres!$A$1:$I$89,3,0)*0.475*44/12</f>
        <v>2.0860812287005071</v>
      </c>
      <c r="EC191" s="21">
        <f>EXP(-LN(2)/2)*EC190+(1-EXP(-LN(2)/2))/(LN(2)/2)*DW191*DZ191*VLOOKUP('Données projet'!$B$14,Paramètres!$A$1:$I$89,3,0)*0.475*44/12</f>
        <v>5.7265734444655255E-16</v>
      </c>
      <c r="ED191" s="22">
        <f t="shared" si="178"/>
        <v>27.345621637564459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-3.4106051316484809E-13</v>
      </c>
      <c r="EK191" s="17">
        <f>EJ191*VLOOKUP('Données projet'!$B$15,Paramètres!$A$1:$I$89,3,0)*VLOOKUP('Données projet'!$B$15,Paramètres!$A$1:$I$89,5,0)</f>
        <v>-3.0859155231155454E-13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504.37890861635196</v>
      </c>
      <c r="EP191" s="59">
        <f t="shared" si="154"/>
        <v>611.82129317522913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5.5431131875814916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5.5431131875814916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-1.1368683772161603E-13</v>
      </c>
      <c r="FF191" s="17">
        <f>FE191*VLOOKUP('Données projet'!$B$16,Paramètres!$A$1:$I$89,3,0)*VLOOKUP('Données projet'!$B$16,Paramètres!$A$1:$I$89,5,0)</f>
        <v>-1.223725121235475E-13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334.01098870576732</v>
      </c>
      <c r="FK191" s="59">
        <f t="shared" si="156"/>
        <v>171.1802153303471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31.347923545370143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31.347923545370143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-1.7053025658242404E-13</v>
      </c>
      <c r="GA191" s="17">
        <f>FZ191*VLOOKUP('Données projet'!$B$17,Paramètres!$A$1:$I$89,3,0)*VLOOKUP('Données projet'!$B$17,Paramètres!$A$1:$I$89,5,0)</f>
        <v>-1.4897523215040567E-13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330.12856974146598</v>
      </c>
      <c r="GF191" s="59">
        <f t="shared" si="158"/>
        <v>321.23368446552286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13.796801976469553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13.796801976469553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69.795103828320819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-1.7053025658242404E-13</v>
      </c>
      <c r="GV191" s="17">
        <f>GU191*VLOOKUP('Données projet'!$B$18,Paramètres!$A$1:$I$89,3,0)*VLOOKUP('Données projet'!$B$18,Paramètres!$A$1:$I$89,5,0)</f>
        <v>-1.1439169611549005E-13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296.67751292332753</v>
      </c>
      <c r="HA191" s="59">
        <f t="shared" si="160"/>
        <v>197.99510031603018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33.154706966228311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33.154706966228311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1.1000000000000001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4.0333333333333341</v>
      </c>
      <c r="H192" s="67">
        <f t="shared" si="110"/>
        <v>240.5333333333333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-1.5429577615577727E-13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461.20962581398715</v>
      </c>
      <c r="T192" s="59">
        <f t="shared" si="142"/>
        <v>348.44322874953923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46.538534723815296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46.538534723815296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-1.72917680174578E-13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510.86584023875525</v>
      </c>
      <c r="AO192" s="59">
        <f t="shared" si="144"/>
        <v>384.62921487244125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52.155254431861977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52.155254431861977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4.1677594708744434E-14</v>
      </c>
      <c r="BF192" s="13">
        <f t="shared" si="167"/>
        <v>6.9326303456159188E-13</v>
      </c>
      <c r="BG192" s="20">
        <f t="shared" si="168"/>
        <v>1.2800215959791691E-12</v>
      </c>
      <c r="BH192" s="59">
        <f t="shared" si="116"/>
        <v>292.59508050234217</v>
      </c>
      <c r="BI192" s="59">
        <f ca="1">AVERAGE(OFFSET($BH$3,0,0,'Données projet'!$E$11+1,1))-AVERAGE(OFFSET($H$3,0,0,'Données projet'!$E$11+1,1))</f>
        <v>201.7253431547006</v>
      </c>
      <c r="BJ192" s="59">
        <f t="shared" si="146"/>
        <v>229.70004720044096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3.7501191950705972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3.7501191950705972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-1.2710188457276673E-13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462.09240749760784</v>
      </c>
      <c r="CE192" s="59">
        <f t="shared" si="148"/>
        <v>403.52202223463337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39.727861078898371</v>
      </c>
      <c r="CL192" s="21">
        <f>EXP(-LN(2)/25)*CL191+(1-EXP(-LN(2)/25))/(LN(2)/25)*Calculateur!CG192*Calculateur!CI192*VLOOKUP('Données projet'!$B$12,Paramètres!$A$1:$I$89,3,0)*0.475*44/12</f>
        <v>1.6792036500182699</v>
      </c>
      <c r="CM192" s="21">
        <f>EXP(-LN(2)/2)*CM191+(1-EXP(-LN(2)/2))/(LN(2)/2)*CG192*CJ192*VLOOKUP('Données projet'!$B$12,Paramètres!$A$1:$I$89,3,0)*0.475*44/12</f>
        <v>6.8892179906979803E-16</v>
      </c>
      <c r="CN192" s="22">
        <f t="shared" si="172"/>
        <v>41.407064728916644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319.88925869887464</v>
      </c>
      <c r="CZ192" s="59">
        <f t="shared" si="150"/>
        <v>258.2857172412098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18.993998378628813</v>
      </c>
      <c r="DG192" s="21">
        <f>EXP(-LN(2)/25)*DG191+(1-EXP(-LN(2)/25))/(LN(2)/25)*Calculateur!DB192*Calculateur!DD192*VLOOKUP('Données projet'!$B$13,Paramètres!$A$1:$I$89,3,0)*0.475*44/12</f>
        <v>2.3271202408640392</v>
      </c>
      <c r="DH192" s="21">
        <f>EXP(-LN(2)/2)*DH191+(1-EXP(-LN(2)/2))/(LN(2)/2)*DB192*DE192*VLOOKUP('Données projet'!$B$13,Paramètres!$A$1:$I$89,3,0)*0.475*44/12</f>
        <v>1.65424368420371E-15</v>
      </c>
      <c r="DI192" s="22">
        <f t="shared" si="175"/>
        <v>21.321118619492854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-5.6843418860808015E-13</v>
      </c>
      <c r="DP192" s="17">
        <f>DO192*VLOOKUP('Données projet'!$B$14,Paramètres!$A$1:$I$89,3,0)*VLOOKUP('Données projet'!$B$14,Paramètres!$A$1:$I$89,5,0)</f>
        <v>-3.39923644787632E-13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443.64905827069435</v>
      </c>
      <c r="DU192" s="59">
        <f t="shared" si="152"/>
        <v>381.14782516862385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24.764216228244486</v>
      </c>
      <c r="EB192" s="21">
        <f>EXP(-LN(2)/25)*EB191+(1-EXP(-LN(2)/25))/(LN(2)/25)*Calculateur!DW192*Calculateur!DY192*VLOOKUP('Données projet'!$B$14,Paramètres!$A$1:$I$89,3,0)*0.475*44/12</f>
        <v>2.0290372277994475</v>
      </c>
      <c r="EC192" s="21">
        <f>EXP(-LN(2)/2)*EC191+(1-EXP(-LN(2)/2))/(LN(2)/2)*DW192*DZ192*VLOOKUP('Données projet'!$B$14,Paramètres!$A$1:$I$89,3,0)*0.475*44/12</f>
        <v>4.0492989155443782E-16</v>
      </c>
      <c r="ED192" s="22">
        <f t="shared" si="178"/>
        <v>26.793253456043935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-3.4106051316484809E-13</v>
      </c>
      <c r="EK192" s="17">
        <f>EJ192*VLOOKUP('Données projet'!$B$15,Paramètres!$A$1:$I$89,3,0)*VLOOKUP('Données projet'!$B$15,Paramètres!$A$1:$I$89,5,0)</f>
        <v>-3.0859155231155454E-13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504.37890861635196</v>
      </c>
      <c r="EP192" s="59">
        <f t="shared" si="154"/>
        <v>611.82129317522913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5.4344161189382207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5.4344161189382207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-1.1368683772161603E-13</v>
      </c>
      <c r="FF192" s="17">
        <f>FE192*VLOOKUP('Données projet'!$B$16,Paramètres!$A$1:$I$89,3,0)*VLOOKUP('Données projet'!$B$16,Paramètres!$A$1:$I$89,5,0)</f>
        <v>-1.223725121235475E-13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334.01098870576732</v>
      </c>
      <c r="FK192" s="59">
        <f t="shared" si="156"/>
        <v>171.1802153303471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30.733209884990821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30.733209884990821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-1.7053025658242404E-13</v>
      </c>
      <c r="GA192" s="17">
        <f>FZ192*VLOOKUP('Données projet'!$B$17,Paramètres!$A$1:$I$89,3,0)*VLOOKUP('Données projet'!$B$17,Paramètres!$A$1:$I$89,5,0)</f>
        <v>-1.4897523215040567E-13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330.12856974146598</v>
      </c>
      <c r="GF192" s="59">
        <f t="shared" si="158"/>
        <v>321.23368446552286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13.526255104929257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13.526255104929257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69.79865831882023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-1.7053025658242404E-13</v>
      </c>
      <c r="GV192" s="17">
        <f>GU192*VLOOKUP('Données projet'!$B$18,Paramètres!$A$1:$I$89,3,0)*VLOOKUP('Données projet'!$B$18,Paramètres!$A$1:$I$89,5,0)</f>
        <v>-1.1439169611549005E-13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296.67751292332753</v>
      </c>
      <c r="HA192" s="59">
        <f t="shared" si="160"/>
        <v>197.99510031603018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32.504563384995031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32.504563384995031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1.1000000000000001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4.0333333333333341</v>
      </c>
      <c r="H193" s="67">
        <f t="shared" si="110"/>
        <v>240.5333333333333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-1.5429577615577727E-13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461.20962581398715</v>
      </c>
      <c r="T193" s="59">
        <f t="shared" si="142"/>
        <v>348.44322874953923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45.625942443584606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45.625942443584606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-1.72917680174578E-13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510.86584023875525</v>
      </c>
      <c r="AO193" s="59">
        <f t="shared" si="144"/>
        <v>384.62921487244125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51.132521704017236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51.132521704017236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4.1677594708744434E-14</v>
      </c>
      <c r="BF193" s="13">
        <f t="shared" si="167"/>
        <v>6.9326303456159188E-13</v>
      </c>
      <c r="BG193" s="20">
        <f t="shared" si="168"/>
        <v>1.2800215959791691E-12</v>
      </c>
      <c r="BH193" s="59">
        <f t="shared" si="116"/>
        <v>292.60788753847379</v>
      </c>
      <c r="BI193" s="59">
        <f ca="1">AVERAGE(OFFSET($BH$3,0,0,'Données projet'!$E$11+1,1))-AVERAGE(OFFSET($H$3,0,0,'Données projet'!$E$11+1,1))</f>
        <v>201.7253431547006</v>
      </c>
      <c r="BJ193" s="59">
        <f t="shared" si="146"/>
        <v>229.70004720044096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3.6765816450021149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3.6765816450021149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-1.2710188457276673E-13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462.09240749760784</v>
      </c>
      <c r="CE193" s="59">
        <f t="shared" si="148"/>
        <v>403.52202223463337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38.948821954743764</v>
      </c>
      <c r="CL193" s="21">
        <f>EXP(-LN(2)/25)*CL192+(1-EXP(-LN(2)/25))/(LN(2)/25)*Calculateur!CG193*Calculateur!CI193*VLOOKUP('Données projet'!$B$12,Paramètres!$A$1:$I$89,3,0)*0.475*44/12</f>
        <v>1.6332857379030381</v>
      </c>
      <c r="CM193" s="21">
        <f>EXP(-LN(2)/2)*CM192+(1-EXP(-LN(2)/2))/(LN(2)/2)*CG193*CJ193*VLOOKUP('Données projet'!$B$12,Paramètres!$A$1:$I$89,3,0)*0.475*44/12</f>
        <v>4.8714127582949033E-16</v>
      </c>
      <c r="CN193" s="22">
        <f t="shared" si="172"/>
        <v>40.582107692646801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319.88925869887464</v>
      </c>
      <c r="CZ193" s="59">
        <f t="shared" si="150"/>
        <v>258.2857172412098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18.621537655618969</v>
      </c>
      <c r="DG193" s="21">
        <f>EXP(-LN(2)/25)*DG192+(1-EXP(-LN(2)/25))/(LN(2)/25)*Calculateur!DB193*Calculateur!DD193*VLOOKUP('Données projet'!$B$13,Paramètres!$A$1:$I$89,3,0)*0.475*44/12</f>
        <v>2.2634850154996773</v>
      </c>
      <c r="DH193" s="21">
        <f>EXP(-LN(2)/2)*DH192+(1-EXP(-LN(2)/2))/(LN(2)/2)*DB193*DE193*VLOOKUP('Données projet'!$B$13,Paramètres!$A$1:$I$89,3,0)*0.475*44/12</f>
        <v>1.1697269268354609E-15</v>
      </c>
      <c r="DI193" s="22">
        <f t="shared" si="175"/>
        <v>20.885022671118648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-5.6843418860808015E-13</v>
      </c>
      <c r="DP193" s="17">
        <f>DO193*VLOOKUP('Données projet'!$B$14,Paramètres!$A$1:$I$89,3,0)*VLOOKUP('Données projet'!$B$14,Paramètres!$A$1:$I$89,5,0)</f>
        <v>-3.39923644787632E-13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443.64905827069435</v>
      </c>
      <c r="DU193" s="59">
        <f t="shared" si="152"/>
        <v>381.14782516862385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24.278605052689048</v>
      </c>
      <c r="EB193" s="21">
        <f>EXP(-LN(2)/25)*EB192+(1-EXP(-LN(2)/25))/(LN(2)/25)*Calculateur!DW193*Calculateur!DY193*VLOOKUP('Données projet'!$B$14,Paramètres!$A$1:$I$89,3,0)*0.475*44/12</f>
        <v>1.9735530981028413</v>
      </c>
      <c r="EC193" s="21">
        <f>EXP(-LN(2)/2)*EC192+(1-EXP(-LN(2)/2))/(LN(2)/2)*DW193*DZ193*VLOOKUP('Données projet'!$B$14,Paramètres!$A$1:$I$89,3,0)*0.475*44/12</f>
        <v>2.8632867222327627E-16</v>
      </c>
      <c r="ED193" s="22">
        <f t="shared" si="178"/>
        <v>26.252158150791889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-3.4106051316484809E-13</v>
      </c>
      <c r="EK193" s="17">
        <f>EJ193*VLOOKUP('Données projet'!$B$15,Paramètres!$A$1:$I$89,3,0)*VLOOKUP('Données projet'!$B$15,Paramètres!$A$1:$I$89,5,0)</f>
        <v>-3.0859155231155454E-13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504.37890861635196</v>
      </c>
      <c r="EP193" s="59">
        <f t="shared" si="154"/>
        <v>611.82129317522913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5.3278505335123789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5.3278505335123789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-1.1368683772161603E-13</v>
      </c>
      <c r="FF193" s="17">
        <f>FE193*VLOOKUP('Données projet'!$B$16,Paramètres!$A$1:$I$89,3,0)*VLOOKUP('Données projet'!$B$16,Paramètres!$A$1:$I$89,5,0)</f>
        <v>-1.223725121235475E-13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334.01098870576732</v>
      </c>
      <c r="FK193" s="59">
        <f t="shared" si="156"/>
        <v>171.1802153303471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30.130550384553224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30.130550384553224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-1.7053025658242404E-13</v>
      </c>
      <c r="GA193" s="17">
        <f>FZ193*VLOOKUP('Données projet'!$B$17,Paramètres!$A$1:$I$89,3,0)*VLOOKUP('Données projet'!$B$17,Paramètres!$A$1:$I$89,5,0)</f>
        <v>-1.4897523215040567E-13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330.12856974146598</v>
      </c>
      <c r="GF193" s="59">
        <f t="shared" si="158"/>
        <v>321.23368446552286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13.261013492522569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13.261013492522569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69.802151146856133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-1.7053025658242404E-13</v>
      </c>
      <c r="GV193" s="17">
        <f>GU193*VLOOKUP('Données projet'!$B$18,Paramètres!$A$1:$I$89,3,0)*VLOOKUP('Données projet'!$B$18,Paramètres!$A$1:$I$89,5,0)</f>
        <v>-1.1439169611549005E-13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296.67751292332753</v>
      </c>
      <c r="HA193" s="59">
        <f t="shared" si="160"/>
        <v>197.99510031603018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31.867168722841306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31.867168722841306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1.1000000000000001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4.0333333333333341</v>
      </c>
      <c r="H194" s="67">
        <f t="shared" si="110"/>
        <v>240.5333333333333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-1.5429577615577727E-13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461.20962581398715</v>
      </c>
      <c r="T194" s="59">
        <f t="shared" si="142"/>
        <v>348.44322874953923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44.731245541342908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44.731245541342908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-1.72917680174578E-13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510.86584023875525</v>
      </c>
      <c r="AO194" s="59">
        <f t="shared" si="144"/>
        <v>384.62921487244125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50.129844141160163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50.129844141160163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4.1677594708744434E-14</v>
      </c>
      <c r="BF194" s="13">
        <f t="shared" si="167"/>
        <v>6.9326303456159188E-13</v>
      </c>
      <c r="BG194" s="20">
        <f t="shared" si="168"/>
        <v>1.2800215959791691E-12</v>
      </c>
      <c r="BH194" s="59">
        <f t="shared" si="116"/>
        <v>292.62047240116084</v>
      </c>
      <c r="BI194" s="59">
        <f ca="1">AVERAGE(OFFSET($BH$3,0,0,'Données projet'!$E$11+1,1))-AVERAGE(OFFSET($H$3,0,0,'Données projet'!$E$11+1,1))</f>
        <v>201.7253431547006</v>
      </c>
      <c r="BJ194" s="59">
        <f t="shared" si="146"/>
        <v>229.70004720044096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3.6044861214369992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3.6044861214369992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-1.2710188457276673E-13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462.09240749760784</v>
      </c>
      <c r="CE194" s="59">
        <f t="shared" si="148"/>
        <v>403.52202223463337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38.185059312646878</v>
      </c>
      <c r="CL194" s="21">
        <f>EXP(-LN(2)/25)*CL193+(1-EXP(-LN(2)/25))/(LN(2)/25)*Calculateur!CG194*Calculateur!CI194*VLOOKUP('Données projet'!$B$12,Paramètres!$A$1:$I$89,3,0)*0.475*44/12</f>
        <v>1.5886234535093156</v>
      </c>
      <c r="CM194" s="21">
        <f>EXP(-LN(2)/2)*CM193+(1-EXP(-LN(2)/2))/(LN(2)/2)*CG194*CJ194*VLOOKUP('Données projet'!$B$12,Paramètres!$A$1:$I$89,3,0)*0.475*44/12</f>
        <v>3.4446089953489902E-16</v>
      </c>
      <c r="CN194" s="22">
        <f t="shared" si="172"/>
        <v>39.773682766156192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319.88925869887464</v>
      </c>
      <c r="CZ194" s="59">
        <f t="shared" si="150"/>
        <v>258.2857172412098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18.256380660208741</v>
      </c>
      <c r="DG194" s="21">
        <f>EXP(-LN(2)/25)*DG193+(1-EXP(-LN(2)/25))/(LN(2)/25)*Calculateur!DB194*Calculateur!DD194*VLOOKUP('Données projet'!$B$13,Paramètres!$A$1:$I$89,3,0)*0.475*44/12</f>
        <v>2.2015898987193347</v>
      </c>
      <c r="DH194" s="21">
        <f>EXP(-LN(2)/2)*DH193+(1-EXP(-LN(2)/2))/(LN(2)/2)*DB194*DE194*VLOOKUP('Données projet'!$B$13,Paramètres!$A$1:$I$89,3,0)*0.475*44/12</f>
        <v>8.2712184210185498E-16</v>
      </c>
      <c r="DI194" s="22">
        <f t="shared" si="175"/>
        <v>20.457970558928075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-5.6843418860808015E-13</v>
      </c>
      <c r="DP194" s="17">
        <f>DO194*VLOOKUP('Données projet'!$B$14,Paramètres!$A$1:$I$89,3,0)*VLOOKUP('Données projet'!$B$14,Paramètres!$A$1:$I$89,5,0)</f>
        <v>-3.39923644787632E-13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443.64905827069435</v>
      </c>
      <c r="DU194" s="59">
        <f t="shared" si="152"/>
        <v>381.14782516862385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23.802516416092683</v>
      </c>
      <c r="EB194" s="21">
        <f>EXP(-LN(2)/25)*EB193+(1-EXP(-LN(2)/25))/(LN(2)/25)*Calculateur!DW194*Calculateur!DY194*VLOOKUP('Données projet'!$B$14,Paramètres!$A$1:$I$89,3,0)*0.475*44/12</f>
        <v>1.9195861848505722</v>
      </c>
      <c r="EC194" s="21">
        <f>EXP(-LN(2)/2)*EC193+(1-EXP(-LN(2)/2))/(LN(2)/2)*DW194*DZ194*VLOOKUP('Données projet'!$B$14,Paramètres!$A$1:$I$89,3,0)*0.475*44/12</f>
        <v>2.0246494577721891E-16</v>
      </c>
      <c r="ED194" s="22">
        <f t="shared" si="178"/>
        <v>25.722102600943256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-3.4106051316484809E-13</v>
      </c>
      <c r="EK194" s="17">
        <f>EJ194*VLOOKUP('Données projet'!$B$15,Paramètres!$A$1:$I$89,3,0)*VLOOKUP('Données projet'!$B$15,Paramètres!$A$1:$I$89,5,0)</f>
        <v>-3.0859155231155454E-13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504.37890861635196</v>
      </c>
      <c r="EP194" s="59">
        <f t="shared" si="154"/>
        <v>611.82129317522913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5.2233746342181488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5.2233746342181488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-1.1368683772161603E-13</v>
      </c>
      <c r="FF194" s="17">
        <f>FE194*VLOOKUP('Données projet'!$B$16,Paramètres!$A$1:$I$89,3,0)*VLOOKUP('Données projet'!$B$16,Paramètres!$A$1:$I$89,5,0)</f>
        <v>-1.223725121235475E-13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334.01098870576732</v>
      </c>
      <c r="FK194" s="59">
        <f t="shared" si="156"/>
        <v>171.1802153303471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29.539708669333212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29.539708669333212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-1.7053025658242404E-13</v>
      </c>
      <c r="GA194" s="17">
        <f>FZ194*VLOOKUP('Données projet'!$B$17,Paramètres!$A$1:$I$89,3,0)*VLOOKUP('Données projet'!$B$17,Paramètres!$A$1:$I$89,5,0)</f>
        <v>-1.4897523215040567E-13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330.12856974146598</v>
      </c>
      <c r="GF194" s="59">
        <f t="shared" si="158"/>
        <v>321.23368446552286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13.000973106353767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13.000973106353767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69.805583382134415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-1.7053025658242404E-13</v>
      </c>
      <c r="GV194" s="17">
        <f>GU194*VLOOKUP('Données projet'!$B$18,Paramètres!$A$1:$I$89,3,0)*VLOOKUP('Données projet'!$B$18,Paramètres!$A$1:$I$89,5,0)</f>
        <v>-1.1439169611549005E-13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296.67751292332753</v>
      </c>
      <c r="HA194" s="59">
        <f t="shared" si="160"/>
        <v>197.99510031603018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31.24227298124006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31.24227298124006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1.1000000000000001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4.0333333333333341</v>
      </c>
      <c r="H195" s="67">
        <f t="shared" si="110"/>
        <v>240.5333333333333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-1.5429577615577727E-13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461.20962581398715</v>
      </c>
      <c r="T195" s="59">
        <f t="shared" si="142"/>
        <v>348.44322874953923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43.854093099642945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43.854093099642945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-1.72917680174578E-13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510.86584023875525</v>
      </c>
      <c r="AO195" s="59">
        <f t="shared" si="144"/>
        <v>384.62921487244125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49.146828473737791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49.146828473737791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4.1677594708744434E-14</v>
      </c>
      <c r="BF195" s="13">
        <f t="shared" si="167"/>
        <v>6.9326303456159188E-13</v>
      </c>
      <c r="BG195" s="20">
        <f t="shared" si="168"/>
        <v>1.2800215959791691E-12</v>
      </c>
      <c r="BH195" s="59">
        <f t="shared" si="116"/>
        <v>292.63283894461574</v>
      </c>
      <c r="BI195" s="59">
        <f ca="1">AVERAGE(OFFSET($BH$3,0,0,'Données projet'!$E$11+1,1))-AVERAGE(OFFSET($H$3,0,0,'Données projet'!$E$11+1,1))</f>
        <v>201.7253431547006</v>
      </c>
      <c r="BJ195" s="59">
        <f t="shared" si="146"/>
        <v>229.70004720044096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3.5338043471150677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3.5338043471150677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-1.2710188457276673E-13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462.09240749760784</v>
      </c>
      <c r="CE195" s="59">
        <f t="shared" si="148"/>
        <v>403.52202223463337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37.4362735901123</v>
      </c>
      <c r="CL195" s="21">
        <f>EXP(-LN(2)/25)*CL194+(1-EXP(-LN(2)/25))/(LN(2)/25)*Calculateur!CG195*Calculateur!CI195*VLOOKUP('Données projet'!$B$12,Paramètres!$A$1:$I$89,3,0)*0.475*44/12</f>
        <v>1.5451824616310268</v>
      </c>
      <c r="CM195" s="21">
        <f>EXP(-LN(2)/2)*CM194+(1-EXP(-LN(2)/2))/(LN(2)/2)*CG195*CJ195*VLOOKUP('Données projet'!$B$12,Paramètres!$A$1:$I$89,3,0)*0.475*44/12</f>
        <v>2.4357063791474516E-16</v>
      </c>
      <c r="CN195" s="22">
        <f t="shared" si="172"/>
        <v>38.981456051743329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319.88925869887464</v>
      </c>
      <c r="CZ195" s="59">
        <f t="shared" si="150"/>
        <v>258.2857172412098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17.898384170754731</v>
      </c>
      <c r="DG195" s="21">
        <f>EXP(-LN(2)/25)*DG194+(1-EXP(-LN(2)/25))/(LN(2)/25)*Calculateur!DB195*Calculateur!DD195*VLOOKUP('Données projet'!$B$13,Paramètres!$A$1:$I$89,3,0)*0.475*44/12</f>
        <v>2.1413873071622738</v>
      </c>
      <c r="DH195" s="21">
        <f>EXP(-LN(2)/2)*DH194+(1-EXP(-LN(2)/2))/(LN(2)/2)*DB195*DE195*VLOOKUP('Données projet'!$B$13,Paramètres!$A$1:$I$89,3,0)*0.475*44/12</f>
        <v>5.8486346341773047E-16</v>
      </c>
      <c r="DI195" s="22">
        <f t="shared" si="175"/>
        <v>20.039771477917004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-5.6843418860808015E-13</v>
      </c>
      <c r="DP195" s="17">
        <f>DO195*VLOOKUP('Données projet'!$B$14,Paramètres!$A$1:$I$89,3,0)*VLOOKUP('Données projet'!$B$14,Paramètres!$A$1:$I$89,5,0)</f>
        <v>-3.39923644787632E-13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443.64905827069435</v>
      </c>
      <c r="DU195" s="59">
        <f t="shared" si="152"/>
        <v>381.14782516862385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23.335763587274574</v>
      </c>
      <c r="EB195" s="21">
        <f>EXP(-LN(2)/25)*EB194+(1-EXP(-LN(2)/25))/(LN(2)/25)*Calculateur!DW195*Calculateur!DY195*VLOOKUP('Données projet'!$B$14,Paramètres!$A$1:$I$89,3,0)*0.475*44/12</f>
        <v>1.867094999679183</v>
      </c>
      <c r="EC195" s="21">
        <f>EXP(-LN(2)/2)*EC194+(1-EXP(-LN(2)/2))/(LN(2)/2)*DW195*DZ195*VLOOKUP('Données projet'!$B$14,Paramètres!$A$1:$I$89,3,0)*0.475*44/12</f>
        <v>1.4316433611163814E-16</v>
      </c>
      <c r="ED195" s="22">
        <f t="shared" si="178"/>
        <v>25.202858586953756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-3.4106051316484809E-13</v>
      </c>
      <c r="EK195" s="17">
        <f>EJ195*VLOOKUP('Données projet'!$B$15,Paramètres!$A$1:$I$89,3,0)*VLOOKUP('Données projet'!$B$15,Paramètres!$A$1:$I$89,5,0)</f>
        <v>-3.0859155231155454E-13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504.37890861635196</v>
      </c>
      <c r="EP195" s="59">
        <f t="shared" si="154"/>
        <v>611.82129317522913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5.1209474435850719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5.1209474435850719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-1.1368683772161603E-13</v>
      </c>
      <c r="FF195" s="17">
        <f>FE195*VLOOKUP('Données projet'!$B$16,Paramètres!$A$1:$I$89,3,0)*VLOOKUP('Données projet'!$B$16,Paramètres!$A$1:$I$89,5,0)</f>
        <v>-1.223725121235475E-13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334.01098870576732</v>
      </c>
      <c r="FK195" s="59">
        <f t="shared" si="156"/>
        <v>171.1802153303471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28.960452999770801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28.960452999770801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-1.7053025658242404E-13</v>
      </c>
      <c r="GA195" s="17">
        <f>FZ195*VLOOKUP('Données projet'!$B$17,Paramètres!$A$1:$I$89,3,0)*VLOOKUP('Données projet'!$B$17,Paramètres!$A$1:$I$89,5,0)</f>
        <v>-1.4897523215040567E-13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330.12856974146598</v>
      </c>
      <c r="GF195" s="59">
        <f t="shared" si="158"/>
        <v>321.23368446552286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12.74603195354876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12.74603195354876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69.808956075803934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-1.7053025658242404E-13</v>
      </c>
      <c r="GV195" s="17">
        <f>GU195*VLOOKUP('Données projet'!$B$18,Paramètres!$A$1:$I$89,3,0)*VLOOKUP('Données projet'!$B$18,Paramètres!$A$1:$I$89,5,0)</f>
        <v>-1.1439169611549005E-13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296.67751292332753</v>
      </c>
      <c r="HA195" s="59">
        <f t="shared" si="160"/>
        <v>197.99510031603018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30.629631063982846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30.629631063982846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1.1000000000000001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4.0333333333333341</v>
      </c>
      <c r="H196" s="67">
        <f t="shared" ref="H196:H203" si="192">(B196+E196+F196)*44/12+(C196+D196)*0.475*44/12</f>
        <v>240.5333333333333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-1.5429577615577727E-13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461.20962581398715</v>
      </c>
      <c r="T196" s="59">
        <f t="shared" si="142"/>
        <v>348.44322874953923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42.994141082314556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42.994141082314556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-1.72917680174578E-13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510.86584023875525</v>
      </c>
      <c r="AO196" s="59">
        <f t="shared" si="144"/>
        <v>384.62921487244125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48.18308914397322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48.18308914397322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4.1677594708744434E-14</v>
      </c>
      <c r="BF196" s="13">
        <f t="shared" si="167"/>
        <v>6.9326303456159188E-13</v>
      </c>
      <c r="BG196" s="20">
        <f t="shared" si="168"/>
        <v>1.2800215959791691E-12</v>
      </c>
      <c r="BH196" s="59">
        <f t="shared" ref="BH196:BH203" si="194">BG196+(AY196+AZ196)*44/12</f>
        <v>292.64499095618919</v>
      </c>
      <c r="BI196" s="59">
        <f ca="1">AVERAGE(OFFSET($BH$3,0,0,'Données projet'!$E$11+1,1))-AVERAGE(OFFSET($H$3,0,0,'Données projet'!$E$11+1,1))</f>
        <v>201.7253431547006</v>
      </c>
      <c r="BJ196" s="59">
        <f t="shared" si="146"/>
        <v>229.70004720044096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3.4645085992759643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3.4645085992759643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-1.2710188457276673E-13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462.09240749760784</v>
      </c>
      <c r="CE196" s="59">
        <f t="shared" si="148"/>
        <v>403.52202223463337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36.702171098882431</v>
      </c>
      <c r="CL196" s="21">
        <f>EXP(-LN(2)/25)*CL195+(1-EXP(-LN(2)/25))/(LN(2)/25)*Calculateur!CG196*Calculateur!CI196*VLOOKUP('Données projet'!$B$12,Paramètres!$A$1:$I$89,3,0)*0.475*44/12</f>
        <v>1.5029293659601122</v>
      </c>
      <c r="CM196" s="21">
        <f>EXP(-LN(2)/2)*CM195+(1-EXP(-LN(2)/2))/(LN(2)/2)*CG196*CJ196*VLOOKUP('Données projet'!$B$12,Paramètres!$A$1:$I$89,3,0)*0.475*44/12</f>
        <v>1.7223044976744951E-16</v>
      </c>
      <c r="CN196" s="22">
        <f t="shared" si="172"/>
        <v>38.205100464842545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319.88925869887464</v>
      </c>
      <c r="CZ196" s="59">
        <f t="shared" si="150"/>
        <v>258.2857172412098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17.547407774102616</v>
      </c>
      <c r="DG196" s="21">
        <f>EXP(-LN(2)/25)*DG195+(1-EXP(-LN(2)/25))/(LN(2)/25)*Calculateur!DB196*Calculateur!DD196*VLOOKUP('Données projet'!$B$13,Paramètres!$A$1:$I$89,3,0)*0.475*44/12</f>
        <v>2.0828309586372571</v>
      </c>
      <c r="DH196" s="21">
        <f>EXP(-LN(2)/2)*DH195+(1-EXP(-LN(2)/2))/(LN(2)/2)*DB196*DE196*VLOOKUP('Données projet'!$B$13,Paramètres!$A$1:$I$89,3,0)*0.475*44/12</f>
        <v>4.1356092105092749E-16</v>
      </c>
      <c r="DI196" s="22">
        <f t="shared" si="175"/>
        <v>19.630238732739873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-5.6843418860808015E-13</v>
      </c>
      <c r="DP196" s="17">
        <f>DO196*VLOOKUP('Données projet'!$B$14,Paramètres!$A$1:$I$89,3,0)*VLOOKUP('Données projet'!$B$14,Paramètres!$A$1:$I$89,5,0)</f>
        <v>-3.39923644787632E-13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443.64905827069435</v>
      </c>
      <c r="DU196" s="59">
        <f t="shared" si="152"/>
        <v>381.14782516862385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22.878163496738477</v>
      </c>
      <c r="EB196" s="21">
        <f>EXP(-LN(2)/25)*EB195+(1-EXP(-LN(2)/25))/(LN(2)/25)*Calculateur!DW196*Calculateur!DY196*VLOOKUP('Données projet'!$B$14,Paramètres!$A$1:$I$89,3,0)*0.475*44/12</f>
        <v>1.8160391887266971</v>
      </c>
      <c r="EC196" s="21">
        <f>EXP(-LN(2)/2)*EC195+(1-EXP(-LN(2)/2))/(LN(2)/2)*DW196*DZ196*VLOOKUP('Données projet'!$B$14,Paramètres!$A$1:$I$89,3,0)*0.475*44/12</f>
        <v>1.0123247288860945E-16</v>
      </c>
      <c r="ED196" s="22">
        <f t="shared" si="178"/>
        <v>24.694202685465175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-3.4106051316484809E-13</v>
      </c>
      <c r="EK196" s="17">
        <f>EJ196*VLOOKUP('Données projet'!$B$15,Paramètres!$A$1:$I$89,3,0)*VLOOKUP('Données projet'!$B$15,Paramètres!$A$1:$I$89,5,0)</f>
        <v>-3.0859155231155454E-13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504.37890861635196</v>
      </c>
      <c r="EP196" s="59">
        <f t="shared" si="154"/>
        <v>611.82129317522913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5.0205287876858922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5.0205287876858922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-1.1368683772161603E-13</v>
      </c>
      <c r="FF196" s="17">
        <f>FE196*VLOOKUP('Données projet'!$B$16,Paramètres!$A$1:$I$89,3,0)*VLOOKUP('Données projet'!$B$16,Paramètres!$A$1:$I$89,5,0)</f>
        <v>-1.223725121235475E-13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334.01098870576732</v>
      </c>
      <c r="FK196" s="59">
        <f t="shared" si="156"/>
        <v>171.1802153303471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28.392556180577436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28.392556180577436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-1.7053025658242404E-13</v>
      </c>
      <c r="GA196" s="17">
        <f>FZ196*VLOOKUP('Données projet'!$B$17,Paramètres!$A$1:$I$89,3,0)*VLOOKUP('Données projet'!$B$17,Paramètres!$A$1:$I$89,5,0)</f>
        <v>-1.4897523215040567E-13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330.12856974146598</v>
      </c>
      <c r="GF196" s="59">
        <f t="shared" si="158"/>
        <v>321.23368446552286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12.496090041251511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12.496090041251511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69.812270260778519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-1.7053025658242404E-13</v>
      </c>
      <c r="GV196" s="17">
        <f>GU196*VLOOKUP('Données projet'!$B$18,Paramètres!$A$1:$I$89,3,0)*VLOOKUP('Données projet'!$B$18,Paramètres!$A$1:$I$89,5,0)</f>
        <v>-1.1439169611549005E-13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296.67751292332753</v>
      </c>
      <c r="HA196" s="59">
        <f t="shared" si="160"/>
        <v>197.99510031603018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30.029002681048375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30.029002681048375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1.1000000000000001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4.0333333333333341</v>
      </c>
      <c r="H197" s="67">
        <f t="shared" si="192"/>
        <v>240.5333333333333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-1.5429577615577727E-13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461.20962581398715</v>
      </c>
      <c r="T197" s="59">
        <f t="shared" ref="T197:T203" si="204">$T$3</f>
        <v>348.44322874953923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42.151052199527037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42.151052199527037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-1.72917680174578E-13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510.86584023875525</v>
      </c>
      <c r="AO197" s="59">
        <f t="shared" ref="AO197:AO203" si="205">$AO$3</f>
        <v>384.62921487244125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47.238248154642385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47.238248154642385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4.1677594708744434E-14</v>
      </c>
      <c r="BF197" s="13">
        <f t="shared" si="167"/>
        <v>6.9326303456159188E-13</v>
      </c>
      <c r="BG197" s="20">
        <f t="shared" si="168"/>
        <v>1.2800215959791691E-12</v>
      </c>
      <c r="BH197" s="59">
        <f t="shared" si="194"/>
        <v>292.6569321575297</v>
      </c>
      <c r="BI197" s="59">
        <f ca="1">AVERAGE(OFFSET($BH$3,0,0,'Données projet'!$E$11+1,1))-AVERAGE(OFFSET($H$3,0,0,'Données projet'!$E$11+1,1))</f>
        <v>201.7253431547006</v>
      </c>
      <c r="BJ197" s="59">
        <f t="shared" ref="BJ197:BJ203" si="206">$BJ$3</f>
        <v>229.70004720044096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3.396571698785753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3.396571698785753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-1.2710188457276673E-13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462.09240749760784</v>
      </c>
      <c r="CE197" s="59">
        <f t="shared" ref="CE197:CE203" si="207">$CE$3</f>
        <v>403.52202223463337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35.982463909747274</v>
      </c>
      <c r="CL197" s="21">
        <f>EXP(-LN(2)/25)*CL196+(1-EXP(-LN(2)/25))/(LN(2)/25)*Calculateur!CG197*Calculateur!CI197*VLOOKUP('Données projet'!$B$12,Paramètres!$A$1:$I$89,3,0)*0.475*44/12</f>
        <v>1.4618316834123126</v>
      </c>
      <c r="CM197" s="21">
        <f>EXP(-LN(2)/2)*CM196+(1-EXP(-LN(2)/2))/(LN(2)/2)*CG197*CJ197*VLOOKUP('Données projet'!$B$12,Paramètres!$A$1:$I$89,3,0)*0.475*44/12</f>
        <v>1.2178531895737258E-16</v>
      </c>
      <c r="CN197" s="22">
        <f t="shared" si="172"/>
        <v>37.444295593159588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319.88925869887464</v>
      </c>
      <c r="CZ197" s="59">
        <f t="shared" ref="CZ197:CZ203" si="208">$CZ$3</f>
        <v>258.2857172412098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17.203313810514388</v>
      </c>
      <c r="DG197" s="21">
        <f>EXP(-LN(2)/25)*DG196+(1-EXP(-LN(2)/25))/(LN(2)/25)*Calculateur!DB197*Calculateur!DD197*VLOOKUP('Données projet'!$B$13,Paramètres!$A$1:$I$89,3,0)*0.475*44/12</f>
        <v>2.0258758365420015</v>
      </c>
      <c r="DH197" s="21">
        <f>EXP(-LN(2)/2)*DH196+(1-EXP(-LN(2)/2))/(LN(2)/2)*DB197*DE197*VLOOKUP('Données projet'!$B$13,Paramètres!$A$1:$I$89,3,0)*0.475*44/12</f>
        <v>2.9243173170886524E-16</v>
      </c>
      <c r="DI197" s="22">
        <f t="shared" si="175"/>
        <v>19.229189647056391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-5.6843418860808015E-13</v>
      </c>
      <c r="DP197" s="17">
        <f>DO197*VLOOKUP('Données projet'!$B$14,Paramètres!$A$1:$I$89,3,0)*VLOOKUP('Données projet'!$B$14,Paramètres!$A$1:$I$89,5,0)</f>
        <v>-3.39923644787632E-13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443.64905827069435</v>
      </c>
      <c r="DU197" s="59">
        <f t="shared" ref="DU197:DU203" si="209">$DU$3</f>
        <v>381.14782516862385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22.429536664869296</v>
      </c>
      <c r="EB197" s="21">
        <f>EXP(-LN(2)/25)*EB196+(1-EXP(-LN(2)/25))/(LN(2)/25)*Calculateur!DW197*Calculateur!DY197*VLOOKUP('Données projet'!$B$14,Paramètres!$A$1:$I$89,3,0)*0.475*44/12</f>
        <v>1.7663795016096153</v>
      </c>
      <c r="EC197" s="21">
        <f>EXP(-LN(2)/2)*EC196+(1-EXP(-LN(2)/2))/(LN(2)/2)*DW197*DZ197*VLOOKUP('Données projet'!$B$14,Paramètres!$A$1:$I$89,3,0)*0.475*44/12</f>
        <v>7.1582168055819069E-17</v>
      </c>
      <c r="ED197" s="22">
        <f t="shared" si="178"/>
        <v>24.195916166478913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-3.4106051316484809E-13</v>
      </c>
      <c r="EK197" s="17">
        <f>EJ197*VLOOKUP('Données projet'!$B$15,Paramètres!$A$1:$I$89,3,0)*VLOOKUP('Données projet'!$B$15,Paramètres!$A$1:$I$89,5,0)</f>
        <v>-3.0859155231155454E-13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504.37890861635196</v>
      </c>
      <c r="EP197" s="59">
        <f t="shared" ref="EP197:EP203" si="210">$EP$3</f>
        <v>611.82129317522913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4.9220792803795632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4.9220792803795632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-1.1368683772161603E-13</v>
      </c>
      <c r="FF197" s="17">
        <f>FE197*VLOOKUP('Données projet'!$B$16,Paramètres!$A$1:$I$89,3,0)*VLOOKUP('Données projet'!$B$16,Paramètres!$A$1:$I$89,5,0)</f>
        <v>-1.223725121235475E-13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334.01098870576732</v>
      </c>
      <c r="FK197" s="59">
        <f t="shared" ref="FK197:FK203" si="211">$FK$3</f>
        <v>171.1802153303471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27.835795471625598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27.835795471625598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-1.7053025658242404E-13</v>
      </c>
      <c r="GA197" s="17">
        <f>FZ197*VLOOKUP('Données projet'!$B$17,Paramètres!$A$1:$I$89,3,0)*VLOOKUP('Données projet'!$B$17,Paramètres!$A$1:$I$89,5,0)</f>
        <v>-1.4897523215040567E-13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330.12856974146598</v>
      </c>
      <c r="GF197" s="59">
        <f t="shared" ref="GF197:GF203" si="212">$GF$3</f>
        <v>321.23368446552286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12.251049337404897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12.251049337404897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69.81552695205319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-1.7053025658242404E-13</v>
      </c>
      <c r="GV197" s="17">
        <f>GU197*VLOOKUP('Données projet'!$B$18,Paramètres!$A$1:$I$89,3,0)*VLOOKUP('Données projet'!$B$18,Paramètres!$A$1:$I$89,5,0)</f>
        <v>-1.1439169611549005E-13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296.67751292332753</v>
      </c>
      <c r="HA197" s="59">
        <f t="shared" ref="HA197:HA203" si="213">$HA$3</f>
        <v>197.99510031603018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29.440152254356107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29.440152254356107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1.1000000000000001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4.0333333333333341</v>
      </c>
      <c r="H198" s="67">
        <f t="shared" si="192"/>
        <v>240.5333333333333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-1.5429577615577727E-13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461.20962581398715</v>
      </c>
      <c r="T198" s="59">
        <f t="shared" si="204"/>
        <v>348.44322874953923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41.324495775497539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41.324495775497539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-1.72917680174578E-13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510.86584023875525</v>
      </c>
      <c r="AO198" s="59">
        <f t="shared" si="205"/>
        <v>384.62921487244125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46.311934920816228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46.311934920816228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4.1677594708744434E-14</v>
      </c>
      <c r="BF198" s="13">
        <f t="shared" si="167"/>
        <v>6.9326303456159188E-13</v>
      </c>
      <c r="BG198" s="20">
        <f t="shared" si="168"/>
        <v>1.2800215959791691E-12</v>
      </c>
      <c r="BH198" s="59">
        <f t="shared" si="194"/>
        <v>292.66866620572341</v>
      </c>
      <c r="BI198" s="59">
        <f ca="1">AVERAGE(OFFSET($BH$3,0,0,'Données projet'!$E$11+1,1))-AVERAGE(OFFSET($H$3,0,0,'Données projet'!$E$11+1,1))</f>
        <v>201.7253431547006</v>
      </c>
      <c r="BJ198" s="59">
        <f t="shared" si="206"/>
        <v>229.70004720044096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3.3299669994767367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3.3299669994767367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-1.2710188457276673E-13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462.09240749760784</v>
      </c>
      <c r="CE198" s="59">
        <f t="shared" si="207"/>
        <v>403.52202223463337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35.276869739613012</v>
      </c>
      <c r="CL198" s="21">
        <f>EXP(-LN(2)/25)*CL197+(1-EXP(-LN(2)/25))/(LN(2)/25)*Calculateur!CG198*Calculateur!CI198*VLOOKUP('Données projet'!$B$12,Paramètres!$A$1:$I$89,3,0)*0.475*44/12</f>
        <v>1.4218578191550157</v>
      </c>
      <c r="CM198" s="21">
        <f>EXP(-LN(2)/2)*CM197+(1-EXP(-LN(2)/2))/(LN(2)/2)*CG198*CJ198*VLOOKUP('Données projet'!$B$12,Paramètres!$A$1:$I$89,3,0)*0.475*44/12</f>
        <v>8.6115224883724754E-17</v>
      </c>
      <c r="CN198" s="22">
        <f t="shared" si="172"/>
        <v>36.698727558768027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319.88925869887464</v>
      </c>
      <c r="CZ198" s="59">
        <f t="shared" si="208"/>
        <v>258.2857172412098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16.86596731967553</v>
      </c>
      <c r="DG198" s="21">
        <f>EXP(-LN(2)/25)*DG197+(1-EXP(-LN(2)/25))/(LN(2)/25)*Calculateur!DB198*Calculateur!DD198*VLOOKUP('Données projet'!$B$13,Paramètres!$A$1:$I$89,3,0)*0.475*44/12</f>
        <v>1.9704781552555806</v>
      </c>
      <c r="DH198" s="21">
        <f>EXP(-LN(2)/2)*DH197+(1-EXP(-LN(2)/2))/(LN(2)/2)*DB198*DE198*VLOOKUP('Données projet'!$B$13,Paramètres!$A$1:$I$89,3,0)*0.475*44/12</f>
        <v>2.0678046052546375E-16</v>
      </c>
      <c r="DI198" s="22">
        <f t="shared" si="175"/>
        <v>18.836445474931111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-5.6843418860808015E-13</v>
      </c>
      <c r="DP198" s="17">
        <f>DO198*VLOOKUP('Données projet'!$B$14,Paramètres!$A$1:$I$89,3,0)*VLOOKUP('Données projet'!$B$14,Paramètres!$A$1:$I$89,5,0)</f>
        <v>-3.39923644787632E-13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443.64905827069435</v>
      </c>
      <c r="DU198" s="59">
        <f t="shared" si="209"/>
        <v>381.14782516862385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21.98970713153772</v>
      </c>
      <c r="EB198" s="21">
        <f>EXP(-LN(2)/25)*EB197+(1-EXP(-LN(2)/25))/(LN(2)/25)*Calculateur!DW198*Calculateur!DY198*VLOOKUP('Données projet'!$B$14,Paramètres!$A$1:$I$89,3,0)*0.475*44/12</f>
        <v>1.7180777612482394</v>
      </c>
      <c r="EC198" s="21">
        <f>EXP(-LN(2)/2)*EC197+(1-EXP(-LN(2)/2))/(LN(2)/2)*DW198*DZ198*VLOOKUP('Données projet'!$B$14,Paramètres!$A$1:$I$89,3,0)*0.475*44/12</f>
        <v>5.0616236444304727E-17</v>
      </c>
      <c r="ED198" s="22">
        <f t="shared" si="178"/>
        <v>23.707784892785959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-3.4106051316484809E-13</v>
      </c>
      <c r="EK198" s="17">
        <f>EJ198*VLOOKUP('Données projet'!$B$15,Paramètres!$A$1:$I$89,3,0)*VLOOKUP('Données projet'!$B$15,Paramètres!$A$1:$I$89,5,0)</f>
        <v>-3.0859155231155454E-13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504.37890861635196</v>
      </c>
      <c r="EP198" s="59">
        <f t="shared" si="210"/>
        <v>611.82129317522913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4.825560307863241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4.825560307863241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-1.1368683772161603E-13</v>
      </c>
      <c r="FF198" s="17">
        <f>FE198*VLOOKUP('Données projet'!$B$16,Paramètres!$A$1:$I$89,3,0)*VLOOKUP('Données projet'!$B$16,Paramètres!$A$1:$I$89,5,0)</f>
        <v>-1.223725121235475E-13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334.01098870576732</v>
      </c>
      <c r="FK198" s="59">
        <f t="shared" si="211"/>
        <v>171.1802153303471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27.289952500585805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27.289952500585805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-1.7053025658242404E-13</v>
      </c>
      <c r="GA198" s="17">
        <f>FZ198*VLOOKUP('Données projet'!$B$17,Paramètres!$A$1:$I$89,3,0)*VLOOKUP('Données projet'!$B$17,Paramètres!$A$1:$I$89,5,0)</f>
        <v>-1.4897523215040567E-13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330.12856974146598</v>
      </c>
      <c r="GF198" s="59">
        <f t="shared" si="212"/>
        <v>321.23368446552286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12.010813732300644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12.010813732300644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69.81872714701511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-1.7053025658242404E-13</v>
      </c>
      <c r="GV198" s="17">
        <f>GU198*VLOOKUP('Données projet'!$B$18,Paramètres!$A$1:$I$89,3,0)*VLOOKUP('Données projet'!$B$18,Paramètres!$A$1:$I$89,5,0)</f>
        <v>-1.1439169611549005E-13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296.67751292332753</v>
      </c>
      <c r="HA198" s="59">
        <f t="shared" si="213"/>
        <v>197.99510031603018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28.86284882536798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28.86284882536798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1.1000000000000001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4.0333333333333341</v>
      </c>
      <c r="H199" s="67">
        <f t="shared" si="192"/>
        <v>240.5333333333333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-1.5429577615577727E-13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461.20962581398715</v>
      </c>
      <c r="T199" s="59">
        <f t="shared" si="204"/>
        <v>348.44322874953923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40.514147618793622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40.514147618793622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-1.72917680174578E-13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510.86584023875525</v>
      </c>
      <c r="AO199" s="59">
        <f t="shared" si="205"/>
        <v>384.62921487244125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45.403786124510113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45.403786124510113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4.1677594708744434E-14</v>
      </c>
      <c r="BF199" s="13">
        <f t="shared" si="167"/>
        <v>6.9326303456159188E-13</v>
      </c>
      <c r="BG199" s="20">
        <f t="shared" si="168"/>
        <v>1.2800215959791691E-12</v>
      </c>
      <c r="BH199" s="59">
        <f t="shared" si="194"/>
        <v>292.68019669441435</v>
      </c>
      <c r="BI199" s="59">
        <f ca="1">AVERAGE(OFFSET($BH$3,0,0,'Données projet'!$E$11+1,1))-AVERAGE(OFFSET($H$3,0,0,'Données projet'!$E$11+1,1))</f>
        <v>201.7253431547006</v>
      </c>
      <c r="BJ199" s="59">
        <f t="shared" si="206"/>
        <v>229.70004720044096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3.264668377696315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3.264668377696315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-1.2710188457276673E-13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462.09240749760784</v>
      </c>
      <c r="CE199" s="59">
        <f t="shared" si="207"/>
        <v>403.52202223463337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34.585111840785139</v>
      </c>
      <c r="CL199" s="21">
        <f>EXP(-LN(2)/25)*CL198+(1-EXP(-LN(2)/25))/(LN(2)/25)*Calculateur!CG199*Calculateur!CI199*VLOOKUP('Données projet'!$B$12,Paramètres!$A$1:$I$89,3,0)*0.475*44/12</f>
        <v>1.3829770423179688</v>
      </c>
      <c r="CM199" s="21">
        <f>EXP(-LN(2)/2)*CM198+(1-EXP(-LN(2)/2))/(LN(2)/2)*CG199*CJ199*VLOOKUP('Données projet'!$B$12,Paramètres!$A$1:$I$89,3,0)*0.475*44/12</f>
        <v>6.0892659478686291E-17</v>
      </c>
      <c r="CN199" s="22">
        <f t="shared" si="172"/>
        <v>35.968088883103107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319.88925869887464</v>
      </c>
      <c r="CZ199" s="59">
        <f t="shared" si="208"/>
        <v>258.2857172412098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16.535235987760977</v>
      </c>
      <c r="DG199" s="21">
        <f>EXP(-LN(2)/25)*DG198+(1-EXP(-LN(2)/25))/(LN(2)/25)*Calculateur!DB199*Calculateur!DD199*VLOOKUP('Données projet'!$B$13,Paramètres!$A$1:$I$89,3,0)*0.475*44/12</f>
        <v>1.916595326477174</v>
      </c>
      <c r="DH199" s="21">
        <f>EXP(-LN(2)/2)*DH198+(1-EXP(-LN(2)/2))/(LN(2)/2)*DB199*DE199*VLOOKUP('Données projet'!$B$13,Paramètres!$A$1:$I$89,3,0)*0.475*44/12</f>
        <v>1.4621586585443262E-16</v>
      </c>
      <c r="DI199" s="22">
        <f t="shared" si="175"/>
        <v>18.451831314238152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-5.6843418860808015E-13</v>
      </c>
      <c r="DP199" s="17">
        <f>DO199*VLOOKUP('Données projet'!$B$14,Paramètres!$A$1:$I$89,3,0)*VLOOKUP('Données projet'!$B$14,Paramètres!$A$1:$I$89,5,0)</f>
        <v>-3.39923644787632E-13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443.64905827069435</v>
      </c>
      <c r="DU199" s="59">
        <f t="shared" si="209"/>
        <v>381.14782516862385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21.558502387085252</v>
      </c>
      <c r="EB199" s="21">
        <f>EXP(-LN(2)/25)*EB198+(1-EXP(-LN(2)/25))/(LN(2)/25)*Calculateur!DW199*Calculateur!DY199*VLOOKUP('Données projet'!$B$14,Paramètres!$A$1:$I$89,3,0)*0.475*44/12</f>
        <v>1.6710968345171235</v>
      </c>
      <c r="EC199" s="21">
        <f>EXP(-LN(2)/2)*EC198+(1-EXP(-LN(2)/2))/(LN(2)/2)*DW199*DZ199*VLOOKUP('Données projet'!$B$14,Paramètres!$A$1:$I$89,3,0)*0.475*44/12</f>
        <v>3.5791084027909534E-17</v>
      </c>
      <c r="ED199" s="22">
        <f t="shared" si="178"/>
        <v>23.229599221602374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-3.4106051316484809E-13</v>
      </c>
      <c r="EK199" s="17">
        <f>EJ199*VLOOKUP('Données projet'!$B$15,Paramètres!$A$1:$I$89,3,0)*VLOOKUP('Données projet'!$B$15,Paramètres!$A$1:$I$89,5,0)</f>
        <v>-3.0859155231155454E-13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504.37890861635196</v>
      </c>
      <c r="EP199" s="59">
        <f t="shared" si="210"/>
        <v>611.82129317522913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4.7309340135272038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4.7309340135272038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-1.1368683772161603E-13</v>
      </c>
      <c r="FF199" s="17">
        <f>FE199*VLOOKUP('Données projet'!$B$16,Paramètres!$A$1:$I$89,3,0)*VLOOKUP('Données projet'!$B$16,Paramètres!$A$1:$I$89,5,0)</f>
        <v>-1.223725121235475E-13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334.01098870576732</v>
      </c>
      <c r="FK199" s="59">
        <f t="shared" si="211"/>
        <v>171.1802153303471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26.754813177276763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26.754813177276763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-1.7053025658242404E-13</v>
      </c>
      <c r="GA199" s="17">
        <f>FZ199*VLOOKUP('Données projet'!$B$17,Paramètres!$A$1:$I$89,3,0)*VLOOKUP('Données projet'!$B$17,Paramètres!$A$1:$I$89,5,0)</f>
        <v>-1.4897523215040567E-13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330.12856974146598</v>
      </c>
      <c r="GF199" s="59">
        <f t="shared" si="212"/>
        <v>321.23368446552286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11.775289000883236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11.775289000883236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69.821871825749014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-1.7053025658242404E-13</v>
      </c>
      <c r="GV199" s="17">
        <f>GU199*VLOOKUP('Données projet'!$B$18,Paramètres!$A$1:$I$89,3,0)*VLOOKUP('Données projet'!$B$18,Paramètres!$A$1:$I$89,5,0)</f>
        <v>-1.1439169611549005E-13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296.67751292332753</v>
      </c>
      <c r="HA199" s="59">
        <f t="shared" si="213"/>
        <v>197.99510031603018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28.296865964501986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28.296865964501986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1.1000000000000001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4.0333333333333341</v>
      </c>
      <c r="H200" s="67">
        <f t="shared" si="192"/>
        <v>240.5333333333333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-1.5429577615577727E-13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461.20962581398715</v>
      </c>
      <c r="T200" s="59">
        <f t="shared" si="204"/>
        <v>348.44322874953923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39.719689895179101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39.719689895179101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-1.72917680174578E-13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510.86584023875525</v>
      </c>
      <c r="AO200" s="59">
        <f t="shared" si="205"/>
        <v>384.62921487244125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44.513445572183493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44.513445572183493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4.1677594708744434E-14</v>
      </c>
      <c r="BF200" s="13">
        <f t="shared" si="167"/>
        <v>6.9326303456159188E-13</v>
      </c>
      <c r="BG200" s="20">
        <f t="shared" si="168"/>
        <v>1.2800215959791691E-12</v>
      </c>
      <c r="BH200" s="59">
        <f t="shared" si="194"/>
        <v>292.69152715490486</v>
      </c>
      <c r="BI200" s="59">
        <f ca="1">AVERAGE(OFFSET($BH$3,0,0,'Données projet'!$E$11+1,1))-AVERAGE(OFFSET($H$3,0,0,'Données projet'!$E$11+1,1))</f>
        <v>201.7253431547006</v>
      </c>
      <c r="BJ200" s="59">
        <f t="shared" si="206"/>
        <v>229.70004720044096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3.2006502220607809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3.2006502220607809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-1.2710188457276673E-13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462.09240749760784</v>
      </c>
      <c r="CE200" s="59">
        <f t="shared" si="207"/>
        <v>403.52202223463337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33.906918892422624</v>
      </c>
      <c r="CL200" s="21">
        <f>EXP(-LN(2)/25)*CL199+(1-EXP(-LN(2)/25))/(LN(2)/25)*Calculateur!CG200*Calculateur!CI200*VLOOKUP('Données projet'!$B$12,Paramètres!$A$1:$I$89,3,0)*0.475*44/12</f>
        <v>1.3451594623681822</v>
      </c>
      <c r="CM200" s="21">
        <f>EXP(-LN(2)/2)*CM199+(1-EXP(-LN(2)/2))/(LN(2)/2)*CG200*CJ200*VLOOKUP('Données projet'!$B$12,Paramètres!$A$1:$I$89,3,0)*0.475*44/12</f>
        <v>4.3057612441862377E-17</v>
      </c>
      <c r="CN200" s="22">
        <f t="shared" si="172"/>
        <v>35.252078354790804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319.88925869887464</v>
      </c>
      <c r="CZ200" s="59">
        <f t="shared" si="208"/>
        <v>258.2857172412098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16.210990095539078</v>
      </c>
      <c r="DG200" s="21">
        <f>EXP(-LN(2)/25)*DG199+(1-EXP(-LN(2)/25))/(LN(2)/25)*Calculateur!DB200*Calculateur!DD200*VLOOKUP('Données projet'!$B$13,Paramètres!$A$1:$I$89,3,0)*0.475*44/12</f>
        <v>1.8641859264852878</v>
      </c>
      <c r="DH200" s="21">
        <f>EXP(-LN(2)/2)*DH199+(1-EXP(-LN(2)/2))/(LN(2)/2)*DB200*DE200*VLOOKUP('Données projet'!$B$13,Paramètres!$A$1:$I$89,3,0)*0.475*44/12</f>
        <v>1.0339023026273187E-16</v>
      </c>
      <c r="DI200" s="22">
        <f t="shared" si="175"/>
        <v>18.075176022024365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-5.6843418860808015E-13</v>
      </c>
      <c r="DP200" s="17">
        <f>DO200*VLOOKUP('Données projet'!$B$14,Paramètres!$A$1:$I$89,3,0)*VLOOKUP('Données projet'!$B$14,Paramètres!$A$1:$I$89,5,0)</f>
        <v>-3.39923644787632E-13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443.64905827069435</v>
      </c>
      <c r="DU200" s="59">
        <f t="shared" si="209"/>
        <v>381.14782516862385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21.135753304662572</v>
      </c>
      <c r="EB200" s="21">
        <f>EXP(-LN(2)/25)*EB199+(1-EXP(-LN(2)/25))/(LN(2)/25)*Calculateur!DW200*Calculateur!DY200*VLOOKUP('Données projet'!$B$14,Paramètres!$A$1:$I$89,3,0)*0.475*44/12</f>
        <v>1.6254006036980897</v>
      </c>
      <c r="EC200" s="21">
        <f>EXP(-LN(2)/2)*EC199+(1-EXP(-LN(2)/2))/(LN(2)/2)*DW200*DZ200*VLOOKUP('Données projet'!$B$14,Paramètres!$A$1:$I$89,3,0)*0.475*44/12</f>
        <v>2.5308118222152364E-17</v>
      </c>
      <c r="ED200" s="22">
        <f t="shared" si="178"/>
        <v>22.761153908360662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-3.4106051316484809E-13</v>
      </c>
      <c r="EK200" s="17">
        <f>EJ200*VLOOKUP('Données projet'!$B$15,Paramètres!$A$1:$I$89,3,0)*VLOOKUP('Données projet'!$B$15,Paramètres!$A$1:$I$89,5,0)</f>
        <v>-3.0859155231155454E-13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504.37890861635196</v>
      </c>
      <c r="EP200" s="59">
        <f t="shared" si="210"/>
        <v>611.82129317522913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4.6381632831067554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4.6381632831067554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-1.1368683772161603E-13</v>
      </c>
      <c r="FF200" s="17">
        <f>FE200*VLOOKUP('Données projet'!$B$16,Paramètres!$A$1:$I$89,3,0)*VLOOKUP('Données projet'!$B$16,Paramètres!$A$1:$I$89,5,0)</f>
        <v>-1.223725121235475E-13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334.01098870576732</v>
      </c>
      <c r="FK200" s="59">
        <f t="shared" si="211"/>
        <v>171.1802153303471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26.230167609695052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26.230167609695052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-1.7053025658242404E-13</v>
      </c>
      <c r="GA200" s="17">
        <f>FZ200*VLOOKUP('Données projet'!$B$17,Paramètres!$A$1:$I$89,3,0)*VLOOKUP('Données projet'!$B$17,Paramètres!$A$1:$I$89,5,0)</f>
        <v>-1.4897523215040567E-13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330.12856974146598</v>
      </c>
      <c r="GF200" s="59">
        <f t="shared" si="212"/>
        <v>321.23368446552286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11.544382765793021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11.544382765793021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69.824961951337329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-1.7053025658242404E-13</v>
      </c>
      <c r="GV200" s="17">
        <f>GU200*VLOOKUP('Données projet'!$B$18,Paramètres!$A$1:$I$89,3,0)*VLOOKUP('Données projet'!$B$18,Paramètres!$A$1:$I$89,5,0)</f>
        <v>-1.1439169611549005E-13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296.67751292332753</v>
      </c>
      <c r="HA200" s="59">
        <f t="shared" si="213"/>
        <v>197.99510031603018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27.74198168232212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27.74198168232212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1.1000000000000001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4.0333333333333341</v>
      </c>
      <c r="H201" s="67">
        <f t="shared" si="192"/>
        <v>240.5333333333333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-1.5429577615577727E-13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461.20962581398715</v>
      </c>
      <c r="T201" s="59">
        <f t="shared" si="204"/>
        <v>348.44322874953923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38.940811002953296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38.940811002953296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-1.72917680174578E-13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510.86584023875525</v>
      </c>
      <c r="AO201" s="59">
        <f t="shared" si="205"/>
        <v>384.62921487244125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43.640564055033884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43.640564055033884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4.1677594708744434E-14</v>
      </c>
      <c r="BF201" s="13">
        <f t="shared" si="167"/>
        <v>6.9326303456159188E-13</v>
      </c>
      <c r="BG201" s="20">
        <f t="shared" si="168"/>
        <v>1.2800215959791691E-12</v>
      </c>
      <c r="BH201" s="59">
        <f t="shared" si="194"/>
        <v>292.70266105723698</v>
      </c>
      <c r="BI201" s="59">
        <f ca="1">AVERAGE(OFFSET($BH$3,0,0,'Données projet'!$E$11+1,1))-AVERAGE(OFFSET($H$3,0,0,'Données projet'!$E$11+1,1))</f>
        <v>201.7253431547006</v>
      </c>
      <c r="BJ201" s="59">
        <f t="shared" si="206"/>
        <v>229.70004720044096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3.1378874234100405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3.1378874234100405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-1.2710188457276673E-13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462.09240749760784</v>
      </c>
      <c r="CE201" s="59">
        <f t="shared" si="207"/>
        <v>403.52202223463337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33.242024894120647</v>
      </c>
      <c r="CL201" s="21">
        <f>EXP(-LN(2)/25)*CL200+(1-EXP(-LN(2)/25))/(LN(2)/25)*Calculateur!CG201*Calculateur!CI201*VLOOKUP('Données projet'!$B$12,Paramètres!$A$1:$I$89,3,0)*0.475*44/12</f>
        <v>1.3083760061308625</v>
      </c>
      <c r="CM201" s="21">
        <f>EXP(-LN(2)/2)*CM200+(1-EXP(-LN(2)/2))/(LN(2)/2)*CG201*CJ201*VLOOKUP('Données projet'!$B$12,Paramètres!$A$1:$I$89,3,0)*0.475*44/12</f>
        <v>3.0446329739343146E-17</v>
      </c>
      <c r="CN201" s="22">
        <f t="shared" si="172"/>
        <v>34.55040090025151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319.88925869887464</v>
      </c>
      <c r="CZ201" s="59">
        <f t="shared" si="208"/>
        <v>258.2857172412098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15.893102467493183</v>
      </c>
      <c r="DG201" s="21">
        <f>EXP(-LN(2)/25)*DG200+(1-EXP(-LN(2)/25))/(LN(2)/25)*Calculateur!DB201*Calculateur!DD201*VLOOKUP('Données projet'!$B$13,Paramètres!$A$1:$I$89,3,0)*0.475*44/12</f>
        <v>1.8132096642922704</v>
      </c>
      <c r="DH201" s="21">
        <f>EXP(-LN(2)/2)*DH200+(1-EXP(-LN(2)/2))/(LN(2)/2)*DB201*DE201*VLOOKUP('Données projet'!$B$13,Paramètres!$A$1:$I$89,3,0)*0.475*44/12</f>
        <v>7.3107932927216309E-17</v>
      </c>
      <c r="DI201" s="22">
        <f t="shared" si="175"/>
        <v>17.706312131785452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-5.6843418860808015E-13</v>
      </c>
      <c r="DP201" s="17">
        <f>DO201*VLOOKUP('Données projet'!$B$14,Paramètres!$A$1:$I$89,3,0)*VLOOKUP('Données projet'!$B$14,Paramètres!$A$1:$I$89,5,0)</f>
        <v>-3.39923644787632E-13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443.64905827069435</v>
      </c>
      <c r="DU201" s="59">
        <f t="shared" si="209"/>
        <v>381.14782516862385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20.721294073894722</v>
      </c>
      <c r="EB201" s="21">
        <f>EXP(-LN(2)/25)*EB200+(1-EXP(-LN(2)/25))/(LN(2)/25)*Calculateur!DW201*Calculateur!DY201*VLOOKUP('Données projet'!$B$14,Paramètres!$A$1:$I$89,3,0)*0.475*44/12</f>
        <v>1.5809539387138627</v>
      </c>
      <c r="EC201" s="21">
        <f>EXP(-LN(2)/2)*EC200+(1-EXP(-LN(2)/2))/(LN(2)/2)*DW201*DZ201*VLOOKUP('Données projet'!$B$14,Paramètres!$A$1:$I$89,3,0)*0.475*44/12</f>
        <v>1.7895542013954767E-17</v>
      </c>
      <c r="ED201" s="22">
        <f t="shared" si="178"/>
        <v>22.302248012608583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-3.4106051316484809E-13</v>
      </c>
      <c r="EK201" s="17">
        <f>EJ201*VLOOKUP('Données projet'!$B$15,Paramètres!$A$1:$I$89,3,0)*VLOOKUP('Données projet'!$B$15,Paramètres!$A$1:$I$89,5,0)</f>
        <v>-3.0859155231155454E-13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504.37890861635196</v>
      </c>
      <c r="EP201" s="59">
        <f t="shared" si="210"/>
        <v>611.82129317522913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4.5472117301252943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4.5472117301252943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-1.1368683772161603E-13</v>
      </c>
      <c r="FF201" s="17">
        <f>FE201*VLOOKUP('Données projet'!$B$16,Paramètres!$A$1:$I$89,3,0)*VLOOKUP('Données projet'!$B$16,Paramètres!$A$1:$I$89,5,0)</f>
        <v>-1.223725121235475E-13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334.01098870576732</v>
      </c>
      <c r="FK201" s="59">
        <f t="shared" si="211"/>
        <v>171.1802153303471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25.715810021691421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25.715810021691421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-1.7053025658242404E-13</v>
      </c>
      <c r="GA201" s="17">
        <f>FZ201*VLOOKUP('Données projet'!$B$17,Paramètres!$A$1:$I$89,3,0)*VLOOKUP('Données projet'!$B$17,Paramètres!$A$1:$I$89,5,0)</f>
        <v>-1.4897523215040567E-13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330.12856974146598</v>
      </c>
      <c r="GF201" s="59">
        <f t="shared" si="212"/>
        <v>321.23368446552286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11.318004461134029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11.318004461134029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69.82799847015518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-1.7053025658242404E-13</v>
      </c>
      <c r="GV201" s="17">
        <f>GU201*VLOOKUP('Données projet'!$B$18,Paramètres!$A$1:$I$89,3,0)*VLOOKUP('Données projet'!$B$18,Paramètres!$A$1:$I$89,5,0)</f>
        <v>-1.1439169611549005E-13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296.67751292332753</v>
      </c>
      <c r="HA201" s="59">
        <f t="shared" si="213"/>
        <v>197.99510031603018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27.197978342469806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27.197978342469806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1.1000000000000001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4.0333333333333341</v>
      </c>
      <c r="H202" s="67">
        <f t="shared" si="192"/>
        <v>240.5333333333333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-1.5429577615577727E-13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461.20962581398715</v>
      </c>
      <c r="T202" s="59">
        <f t="shared" si="204"/>
        <v>348.44322874953923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38.177205450734824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38.177205450734824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-1.72917680174578E-13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510.86584023875525</v>
      </c>
      <c r="AO202" s="59">
        <f t="shared" si="205"/>
        <v>384.62921487244125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42.784799212030421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42.784799212030421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4.1677594708744434E-14</v>
      </c>
      <c r="BF202" s="13">
        <f t="shared" si="167"/>
        <v>6.9326303456159188E-13</v>
      </c>
      <c r="BG202" s="20">
        <f t="shared" si="168"/>
        <v>1.2800215959791691E-12</v>
      </c>
      <c r="BH202" s="59">
        <f t="shared" si="194"/>
        <v>292.71360181125527</v>
      </c>
      <c r="BI202" s="59">
        <f ca="1">AVERAGE(OFFSET($BH$3,0,0,'Données projet'!$E$11+1,1))-AVERAGE(OFFSET($H$3,0,0,'Données projet'!$E$11+1,1))</f>
        <v>201.7253431547006</v>
      </c>
      <c r="BJ202" s="59">
        <f t="shared" si="206"/>
        <v>229.70004720044096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3.0763553649593138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3.0763553649593138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-1.2710188457276673E-13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462.09240749760784</v>
      </c>
      <c r="CE202" s="59">
        <f t="shared" si="207"/>
        <v>403.52202223463337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32.59016906158007</v>
      </c>
      <c r="CL202" s="21">
        <f>EXP(-LN(2)/25)*CL201+(1-EXP(-LN(2)/25))/(LN(2)/25)*Calculateur!CG202*Calculateur!CI202*VLOOKUP('Données projet'!$B$12,Paramètres!$A$1:$I$89,3,0)*0.475*44/12</f>
        <v>1.2725983954387101</v>
      </c>
      <c r="CM202" s="21">
        <f>EXP(-LN(2)/2)*CM201+(1-EXP(-LN(2)/2))/(LN(2)/2)*CG202*CJ202*VLOOKUP('Données projet'!$B$12,Paramètres!$A$1:$I$89,3,0)*0.475*44/12</f>
        <v>2.1528806220931188E-17</v>
      </c>
      <c r="CN202" s="22">
        <f t="shared" si="172"/>
        <v>33.862767457018784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319.88925869887464</v>
      </c>
      <c r="CZ202" s="59">
        <f t="shared" si="208"/>
        <v>258.2857172412098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15.58144842194096</v>
      </c>
      <c r="DG202" s="21">
        <f>EXP(-LN(2)/25)*DG201+(1-EXP(-LN(2)/25))/(LN(2)/25)*Calculateur!DB202*Calculateur!DD202*VLOOKUP('Données projet'!$B$13,Paramètres!$A$1:$I$89,3,0)*0.475*44/12</f>
        <v>1.763627350669646</v>
      </c>
      <c r="DH202" s="21">
        <f>EXP(-LN(2)/2)*DH201+(1-EXP(-LN(2)/2))/(LN(2)/2)*DB202*DE202*VLOOKUP('Données projet'!$B$13,Paramètres!$A$1:$I$89,3,0)*0.475*44/12</f>
        <v>5.1695115131365936E-17</v>
      </c>
      <c r="DI202" s="22">
        <f t="shared" si="175"/>
        <v>17.345075772610606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-5.6843418860808015E-13</v>
      </c>
      <c r="DP202" s="17">
        <f>DO202*VLOOKUP('Données projet'!$B$14,Paramètres!$A$1:$I$89,3,0)*VLOOKUP('Données projet'!$B$14,Paramètres!$A$1:$I$89,5,0)</f>
        <v>-3.39923644787632E-13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443.64905827069435</v>
      </c>
      <c r="DU202" s="59">
        <f t="shared" si="209"/>
        <v>381.14782516862385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20.314962135847058</v>
      </c>
      <c r="EB202" s="21">
        <f>EXP(-LN(2)/25)*EB201+(1-EXP(-LN(2)/25))/(LN(2)/25)*Calculateur!DW202*Calculateur!DY202*VLOOKUP('Données projet'!$B$14,Paramètres!$A$1:$I$89,3,0)*0.475*44/12</f>
        <v>1.5377226701209779</v>
      </c>
      <c r="EC202" s="21">
        <f>EXP(-LN(2)/2)*EC201+(1-EXP(-LN(2)/2))/(LN(2)/2)*DW202*DZ202*VLOOKUP('Données projet'!$B$14,Paramètres!$A$1:$I$89,3,0)*0.475*44/12</f>
        <v>1.2654059111076182E-17</v>
      </c>
      <c r="ED202" s="22">
        <f t="shared" si="178"/>
        <v>21.852684805968035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-3.4106051316484809E-13</v>
      </c>
      <c r="EK202" s="17">
        <f>EJ202*VLOOKUP('Données projet'!$B$15,Paramètres!$A$1:$I$89,3,0)*VLOOKUP('Données projet'!$B$15,Paramètres!$A$1:$I$89,5,0)</f>
        <v>-3.0859155231155454E-13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504.37890861635196</v>
      </c>
      <c r="EP202" s="59">
        <f t="shared" si="210"/>
        <v>611.82129317522913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4.4580436816228302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4.4580436816228302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-1.1368683772161603E-13</v>
      </c>
      <c r="FF202" s="17">
        <f>FE202*VLOOKUP('Données projet'!$B$16,Paramètres!$A$1:$I$89,3,0)*VLOOKUP('Données projet'!$B$16,Paramètres!$A$1:$I$89,5,0)</f>
        <v>-1.223725121235475E-13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334.01098870576732</v>
      </c>
      <c r="FK202" s="59">
        <f t="shared" si="211"/>
        <v>171.1802153303471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25.211538672261391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25.211538672261391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-1.7053025658242404E-13</v>
      </c>
      <c r="GA202" s="17">
        <f>FZ202*VLOOKUP('Données projet'!$B$17,Paramètres!$A$1:$I$89,3,0)*VLOOKUP('Données projet'!$B$17,Paramètres!$A$1:$I$89,5,0)</f>
        <v>-1.4897523215040567E-13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330.12856974146598</v>
      </c>
      <c r="GF202" s="59">
        <f t="shared" si="212"/>
        <v>321.23368446552286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11.096065296952268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11.096065296952268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69.830982312160174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-1.7053025658242404E-13</v>
      </c>
      <c r="GV202" s="17">
        <f>GU202*VLOOKUP('Données projet'!$B$18,Paramètres!$A$1:$I$89,3,0)*VLOOKUP('Données projet'!$B$18,Paramètres!$A$1:$I$89,5,0)</f>
        <v>-1.1439169611549005E-13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296.67751292332753</v>
      </c>
      <c r="HA202" s="59">
        <f t="shared" si="213"/>
        <v>197.99510031603018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26.664642576302722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26.664642576302722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1.1000000000000001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64.5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4.0333333333333341</v>
      </c>
      <c r="H203" s="67">
        <f t="shared" si="192"/>
        <v>240.5333333333333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-1.5429577615577727E-13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461.20962581398715</v>
      </c>
      <c r="T203" s="59">
        <f t="shared" si="204"/>
        <v>348.44322874953923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37.428573737641955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37.428573737641955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-1.72917680174578E-13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510.86584023875525</v>
      </c>
      <c r="AO203" s="59">
        <f t="shared" si="205"/>
        <v>384.62921487244125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41.945815395633247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41.945815395633247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4.1677594708744434E-14</v>
      </c>
      <c r="BF203" s="13">
        <f t="shared" si="167"/>
        <v>6.9326303456159188E-13</v>
      </c>
      <c r="BG203" s="20">
        <f t="shared" si="168"/>
        <v>1.2800215959791691E-12</v>
      </c>
      <c r="BH203" s="59">
        <f t="shared" si="194"/>
        <v>292.72435276765123</v>
      </c>
      <c r="BI203" s="59">
        <f ca="1">AVERAGE(OFFSET($BH$3,0,0,'Données projet'!$E$11+1,1))-AVERAGE(OFFSET($H$3,0,0,'Données projet'!$E$11+1,1))</f>
        <v>201.7253431547006</v>
      </c>
      <c r="BJ203" s="59">
        <f t="shared" si="206"/>
        <v>229.70004720044096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3.016029912643956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3.016029912643956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-1.2710188457276673E-13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462.09240749760784</v>
      </c>
      <c r="CE203" s="59">
        <f t="shared" si="207"/>
        <v>403.52202223463337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31.951095724322819</v>
      </c>
      <c r="CL203" s="21">
        <f>EXP(-LN(2)/25)*CL202+(1-EXP(-LN(2)/25))/(LN(2)/25)*Calculateur!CG203*Calculateur!CI203*VLOOKUP('Données projet'!$B$12,Paramètres!$A$1:$I$89,3,0)*0.475*44/12</f>
        <v>1.2377991253923974</v>
      </c>
      <c r="CM203" s="21">
        <f>EXP(-LN(2)/2)*CM202+(1-EXP(-LN(2)/2))/(LN(2)/2)*CG203*CJ203*VLOOKUP('Données projet'!$B$12,Paramètres!$A$1:$I$89,3,0)*0.475*44/12</f>
        <v>1.5223164869671573E-17</v>
      </c>
      <c r="CN203" s="22">
        <f t="shared" si="172"/>
        <v>33.188894849715219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319.88925869887464</v>
      </c>
      <c r="CZ203" s="59">
        <f t="shared" si="208"/>
        <v>258.2857172412098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15.275905722131819</v>
      </c>
      <c r="DG203" s="21">
        <f>EXP(-LN(2)/25)*DG202+(1-EXP(-LN(2)/25))/(LN(2)/25)*Calculateur!DB203*Calculateur!DD203*VLOOKUP('Données projet'!$B$13,Paramètres!$A$1:$I$89,3,0)*0.475*44/12</f>
        <v>1.7154008680204531</v>
      </c>
      <c r="DH203" s="21">
        <f>EXP(-LN(2)/2)*DH202+(1-EXP(-LN(2)/2))/(LN(2)/2)*DB203*DE203*VLOOKUP('Données projet'!$B$13,Paramètres!$A$1:$I$89,3,0)*0.475*44/12</f>
        <v>3.6553966463608155E-17</v>
      </c>
      <c r="DI203" s="22">
        <f t="shared" si="175"/>
        <v>16.991306590152274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-5.6843418860808015E-13</v>
      </c>
      <c r="DP203" s="17">
        <f>DO203*VLOOKUP('Données projet'!$B$14,Paramètres!$A$1:$I$89,3,0)*VLOOKUP('Données projet'!$B$14,Paramètres!$A$1:$I$89,5,0)</f>
        <v>-3.39923644787632E-13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443.64905827069435</v>
      </c>
      <c r="DU203" s="59">
        <f t="shared" si="209"/>
        <v>381.14782516862385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19.916598119266499</v>
      </c>
      <c r="EB203" s="21">
        <f>EXP(-LN(2)/25)*EB202+(1-EXP(-LN(2)/25))/(LN(2)/25)*Calculateur!DW203*Calculateur!DY203*VLOOKUP('Données projet'!$B$14,Paramètres!$A$1:$I$89,3,0)*0.475*44/12</f>
        <v>1.495673562841199</v>
      </c>
      <c r="EC203" s="21">
        <f>EXP(-LN(2)/2)*EC202+(1-EXP(-LN(2)/2))/(LN(2)/2)*DW203*DZ203*VLOOKUP('Données projet'!$B$14,Paramètres!$A$1:$I$89,3,0)*0.475*44/12</f>
        <v>8.9477710069773836E-18</v>
      </c>
      <c r="ED203" s="22">
        <f t="shared" si="178"/>
        <v>21.412271682107697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-3.4106051316484809E-13</v>
      </c>
      <c r="EK203" s="17">
        <f>EJ203*VLOOKUP('Données projet'!$B$15,Paramètres!$A$1:$I$89,3,0)*VLOOKUP('Données projet'!$B$15,Paramètres!$A$1:$I$89,5,0)</f>
        <v>-3.0859155231155454E-13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504.37890861635196</v>
      </c>
      <c r="EP203" s="59">
        <f t="shared" si="210"/>
        <v>611.82129317522913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4.3706241641643597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4.3706241641643597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-1.1368683772161603E-13</v>
      </c>
      <c r="FF203" s="17">
        <f>FE203*VLOOKUP('Données projet'!$B$16,Paramètres!$A$1:$I$89,3,0)*VLOOKUP('Données projet'!$B$16,Paramètres!$A$1:$I$89,5,0)</f>
        <v>-1.223725121235475E-13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334.01098870576732</v>
      </c>
      <c r="FK203" s="59">
        <f t="shared" si="211"/>
        <v>171.1802153303471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24.717155776418529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24.717155776418529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-1.7053025658242404E-13</v>
      </c>
      <c r="GA203" s="17">
        <f>FZ203*VLOOKUP('Données projet'!$B$17,Paramètres!$A$1:$I$89,3,0)*VLOOKUP('Données projet'!$B$17,Paramètres!$A$1:$I$89,5,0)</f>
        <v>-1.4897523215040567E-13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330.12856974146598</v>
      </c>
      <c r="GF203" s="59">
        <f t="shared" si="212"/>
        <v>321.23368446552286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10.878478224410587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10.878478224410587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69.833914391177245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-1.7053025658242404E-13</v>
      </c>
      <c r="GV203" s="17">
        <f>GU203*VLOOKUP('Données projet'!$B$18,Paramètres!$A$1:$I$89,3,0)*VLOOKUP('Données projet'!$B$18,Paramètres!$A$1:$I$89,5,0)</f>
        <v>-1.1439169611549005E-13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296.67751292332753</v>
      </c>
      <c r="HA203" s="59">
        <f t="shared" si="213"/>
        <v>197.99510031603018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26.141765199207477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26.141765199207477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1.189207115002721</v>
      </c>
      <c r="BV205" s="82">
        <f>EXP(LN('Données projet'!B114)/'Données projet'!A114)</f>
        <v>1.3492828476735632</v>
      </c>
      <c r="CQ205" s="82">
        <f>EXP(LN('Données projet'!B140)/'Données projet'!A140)</f>
        <v>1.2802842468510145</v>
      </c>
      <c r="DL205" s="82">
        <f>EXP(LN('Données projet'!B166)/'Données projet'!A166)</f>
        <v>1.2954438051451196</v>
      </c>
      <c r="EG205" s="82">
        <f>EXP(LN('Données projet'!B192)/'Données projet'!A192)</f>
        <v>1.4192826414237836</v>
      </c>
      <c r="FB205" s="82">
        <f>EXP(LN('Données projet'!B218)/'Données projet'!A218)</f>
        <v>1.1457367676485573</v>
      </c>
      <c r="FW205" s="82">
        <f>EXP(LN('Données projet'!B244)/'Données projet'!A244)</f>
        <v>1.2721747796233518</v>
      </c>
      <c r="GR205" s="82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O18" sqref="O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1.8389</v>
      </c>
      <c r="C6" s="147">
        <f ca="1">IF(OR('Données projet'!B9="",'Données projet'!C9="",'Données projet'!C9=0%),0,Calculateur!S3)</f>
        <v>461.20962581398715</v>
      </c>
      <c r="D6" s="147">
        <f>IF(OR('Données projet'!B9="",'Données projet'!C9="",'Données projet'!C9=0%),0,Calculateur!T3)</f>
        <v>348.44322874953923</v>
      </c>
      <c r="E6" s="147">
        <f ca="1">MIN(C6,D6)</f>
        <v>348.44322874953923</v>
      </c>
      <c r="F6" s="147">
        <f ca="1">E6*B6</f>
        <v>640.7522533475277</v>
      </c>
      <c r="G6" s="147">
        <f ca="1">F6*(100%-'Données projet'!$C$24)*(100%-'Données projet'!$C$25)*(100%-'Données projet'!$C$26)*(100%-'Données projet'!$C$27)</f>
        <v>576.67702801277494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28.502949999999998</v>
      </c>
      <c r="K6" s="151">
        <f>J6*(100%-'Données projet'!$C$24)*(100%-'Données projet'!$C$25)*(100%-'Données projet'!$C$26)*(100%-'Données projet'!$C$27)</f>
        <v>25.652654999999999</v>
      </c>
      <c r="L6" s="152">
        <f ca="1">G6+I6+K6</f>
        <v>602.32968301277492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1.8389</v>
      </c>
      <c r="C7" s="147">
        <f ca="1">IF(OR('Données projet'!B10="",'Données projet'!C10="",'Données projet'!C10=0%),0,Calculateur!AN3)</f>
        <v>510.86584023875525</v>
      </c>
      <c r="D7" s="147">
        <f>IF(OR('Données projet'!B10="",'Données projet'!C10="",'Données projet'!C10=0%),0,Calculateur!AO3)</f>
        <v>384.62921487244125</v>
      </c>
      <c r="E7" s="147">
        <f t="shared" ref="E7:E15" ca="1" si="0">MIN(C7,D7)</f>
        <v>384.62921487244125</v>
      </c>
      <c r="F7" s="147">
        <f t="shared" ref="F7:F15" ca="1" si="1">E7*B7</f>
        <v>707.29466322893222</v>
      </c>
      <c r="G7" s="147">
        <f ca="1">F7*(100%-'Données projet'!$C$24)*(100%-'Données projet'!$C$25)*(100%-'Données projet'!$C$26)*(100%-'Données projet'!$C$27)</f>
        <v>636.56519690603898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28.502949999999998</v>
      </c>
      <c r="K7" s="151">
        <f>J7*(100%-'Données projet'!$C$24)*(100%-'Données projet'!$C$25)*(100%-'Données projet'!$C$26)*(100%-'Données projet'!$C$27)</f>
        <v>25.652654999999999</v>
      </c>
      <c r="L7" s="152">
        <f t="shared" ref="L7:L15" ca="1" si="2">G7+I7+K7</f>
        <v>662.21785190603896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Châtaignier</v>
      </c>
      <c r="B8" s="154">
        <f>'Données projet'!D11</f>
        <v>1.8389</v>
      </c>
      <c r="C8" s="147">
        <f ca="1">IF(OR('Données projet'!B11="",'Données projet'!C11="",'Données projet'!C11=0%),0,Calculateur!BI3)</f>
        <v>201.7253431547006</v>
      </c>
      <c r="D8" s="147">
        <f>IF(OR('Données projet'!B11="",'Données projet'!C11="",'Données projet'!C11=0%),0,Calculateur!BJ3)</f>
        <v>229.70004720044096</v>
      </c>
      <c r="E8" s="147">
        <f t="shared" ca="1" si="0"/>
        <v>201.7253431547006</v>
      </c>
      <c r="F8" s="147">
        <f t="shared" ca="1" si="1"/>
        <v>370.95273352717891</v>
      </c>
      <c r="G8" s="147">
        <f ca="1">F8*(100%-'Données projet'!$C$24)*(100%-'Données projet'!$C$25)*(100%-'Données projet'!$C$26)*(100%-'Données projet'!$C$27)</f>
        <v>333.85746017446104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16.090374999999998</v>
      </c>
      <c r="K8" s="151">
        <f>J8*(100%-'Données projet'!$C$24)*(100%-'Données projet'!$C$25)*(100%-'Données projet'!$C$26)*(100%-'Données projet'!$C$27)</f>
        <v>14.481337499999999</v>
      </c>
      <c r="L8" s="152">
        <f t="shared" ca="1" si="2"/>
        <v>348.33879767446103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Douglas</v>
      </c>
      <c r="B9" s="154">
        <f>'Données projet'!D12</f>
        <v>1.8389</v>
      </c>
      <c r="C9" s="147">
        <f ca="1">IF(OR('Données projet'!B12="",'Données projet'!C12="",'Données projet'!C12=0%),0,Calculateur!CD3)</f>
        <v>462.09240749760784</v>
      </c>
      <c r="D9" s="147">
        <f>IF(OR('Données projet'!B12="",'Données projet'!C12="",'Données projet'!C12=0%),0,Calculateur!CE3)</f>
        <v>403.52202223463337</v>
      </c>
      <c r="E9" s="147">
        <f t="shared" ca="1" si="0"/>
        <v>403.52202223463337</v>
      </c>
      <c r="F9" s="147">
        <f t="shared" ca="1" si="1"/>
        <v>742.03664668726731</v>
      </c>
      <c r="G9" s="147">
        <f ca="1">F9*(100%-'Données projet'!$C$24)*(100%-'Données projet'!$C$25)*(100%-'Données projet'!$C$26)*(100%-'Données projet'!$C$27)</f>
        <v>667.83298201854063</v>
      </c>
      <c r="H9" s="155">
        <f>IF(OR('Données projet'!B12="",'Données projet'!C12="",'Données projet'!C12=0%),0,AVERAGE(Calculateur!$CN$3:$CN$33)*B9)</f>
        <v>28.396366711625195</v>
      </c>
      <c r="I9" s="149">
        <f>H9*(100%-'Données projet'!$C$24)*(100%-'Données projet'!$C$25)*(100%-'Données projet'!$C$26)*(100%-'Données projet'!$C$27)</f>
        <v>25.556730040462675</v>
      </c>
      <c r="J9" s="150">
        <f>IF(OR('Données projet'!B12="",'Données projet'!C12="",'Données projet'!C12=0%),0,SUM(Calculateur!$CG$3:$CG$33)*VLOOKUP('Données projet'!$B$12,Paramètres!$A$1:$I$89,9,0)*B9)</f>
        <v>166.05267000000001</v>
      </c>
      <c r="K9" s="151">
        <f>J9*(100%-'Données projet'!$C$24)*(100%-'Données projet'!$C$25)*(100%-'Données projet'!$C$26)*(100%-'Données projet'!$C$27)</f>
        <v>149.44740300000001</v>
      </c>
      <c r="L9" s="152">
        <f t="shared" ca="1" si="2"/>
        <v>842.83711505900328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Cèdre de l'Atlas</v>
      </c>
      <c r="B10" s="154">
        <f>'Données projet'!D13</f>
        <v>1.8389</v>
      </c>
      <c r="C10" s="147">
        <f ca="1">IF(OR('Données projet'!B13="",'Données projet'!C13="",'Données projet'!C13=0%),0,Calculateur!CY3)</f>
        <v>319.88925869887464</v>
      </c>
      <c r="D10" s="147">
        <f>IF(OR('Données projet'!B13="",'Données projet'!C13="",'Données projet'!C13=0%),0,Calculateur!CZ3)</f>
        <v>258.2857172412098</v>
      </c>
      <c r="E10" s="147">
        <f t="shared" ca="1" si="0"/>
        <v>258.2857172412098</v>
      </c>
      <c r="F10" s="147">
        <f t="shared" ca="1" si="1"/>
        <v>474.9616054348607</v>
      </c>
      <c r="G10" s="147">
        <f ca="1">F10*(100%-'Données projet'!$C$24)*(100%-'Données projet'!$C$25)*(100%-'Données projet'!$C$26)*(100%-'Données projet'!$C$27)</f>
        <v>427.46544489137466</v>
      </c>
      <c r="H10" s="155">
        <f>IF(OR('Données projet'!B13="",'Données projet'!C13="",'Données projet'!C13=0%),0,AVERAGE(Calculateur!$DI$3:$DI$33)*B10)</f>
        <v>7.3979327926796934</v>
      </c>
      <c r="I10" s="149">
        <f>H10*(100%-'Données projet'!$C$24)*(100%-'Données projet'!$C$25)*(100%-'Données projet'!$C$26)*(100%-'Données projet'!$C$27)</f>
        <v>6.6581395134117241</v>
      </c>
      <c r="J10" s="150">
        <f>IF(OR('Données projet'!B13="",'Données projet'!C13="",'Données projet'!C13=0%),0,SUM(Calculateur!$DB$3:$DB$33)*VLOOKUP('Données projet'!$B$13,Paramètres!$A$1:$I$89,9,0)*B10)</f>
        <v>71.165430000000001</v>
      </c>
      <c r="K10" s="151">
        <f>J10*(100%-'Données projet'!$C$24)*(100%-'Données projet'!$C$25)*(100%-'Données projet'!$C$26)*(100%-'Données projet'!$C$27)</f>
        <v>64.048887000000008</v>
      </c>
      <c r="L10" s="152">
        <f t="shared" ca="1" si="2"/>
        <v>498.17247140478639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3.6778</v>
      </c>
      <c r="C11" s="147">
        <f ca="1">IF(OR('Données projet'!B14="",'Données projet'!C14="",'Données projet'!C14=0%),0,Calculateur!DT3)</f>
        <v>443.64905827069435</v>
      </c>
      <c r="D11" s="147">
        <f>IF(OR('Données projet'!B14="",'Données projet'!C14="",'Données projet'!C14=0%),0,Calculateur!DU3)</f>
        <v>381.14782516862385</v>
      </c>
      <c r="E11" s="147">
        <f t="shared" ca="1" si="0"/>
        <v>381.14782516862385</v>
      </c>
      <c r="F11" s="147">
        <f t="shared" ca="1" si="1"/>
        <v>1401.7854714051648</v>
      </c>
      <c r="G11" s="147">
        <f ca="1">F11*(100%-'Données projet'!$C$24)*(100%-'Données projet'!$C$25)*(100%-'Données projet'!$C$26)*(100%-'Données projet'!$C$27)</f>
        <v>1261.6069242646483</v>
      </c>
      <c r="H11" s="155">
        <f>IF(OR('Données projet'!B14="",'Données projet'!C14="",'Données projet'!C14=0%),0,AVERAGE(Calculateur!$ED$3:$ED$33)*B11)</f>
        <v>21.424484897443374</v>
      </c>
      <c r="I11" s="149">
        <f>H11*(100%-'Données projet'!$C$24)*(100%-'Données projet'!$C$25)*(100%-'Données projet'!$C$26)*(100%-'Données projet'!$C$27)</f>
        <v>19.282036407699039</v>
      </c>
      <c r="J11" s="150">
        <f>IF(OR('Données projet'!B14="",'Données projet'!C14="",'Données projet'!C14=0%),0,SUM(Calculateur!$DW$3:$DW$33)*VLOOKUP('Données projet'!$B$14,Paramètres!$A$1:$I$89,9,0)*B11)</f>
        <v>250.32835366</v>
      </c>
      <c r="K11" s="151">
        <f>J11*(100%-'Données projet'!$C$24)*(100%-'Données projet'!$C$25)*(100%-'Données projet'!$C$26)*(100%-'Données projet'!$C$27)</f>
        <v>225.295518294</v>
      </c>
      <c r="L11" s="152">
        <f t="shared" ca="1" si="2"/>
        <v>1506.1844789663473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Robinier faux-acacia</v>
      </c>
      <c r="B12" s="154">
        <f>'Données projet'!D15</f>
        <v>1.8389</v>
      </c>
      <c r="C12" s="147">
        <f ca="1">IF(OR('Données projet'!B15="",'Données projet'!C15="",'Données projet'!C15=0%),0,Calculateur!EO3)</f>
        <v>504.37890861635196</v>
      </c>
      <c r="D12" s="147">
        <f>IF(OR('Données projet'!B15="",'Données projet'!C15="",'Données projet'!C15=0%),0,Calculateur!EP3)</f>
        <v>611.82129317522913</v>
      </c>
      <c r="E12" s="147">
        <f t="shared" ca="1" si="0"/>
        <v>504.37890861635196</v>
      </c>
      <c r="F12" s="147">
        <f t="shared" ca="1" si="1"/>
        <v>927.50237505460962</v>
      </c>
      <c r="G12" s="147">
        <f ca="1">F12*(100%-'Données projet'!$C$24)*(100%-'Données projet'!$C$25)*(100%-'Données projet'!$C$26)*(100%-'Données projet'!$C$27)</f>
        <v>834.75213754914864</v>
      </c>
      <c r="H12" s="155">
        <f>IF(OR('Données projet'!B15="",'Données projet'!C15="",'Données projet'!C15=0%),0,AVERAGE(Calculateur!$EY$3:$EY$33)*B12)</f>
        <v>9.2559440262233672E-2</v>
      </c>
      <c r="I12" s="149">
        <f>H12*(100%-'Données projet'!$C$24)*(100%-'Données projet'!$C$25)*(100%-'Données projet'!$C$26)*(100%-'Données projet'!$C$27)</f>
        <v>8.3303496236010313E-2</v>
      </c>
      <c r="J12" s="150">
        <f>IF(OR('Données projet'!B15="",'Données projet'!C15="",'Données projet'!C15=0%),0,SUM(Calculateur!$ER$3:$ER$33)*VLOOKUP('Données projet'!$B$15,Paramètres!$A$1:$I$89,9,0)*B12)</f>
        <v>66.200400000000002</v>
      </c>
      <c r="K12" s="151">
        <f>J12*(100%-'Données projet'!$C$24)*(100%-'Données projet'!$C$25)*(100%-'Données projet'!$C$26)*(100%-'Données projet'!$C$27)</f>
        <v>59.580360000000006</v>
      </c>
      <c r="L12" s="152">
        <f t="shared" ca="1" si="2"/>
        <v>894.41580104538468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Cormier</v>
      </c>
      <c r="B13" s="154">
        <f>'Données projet'!D16</f>
        <v>2.0199580939999997</v>
      </c>
      <c r="C13" s="147">
        <f ca="1">IF(OR('Données projet'!B16="",'Données projet'!C16="",'Données projet'!C16=0%),0,Calculateur!FJ3)</f>
        <v>334.01098870576732</v>
      </c>
      <c r="D13" s="147">
        <f>IF(OR('Données projet'!B16="",'Données projet'!C16="",'Données projet'!C16=0%),0,Calculateur!FK3)</f>
        <v>171.1802153303471</v>
      </c>
      <c r="E13" s="147">
        <f t="shared" ca="1" si="0"/>
        <v>171.1802153303471</v>
      </c>
      <c r="F13" s="147">
        <f t="shared" ca="1" si="1"/>
        <v>345.77686148919747</v>
      </c>
      <c r="G13" s="147">
        <f ca="1">F13*(100%-'Données projet'!$C$24)*(100%-'Données projet'!$C$25)*(100%-'Données projet'!$C$26)*(100%-'Données projet'!$C$27)</f>
        <v>311.19917534027775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311.19917534027775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Erable champêtre</v>
      </c>
      <c r="B14" s="154">
        <f>'Données projet'!D17</f>
        <v>0.91330807400000003</v>
      </c>
      <c r="C14" s="147">
        <f ca="1">IF(OR('Données projet'!B17="",'Données projet'!C17="",'Données projet'!C17=0%),0,Calculateur!GE3)</f>
        <v>330.12856974146598</v>
      </c>
      <c r="D14" s="147">
        <f>IF(OR('Données projet'!B17="",'Données projet'!C17="",'Données projet'!C17=0%),0,Calculateur!GF3)</f>
        <v>321.23368446552286</v>
      </c>
      <c r="E14" s="147">
        <f t="shared" ca="1" si="0"/>
        <v>321.23368446552286</v>
      </c>
      <c r="F14" s="147">
        <f t="shared" ca="1" si="1"/>
        <v>293.38531766313042</v>
      </c>
      <c r="G14" s="147">
        <f ca="1">F14*(100%-'Données projet'!$C$24)*(100%-'Données projet'!$C$25)*(100%-'Données projet'!$C$26)*(100%-'Données projet'!$C$27)</f>
        <v>264.04678589681737</v>
      </c>
      <c r="H14" s="155">
        <f>IF(OR('Données projet'!B17="",'Données projet'!C17="",'Données projet'!C17=0%),0,AVERAGE(Calculateur!$GO$3:$GO$33)*B14)</f>
        <v>8.4446029670638134E-2</v>
      </c>
      <c r="I14" s="149">
        <f>H14*(100%-'Données projet'!$C$24)*(100%-'Données projet'!$C$25)*(100%-'Données projet'!$C$26)*(100%-'Données projet'!$C$27)</f>
        <v>7.6001426703574321E-2</v>
      </c>
      <c r="J14" s="150">
        <f>IF(OR('Données projet'!B17="",'Données projet'!C17="",'Données projet'!C17=0%),0,SUM(Calculateur!$GH$3:$GH$33)*VLOOKUP('Données projet'!$B$17,Paramètres!$A$1:$I$89,9,0)*B14)</f>
        <v>22.604374831499999</v>
      </c>
      <c r="K14" s="151">
        <f>J14*(100%-'Données projet'!$C$24)*(100%-'Données projet'!$C$25)*(100%-'Données projet'!$C$26)*(100%-'Données projet'!$C$27)</f>
        <v>20.34393734835</v>
      </c>
      <c r="L14" s="152">
        <f t="shared" ca="1" si="2"/>
        <v>284.46672467187091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Tilleul</v>
      </c>
      <c r="B15" s="157">
        <f>'Données projet'!D18</f>
        <v>0.735982947</v>
      </c>
      <c r="C15" s="158">
        <f ca="1">IF(OR('Données projet'!B18="",'Données projet'!C18="",'Données projet'!C18=0%),0,Calculateur!GZ3)</f>
        <v>296.67751292332753</v>
      </c>
      <c r="D15" s="158">
        <f>IF(OR('Données projet'!B18="",'Données projet'!C18="",'Données projet'!C18=0%),0,Calculateur!HA3)</f>
        <v>197.99510031603018</v>
      </c>
      <c r="E15" s="158">
        <f t="shared" ca="1" si="0"/>
        <v>197.99510031603018</v>
      </c>
      <c r="F15" s="159">
        <f t="shared" ca="1" si="1"/>
        <v>145.72101742215253</v>
      </c>
      <c r="G15" s="159">
        <f ca="1">F15*(100%-'Données projet'!$C$24)*(100%-'Données projet'!$C$25)*(100%-'Données projet'!$C$26)*(100%-'Données projet'!$C$27)</f>
        <v>131.14891567993729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5.3358763657499999</v>
      </c>
      <c r="K15" s="163">
        <f>J15*(100%-'Données projet'!$C$24)*(100%-'Données projet'!$C$25)*(100%-'Données projet'!$C$26)*(100%-'Données projet'!$C$27)</f>
        <v>4.8022887291750003</v>
      </c>
      <c r="L15" s="164">
        <f t="shared" ca="1" si="2"/>
        <v>135.95120440911228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6050.1689452600212</v>
      </c>
      <c r="G16" s="166">
        <f t="shared" ca="1" si="3"/>
        <v>5445.1520507340201</v>
      </c>
      <c r="H16" s="167">
        <f t="shared" si="3"/>
        <v>57.395789871681139</v>
      </c>
      <c r="I16" s="167">
        <f t="shared" si="3"/>
        <v>51.65621088451303</v>
      </c>
      <c r="J16" s="168">
        <f t="shared" si="3"/>
        <v>654.78337985725</v>
      </c>
      <c r="K16" s="168">
        <f t="shared" si="3"/>
        <v>589.30504187152496</v>
      </c>
      <c r="L16" s="169">
        <f t="shared" ca="1" si="3"/>
        <v>6086.1133034900586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Robinier faux-acacia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Erable champêtre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Tilleul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" zoomScale="56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-367.94737325069275</v>
      </c>
      <c r="U10" s="178">
        <f>'Données projet'!D9</f>
        <v>1.8389</v>
      </c>
      <c r="V10" s="177">
        <f>U10*T10</f>
        <v>-676.61842467069891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-63.430564964801306</v>
      </c>
      <c r="U11" s="178">
        <f>'Données projet'!D10</f>
        <v>1.8389</v>
      </c>
      <c r="V11" s="177">
        <f t="shared" ref="V11" si="0">U11*T11</f>
        <v>-116.64246591377312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Châtaignier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-1068.4626502348763</v>
      </c>
      <c r="U12" s="178">
        <f>'Données projet'!D11</f>
        <v>1.8389</v>
      </c>
      <c r="V12" s="177">
        <f t="shared" ref="V12:V19" si="1">U12*T12</f>
        <v>-1964.7959675169138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Douglas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5518.177844256852</v>
      </c>
      <c r="U13" s="178">
        <f>'Données projet'!D12</f>
        <v>1.8389</v>
      </c>
      <c r="V13" s="177">
        <f t="shared" si="1"/>
        <v>10147.377237803925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Cèdre de l'Atlas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119.46204820193248</v>
      </c>
      <c r="U14" s="178">
        <f>'Données projet'!D13</f>
        <v>1.8389</v>
      </c>
      <c r="V14" s="177">
        <f t="shared" si="1"/>
        <v>219.67876043853363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303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Pin laricio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2239.196639116893</v>
      </c>
      <c r="U15" s="178">
        <f>'Données projet'!D14</f>
        <v>3.6778</v>
      </c>
      <c r="V15" s="177">
        <f t="shared" si="1"/>
        <v>8235.3173993441087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3"/>
      <c r="H16" s="190"/>
      <c r="I16" s="191"/>
      <c r="J16" s="201"/>
      <c r="K16" s="207"/>
      <c r="L16" s="300" t="s">
        <v>254</v>
      </c>
      <c r="M16" s="301"/>
      <c r="N16" s="2"/>
      <c r="O16" s="23"/>
      <c r="P16" s="23"/>
      <c r="Q16" s="233"/>
      <c r="R16" s="23"/>
      <c r="S16" s="36" t="str">
        <f>B200</f>
        <v>Robinier faux-acacia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705.20045336474425</v>
      </c>
      <c r="U16" s="178">
        <f>'Données projet'!D15</f>
        <v>1.8389</v>
      </c>
      <c r="V16" s="177">
        <f t="shared" si="1"/>
        <v>1296.7931136924283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>
        <f>2325</f>
        <v>2325</v>
      </c>
      <c r="F17" s="229"/>
      <c r="G17" s="303"/>
      <c r="J17" s="201"/>
      <c r="K17" s="207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Cormier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-2817.6161232397649</v>
      </c>
      <c r="U17" s="178">
        <f>'Données projet'!D16</f>
        <v>2.0199580939999997</v>
      </c>
      <c r="V17" s="177">
        <f t="shared" si="1"/>
        <v>-5691.4664939230634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3"/>
      <c r="J18" s="201"/>
      <c r="K18" s="207"/>
      <c r="L18" s="260" t="s">
        <v>255</v>
      </c>
      <c r="M18" s="262"/>
      <c r="N18" s="192"/>
      <c r="O18" s="23"/>
      <c r="P18" s="23"/>
      <c r="Q18" s="233"/>
      <c r="R18" s="23"/>
      <c r="S18" s="36" t="str">
        <f>B262</f>
        <v>Erable champêtre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-806.99788156770455</v>
      </c>
      <c r="U18" s="178">
        <f>'Données projet'!D17</f>
        <v>0.91330807400000003</v>
      </c>
      <c r="V18" s="177">
        <f t="shared" si="1"/>
        <v>-737.03768093668032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3"/>
      <c r="H19" s="211" t="s">
        <v>178</v>
      </c>
      <c r="I19" s="211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4"/>
      <c r="R19" s="4"/>
      <c r="S19" s="36" t="str">
        <f>B293</f>
        <v>Tilleul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-1721.445988158689</v>
      </c>
      <c r="U19" s="178">
        <f>'Données projet'!D18</f>
        <v>0.735982947</v>
      </c>
      <c r="V19" s="177">
        <f t="shared" si="1"/>
        <v>-1266.954891466359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3"/>
      <c r="H20" s="190">
        <v>0</v>
      </c>
      <c r="I20" s="191">
        <f>1679.6+3702+150</f>
        <v>5531.6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>
        <f>200*'Données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/>
      <c r="K23" s="207"/>
      <c r="L23" s="302" t="s">
        <v>260</v>
      </c>
      <c r="M23" s="302"/>
      <c r="N23" s="302"/>
      <c r="O23" s="23"/>
      <c r="P23" s="23"/>
      <c r="Q23" s="233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-92274.9418131485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0</v>
      </c>
      <c r="C24" s="193">
        <f>200*'Données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62</v>
      </c>
      <c r="C25" s="193">
        <f>200*'Données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9">
        <f ca="1">T23-T24</f>
        <v>-92274.9418131485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28</v>
      </c>
      <c r="C26" s="193">
        <f>200*'Données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6" t="s">
        <v>258</v>
      </c>
      <c r="M26" s="287"/>
      <c r="N26" s="287"/>
      <c r="O26" s="287"/>
      <c r="P26" s="288"/>
      <c r="Q26" s="233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28</v>
      </c>
      <c r="C27" s="193">
        <f>200*'Données projet'!E40+13.8*('Données projet'!F40+'Données projet'!G40)+10*'Données projet'!G40</f>
        <v>40</v>
      </c>
      <c r="D27" s="182">
        <f t="shared" si="2"/>
        <v>1120</v>
      </c>
      <c r="E27" s="193"/>
      <c r="F27" s="232"/>
      <c r="G27" s="228"/>
      <c r="H27" s="190"/>
      <c r="I27" s="191"/>
      <c r="K27" s="207"/>
      <c r="L27" s="289"/>
      <c r="M27" s="290"/>
      <c r="N27" s="290"/>
      <c r="O27" s="290"/>
      <c r="P27" s="291"/>
      <c r="Q27" s="233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28</v>
      </c>
      <c r="C28" s="193">
        <f>200*'Données projet'!E41+13.8*('Données projet'!F41+'Données projet'!G41)+10*'Données projet'!G41</f>
        <v>40</v>
      </c>
      <c r="D28" s="182">
        <f t="shared" si="2"/>
        <v>1120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28</v>
      </c>
      <c r="C29" s="193">
        <f>200*'Données projet'!E42+13.8*('Données projet'!F42+'Données projet'!G42)+10*'Données projet'!G42</f>
        <v>60</v>
      </c>
      <c r="D29" s="182">
        <f t="shared" si="2"/>
        <v>1680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28</v>
      </c>
      <c r="C30" s="193">
        <f>200*'Données projet'!E43+13.8*('Données projet'!F43+'Données projet'!G43)+10*'Données projet'!G43</f>
        <v>60</v>
      </c>
      <c r="D30" s="182">
        <f t="shared" si="2"/>
        <v>1680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28</v>
      </c>
      <c r="C31" s="193">
        <f>200*'Données projet'!E44+13.8*('Données projet'!F44+'Données projet'!G44)+10*'Données projet'!G44</f>
        <v>80</v>
      </c>
      <c r="D31" s="182">
        <f t="shared" si="2"/>
        <v>2240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65</v>
      </c>
      <c r="B32" s="181">
        <f>'Données projet'!D45</f>
        <v>28</v>
      </c>
      <c r="C32" s="193">
        <f>200*'Données projet'!E45+13.8*('Données projet'!F45+'Données projet'!G45)+10*'Données projet'!G45</f>
        <v>80</v>
      </c>
      <c r="D32" s="182">
        <f t="shared" si="2"/>
        <v>2240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70</v>
      </c>
      <c r="B33" s="181">
        <f>'Données projet'!D46</f>
        <v>28</v>
      </c>
      <c r="C33" s="193">
        <f>200*'Données projet'!E46+13.8*('Données projet'!F46+'Données projet'!G46)+10*'Données projet'!G46</f>
        <v>100</v>
      </c>
      <c r="D33" s="182">
        <f t="shared" si="2"/>
        <v>2800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75</v>
      </c>
      <c r="B34" s="181">
        <f>'Données projet'!D47</f>
        <v>28</v>
      </c>
      <c r="C34" s="193">
        <f>200*'Données projet'!E47+13.8*('Données projet'!F47+'Données projet'!G47)+10*'Données projet'!G47</f>
        <v>100</v>
      </c>
      <c r="D34" s="182">
        <f t="shared" si="2"/>
        <v>2800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80</v>
      </c>
      <c r="B35" s="181">
        <f>'Données projet'!D48</f>
        <v>28</v>
      </c>
      <c r="C35" s="193">
        <f>200*'Données projet'!E48+13.8*('Données projet'!F48+'Données projet'!G48)+10*'Données projet'!G48</f>
        <v>120</v>
      </c>
      <c r="D35" s="182">
        <f t="shared" si="2"/>
        <v>3360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85</v>
      </c>
      <c r="B36" s="181">
        <f>'Données projet'!D49</f>
        <v>28</v>
      </c>
      <c r="C36" s="193">
        <f>200*'Données projet'!E49+13.8*('Données projet'!F49+'Données projet'!G49)+10*'Données projet'!G49</f>
        <v>120</v>
      </c>
      <c r="D36" s="182">
        <f t="shared" si="2"/>
        <v>3360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90</v>
      </c>
      <c r="B37" s="181">
        <f>'Données projet'!D50</f>
        <v>28</v>
      </c>
      <c r="C37" s="193">
        <f>200*'Données projet'!E50+13.8*('Données projet'!F50+'Données projet'!G50)+10*'Données projet'!G50</f>
        <v>140</v>
      </c>
      <c r="D37" s="182">
        <f t="shared" si="2"/>
        <v>3920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95</v>
      </c>
      <c r="B38" s="181">
        <f>'Données projet'!D51</f>
        <v>28</v>
      </c>
      <c r="C38" s="193">
        <f>200*'Données projet'!E51+13.8*('Données projet'!F51+'Données projet'!G51)+10*'Données projet'!G51</f>
        <v>140</v>
      </c>
      <c r="D38" s="182">
        <f t="shared" si="2"/>
        <v>3920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100</v>
      </c>
      <c r="B39" s="181">
        <f>'Données projet'!D52</f>
        <v>27</v>
      </c>
      <c r="C39" s="193">
        <f>200*'Données projet'!E52+13.8*('Données projet'!F52+'Données projet'!G52)+10*'Données projet'!G52</f>
        <v>160</v>
      </c>
      <c r="D39" s="182">
        <f t="shared" si="2"/>
        <v>4320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51</v>
      </c>
      <c r="C40" s="193">
        <f>200*'Données projet'!E53+13.8*('Données projet'!F53+'Données projet'!G53)+10*'Données projet'!G53</f>
        <v>160</v>
      </c>
      <c r="D40" s="182">
        <f t="shared" si="2"/>
        <v>8160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24</v>
      </c>
      <c r="C41" s="193">
        <f>200*'Données projet'!E54+13.8*('Données projet'!F54+'Données projet'!G54)+10*'Données projet'!G54</f>
        <v>160</v>
      </c>
      <c r="D41" s="182">
        <f t="shared" si="2"/>
        <v>3840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328</v>
      </c>
      <c r="C42" s="193">
        <f>200*'Données projet'!E55+13.8*('Données projet'!F55+'Données projet'!G55)+10*'Données projet'!G55</f>
        <v>180</v>
      </c>
      <c r="D42" s="182">
        <f t="shared" si="2"/>
        <v>59040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>
        <v>2400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f>200*'Données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0</v>
      </c>
      <c r="C55" s="191">
        <f>200*'Données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62</v>
      </c>
      <c r="C56" s="191">
        <f>200*'Données projet'!E64+13.8*('Données projet'!F64+'Données projet'!G64)+10*'Données projet'!H64</f>
        <v>10</v>
      </c>
      <c r="D56" s="179">
        <f t="shared" si="4"/>
        <v>620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28</v>
      </c>
      <c r="C57" s="191">
        <f>200*'Données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28</v>
      </c>
      <c r="C58" s="191">
        <f>200*'Données projet'!E66+13.8*('Données projet'!F66+'Données projet'!G66)+10*'Données projet'!H66</f>
        <v>48</v>
      </c>
      <c r="D58" s="179">
        <f t="shared" si="4"/>
        <v>1344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28</v>
      </c>
      <c r="C59" s="191">
        <f>200*'Données projet'!E67+13.8*('Données projet'!F67+'Données projet'!G67)+10*'Données projet'!H67</f>
        <v>48</v>
      </c>
      <c r="D59" s="179">
        <f t="shared" si="4"/>
        <v>1344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28</v>
      </c>
      <c r="C60" s="191">
        <f>200*'Données projet'!E68+13.8*('Données projet'!F68+'Données projet'!G68)+10*'Données projet'!H68</f>
        <v>67</v>
      </c>
      <c r="D60" s="179">
        <f t="shared" si="4"/>
        <v>1876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28</v>
      </c>
      <c r="C61" s="191">
        <f>200*'Données projet'!E69+13.8*('Données projet'!F69+'Données projet'!G69)+10*'Données projet'!H69</f>
        <v>67</v>
      </c>
      <c r="D61" s="179">
        <f t="shared" si="4"/>
        <v>1876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28</v>
      </c>
      <c r="C62" s="191">
        <f>200*'Données projet'!E70+13.8*('Données projet'!F70+'Données projet'!G70)+10*'Données projet'!H70</f>
        <v>86</v>
      </c>
      <c r="D62" s="179">
        <f t="shared" si="4"/>
        <v>2408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28</v>
      </c>
      <c r="C63" s="191">
        <f>200*'Données projet'!E71+13.8*('Données projet'!F71+'Données projet'!G71)+10*'Données projet'!H71</f>
        <v>86</v>
      </c>
      <c r="D63" s="179">
        <f t="shared" si="4"/>
        <v>2408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28</v>
      </c>
      <c r="C64" s="191">
        <f>200*'Données projet'!E72+13.8*('Données projet'!F72+'Données projet'!G72)+10*'Données projet'!H72</f>
        <v>105</v>
      </c>
      <c r="D64" s="179">
        <f t="shared" si="4"/>
        <v>2940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28</v>
      </c>
      <c r="C65" s="191">
        <f>200*'Données projet'!E73+13.8*('Données projet'!F73+'Données projet'!G73)+10*'Données projet'!H73</f>
        <v>105</v>
      </c>
      <c r="D65" s="179">
        <f t="shared" si="4"/>
        <v>2940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28</v>
      </c>
      <c r="C66" s="191">
        <f>200*'Données projet'!E74+13.8*('Données projet'!F74+'Données projet'!G74)+10*'Données projet'!H74</f>
        <v>124</v>
      </c>
      <c r="D66" s="179">
        <f t="shared" si="4"/>
        <v>3472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28</v>
      </c>
      <c r="C67" s="191">
        <f>200*'Données projet'!E75+13.8*('Données projet'!F75+'Données projet'!G75)+10*'Données projet'!H75</f>
        <v>124</v>
      </c>
      <c r="D67" s="179">
        <f t="shared" si="4"/>
        <v>3472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28</v>
      </c>
      <c r="C68" s="191">
        <f>200*'Données projet'!E76+13.8*('Données projet'!F76+'Données projet'!G76)+10*'Données projet'!H76</f>
        <v>143</v>
      </c>
      <c r="D68" s="179">
        <f t="shared" si="4"/>
        <v>4004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95</v>
      </c>
      <c r="B69" s="181">
        <f>'Données projet'!D77</f>
        <v>28</v>
      </c>
      <c r="C69" s="191">
        <f>200*'Données projet'!E77+13.8*('Données projet'!F77+'Données projet'!G77)+10*'Données projet'!H77</f>
        <v>143</v>
      </c>
      <c r="D69" s="179">
        <f t="shared" si="4"/>
        <v>4004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100</v>
      </c>
      <c r="B70" s="181">
        <f>'Données projet'!D78</f>
        <v>27</v>
      </c>
      <c r="C70" s="191">
        <f>200*'Données projet'!E78+13.8*('Données projet'!F78+'Données projet'!G78)+10*'Données projet'!H78</f>
        <v>162</v>
      </c>
      <c r="D70" s="179">
        <f t="shared" si="4"/>
        <v>4374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110</v>
      </c>
      <c r="B71" s="181">
        <f>'Données projet'!D79</f>
        <v>51</v>
      </c>
      <c r="C71" s="191">
        <f>200*'Données projet'!E79+13.8*('Données projet'!F79+'Données projet'!G79)+10*'Données projet'!H79</f>
        <v>162</v>
      </c>
      <c r="D71" s="179">
        <f t="shared" si="4"/>
        <v>8262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115</v>
      </c>
      <c r="B72" s="181">
        <f>'Données projet'!D80</f>
        <v>24</v>
      </c>
      <c r="C72" s="191">
        <f>200*'Données projet'!E80+13.8*('Données projet'!F80+'Données projet'!G80)+10*'Données projet'!H80</f>
        <v>162</v>
      </c>
      <c r="D72" s="179">
        <f t="shared" si="4"/>
        <v>3888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120</v>
      </c>
      <c r="B73" s="181">
        <f>'Données projet'!D81</f>
        <v>328</v>
      </c>
      <c r="C73" s="191">
        <f>200*'Données projet'!E81+13.8*('Données projet'!F81+'Données projet'!G81)+10*'Données projet'!H81</f>
        <v>181</v>
      </c>
      <c r="D73" s="179">
        <f t="shared" si="4"/>
        <v>59368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Châtaignier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>
        <v>1950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f>40*'Données projet'!E88+13.8*('Données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7</v>
      </c>
      <c r="C86" s="191">
        <f>40*'Données projet'!E89+13.8*('Données projet'!F89+'Données projet'!G89)+10*'Données projet'!H89</f>
        <v>10</v>
      </c>
      <c r="D86" s="179">
        <f t="shared" ref="D86:D104" si="6">B86*C86</f>
        <v>70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28</v>
      </c>
      <c r="C87" s="191">
        <f>40*'Données projet'!E90+13.8*('Données projet'!F90+'Données projet'!G90)+10*'Données projet'!H90</f>
        <v>10</v>
      </c>
      <c r="D87" s="179">
        <f t="shared" si="6"/>
        <v>280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28</v>
      </c>
      <c r="C88" s="191">
        <f>40*'Données projet'!E91+13.8*('Données projet'!F91+'Données projet'!G91)+10*'Données projet'!H91</f>
        <v>16</v>
      </c>
      <c r="D88" s="179">
        <f t="shared" si="6"/>
        <v>448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28</v>
      </c>
      <c r="C89" s="191">
        <f>40*'Données projet'!E92+13.8*('Données projet'!F92+'Données projet'!G92)+10*'Données projet'!H92</f>
        <v>16</v>
      </c>
      <c r="D89" s="179">
        <f t="shared" si="6"/>
        <v>448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28</v>
      </c>
      <c r="C90" s="191">
        <f>40*'Données projet'!E93+13.8*('Données projet'!F93+'Données projet'!G93)+10*'Données projet'!H93</f>
        <v>19</v>
      </c>
      <c r="D90" s="179">
        <f t="shared" si="6"/>
        <v>532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28</v>
      </c>
      <c r="C91" s="191">
        <f>40*'Données projet'!E94+13.8*('Données projet'!F94+'Données projet'!G94)+10*'Données projet'!H94</f>
        <v>19</v>
      </c>
      <c r="D91" s="179">
        <f t="shared" si="6"/>
        <v>532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28</v>
      </c>
      <c r="C92" s="191">
        <f>40*'Données projet'!E95+13.8*('Données projet'!F95+'Données projet'!G95)+10*'Données projet'!H95</f>
        <v>22</v>
      </c>
      <c r="D92" s="179">
        <f t="shared" si="6"/>
        <v>616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270</v>
      </c>
      <c r="C93" s="191">
        <f>40*'Données projet'!E96+13.8*('Données projet'!F96+'Données projet'!G96)+10*'Données projet'!H96</f>
        <v>22</v>
      </c>
      <c r="D93" s="179">
        <f t="shared" si="6"/>
        <v>5940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f>40*'Données projet'!E97+13.8*('Données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f>40*'Données projet'!E98+13.8*('Données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f>40*'Données projet'!E99+13.8*('Données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>
        <f>40*'Données projet'!E100+13.8*('Données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>
        <f>40*'Données projet'!E101+13.8*('Données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40*'Données projet'!E102+13.8*('Données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40*'Données projet'!E103+13.8*('Données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40*'Données projet'!E104+13.8*('Données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40*'Données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40*'Données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40*'Données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1200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>
        <f>65*'Données projet'!E114+19.5*('Données projet'!F114+'Données projet'!G114)+10*'Données projet'!H114</f>
        <v>19.5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15</v>
      </c>
      <c r="B117" s="181">
        <f>'Données projet'!D115</f>
        <v>21</v>
      </c>
      <c r="C117" s="191">
        <f>65*'Données projet'!E115+19.5*('Données projet'!F115+'Données projet'!G115)+10*'Données projet'!H115</f>
        <v>28.6</v>
      </c>
      <c r="D117" s="179">
        <f t="shared" ref="D117:D135" si="8">B117*C117</f>
        <v>600.6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63</v>
      </c>
      <c r="C118" s="191">
        <f>65*'Données projet'!E116+19.5*('Données projet'!F116+'Données projet'!G116)+10*'Données projet'!H116</f>
        <v>37.700000000000003</v>
      </c>
      <c r="D118" s="179">
        <f t="shared" si="8"/>
        <v>2375.1000000000004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25</v>
      </c>
      <c r="B119" s="181">
        <f>'Données projet'!D117</f>
        <v>63</v>
      </c>
      <c r="C119" s="191">
        <f>65*'Données projet'!E117+19.5*('Données projet'!F117+'Données projet'!G117)+10*'Données projet'!H117</f>
        <v>42.25</v>
      </c>
      <c r="D119" s="179">
        <f t="shared" si="8"/>
        <v>2661.75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30</v>
      </c>
      <c r="B120" s="181">
        <f>'Données projet'!D118</f>
        <v>63</v>
      </c>
      <c r="C120" s="191">
        <f>65*'Données projet'!E118+19.5*('Données projet'!F118+'Données projet'!G118)+10*'Données projet'!H118</f>
        <v>46.8</v>
      </c>
      <c r="D120" s="179">
        <f t="shared" si="8"/>
        <v>2948.3999999999996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35</v>
      </c>
      <c r="B121" s="181">
        <f>'Données projet'!D119</f>
        <v>63</v>
      </c>
      <c r="C121" s="191">
        <f>65*'Données projet'!E119+19.5*('Données projet'!F119+'Données projet'!G119)+10*'Données projet'!H119</f>
        <v>46.8</v>
      </c>
      <c r="D121" s="179">
        <f t="shared" si="8"/>
        <v>2948.3999999999996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63</v>
      </c>
      <c r="C122" s="191">
        <f>65*'Données projet'!E120+19.5*('Données projet'!F120+'Données projet'!G120)+10*'Données projet'!H120</f>
        <v>46.8</v>
      </c>
      <c r="D122" s="179">
        <f t="shared" si="8"/>
        <v>2948.3999999999996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45</v>
      </c>
      <c r="B123" s="181">
        <f>'Données projet'!D121</f>
        <v>63</v>
      </c>
      <c r="C123" s="191">
        <f>65*'Données projet'!E121+19.5*('Données projet'!F121+'Données projet'!G121)+10*'Données projet'!H121</f>
        <v>46.8</v>
      </c>
      <c r="D123" s="179">
        <f t="shared" si="8"/>
        <v>2948.3999999999996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50</v>
      </c>
      <c r="B124" s="181">
        <f>'Données projet'!D122</f>
        <v>56</v>
      </c>
      <c r="C124" s="191">
        <f>65*'Données projet'!E122+19.5*('Données projet'!F122+'Données projet'!G122)+10*'Données projet'!H122</f>
        <v>46.8</v>
      </c>
      <c r="D124" s="179">
        <f t="shared" si="8"/>
        <v>2620.7999999999997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55</v>
      </c>
      <c r="B125" s="181">
        <f>'Données projet'!D123</f>
        <v>48</v>
      </c>
      <c r="C125" s="191">
        <f>65*'Données projet'!E123+19.5*('Données projet'!F123+'Données projet'!G123)+10*'Données projet'!H123</f>
        <v>46.8</v>
      </c>
      <c r="D125" s="179">
        <f t="shared" si="8"/>
        <v>2246.3999999999996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60</v>
      </c>
      <c r="B126" s="181">
        <f>'Données projet'!D124</f>
        <v>42</v>
      </c>
      <c r="C126" s="191">
        <f>65*'Données projet'!E124+19.5*('Données projet'!F124+'Données projet'!G124)+10*'Données projet'!H124</f>
        <v>60.45</v>
      </c>
      <c r="D126" s="179">
        <f t="shared" si="8"/>
        <v>2538.9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65</v>
      </c>
      <c r="B127" s="181">
        <f>'Données projet'!D125</f>
        <v>39</v>
      </c>
      <c r="C127" s="191">
        <f>65*'Données projet'!E125+19.5*('Données projet'!F125+'Données projet'!G125)+10*'Données projet'!H125</f>
        <v>60.45</v>
      </c>
      <c r="D127" s="179">
        <f t="shared" si="8"/>
        <v>2357.5500000000002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36</v>
      </c>
      <c r="C128" s="191">
        <f>65*'Données projet'!E126+19.5*('Données projet'!F126+'Données projet'!G126)+10*'Données projet'!H126</f>
        <v>60.45</v>
      </c>
      <c r="D128" s="179">
        <f t="shared" si="8"/>
        <v>2176.2000000000003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75</v>
      </c>
      <c r="B129" s="181">
        <f>'Données projet'!D127</f>
        <v>33</v>
      </c>
      <c r="C129" s="191">
        <f>65*'Données projet'!E127+19.5*('Données projet'!F127+'Données projet'!G127)+10*'Données projet'!H127</f>
        <v>60.45</v>
      </c>
      <c r="D129" s="179">
        <f t="shared" si="8"/>
        <v>1994.8500000000001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686</v>
      </c>
      <c r="C130" s="191">
        <f>65*'Données projet'!E128+19.5*('Données projet'!F128+'Données projet'!G128)+10*'Données projet'!H128</f>
        <v>60.45</v>
      </c>
      <c r="D130" s="179">
        <f t="shared" si="8"/>
        <v>41468.700000000004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65*'Données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65*'Données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65*'Données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65*'Données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2225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40</v>
      </c>
      <c r="C147" s="191">
        <f>65*'Données projet'!E140+19.8*('Données projet'!F140+'Données projet'!G140)+10*'Données projet'!H140</f>
        <v>19.8</v>
      </c>
      <c r="D147" s="182">
        <f>B147*C147</f>
        <v>792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50</v>
      </c>
      <c r="C148" s="191">
        <f>65*'Données projet'!E141+19.8*('Données projet'!F141+'Données projet'!G141)+10*'Données projet'!H141</f>
        <v>28.840000000000003</v>
      </c>
      <c r="D148" s="182">
        <f t="shared" ref="D148:D166" si="10">B148*C148</f>
        <v>1442.0000000000002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50</v>
      </c>
      <c r="C149" s="191">
        <f>65*'Données projet'!E142+19.8*('Données projet'!F142+'Données projet'!G142)+10*'Données projet'!H142</f>
        <v>33.36</v>
      </c>
      <c r="D149" s="182">
        <f t="shared" si="10"/>
        <v>1668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50</v>
      </c>
      <c r="C150" s="191">
        <f>65*'Données projet'!E143+19.8*('Données projet'!F143+'Données projet'!G143)+10*'Données projet'!H143</f>
        <v>37.880000000000003</v>
      </c>
      <c r="D150" s="182">
        <f t="shared" si="10"/>
        <v>1894.0000000000002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40</v>
      </c>
      <c r="C151" s="191">
        <f>65*'Données projet'!E144+19.8*('Données projet'!F144+'Données projet'!G144)+10*'Données projet'!H144</f>
        <v>42.4</v>
      </c>
      <c r="D151" s="182">
        <f t="shared" si="10"/>
        <v>1696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40</v>
      </c>
      <c r="C152" s="191">
        <f>65*'Données projet'!E145+19.8*('Données projet'!F145+'Données projet'!G145)+10*'Données projet'!H145</f>
        <v>46.92</v>
      </c>
      <c r="D152" s="182">
        <f t="shared" si="10"/>
        <v>1876.8000000000002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610</v>
      </c>
      <c r="C153" s="191">
        <f>65*'Données projet'!E146+19.8*('Données projet'!F146+'Données projet'!G146)+10*'Données projet'!H146</f>
        <v>51.44</v>
      </c>
      <c r="D153" s="182">
        <f t="shared" si="10"/>
        <v>31378.399999999998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65*'Données projet'!E147+19.8*('Données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65*'Données projet'!E148+19.8*('Données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65*'Données projet'!E149+19.8*('Données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65*'Données projet'!E150+19.8*('Données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65*'Données projet'!E151+19.8*('Données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825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15</v>
      </c>
      <c r="B178" s="181">
        <f>'Données projet'!D166</f>
        <v>0</v>
      </c>
      <c r="C178" s="193">
        <f>50*'Données projet'!E166+19.4*('Données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19</v>
      </c>
      <c r="B179" s="181">
        <f>'Données projet'!D167</f>
        <v>46.3</v>
      </c>
      <c r="C179" s="193">
        <f>50*'Données projet'!E167+19.4*('Données projet'!F167+'Données projet'!G169)+10*'Données projet'!H167</f>
        <v>25.52</v>
      </c>
      <c r="D179" s="179">
        <f t="shared" ref="D179:D197" si="11">B179*C179</f>
        <v>1181.5759999999998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24</v>
      </c>
      <c r="B180" s="181">
        <f>'Données projet'!D168</f>
        <v>45</v>
      </c>
      <c r="C180" s="193">
        <f>50*'Données projet'!E168+19.4*('Données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30</v>
      </c>
      <c r="B181" s="181">
        <f>'Données projet'!D169</f>
        <v>66.989999999999995</v>
      </c>
      <c r="C181" s="193">
        <f>50*'Données projet'!E169+19.4*('Données projet'!F169+'Données projet'!G171)+10*'Données projet'!H169</f>
        <v>23.774000000000001</v>
      </c>
      <c r="D181" s="179">
        <f t="shared" si="11"/>
        <v>1592.6202599999999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32</v>
      </c>
      <c r="B182" s="181">
        <f>'Données projet'!D170</f>
        <v>0</v>
      </c>
      <c r="C182" s="193">
        <f>50*'Données projet'!E170+19.4*('Données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37</v>
      </c>
      <c r="B183" s="181">
        <f>'Données projet'!D171</f>
        <v>55</v>
      </c>
      <c r="C183" s="193">
        <f>50*'Données projet'!E171+19.4*('Données projet'!F171+'Données projet'!G173)+10*'Données projet'!H171</f>
        <v>31.64</v>
      </c>
      <c r="D183" s="179">
        <f t="shared" si="11"/>
        <v>1740.2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41</v>
      </c>
      <c r="B184" s="181">
        <f>'Données projet'!D172</f>
        <v>0</v>
      </c>
      <c r="C184" s="193">
        <f>50*'Données projet'!E172+19.4*('Données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46</v>
      </c>
      <c r="B185" s="181">
        <f>'Données projet'!D173</f>
        <v>93</v>
      </c>
      <c r="C185" s="193">
        <f>50*'Données projet'!E173+19.4*('Données projet'!F173+'Données projet'!G175)+10*'Données projet'!H173</f>
        <v>30.088000000000001</v>
      </c>
      <c r="D185" s="179">
        <f t="shared" si="11"/>
        <v>2798.1840000000002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50</v>
      </c>
      <c r="B186" s="181">
        <f>'Données projet'!D174</f>
        <v>0</v>
      </c>
      <c r="C186" s="193">
        <f>50*'Données projet'!E174+19.4*('Données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56</v>
      </c>
      <c r="B187" s="181">
        <f>'Données projet'!D175</f>
        <v>77</v>
      </c>
      <c r="C187" s="193">
        <f>50*'Données projet'!E175+19.4*('Données projet'!F175+'Données projet'!G177)+10*'Données projet'!H175</f>
        <v>37.76</v>
      </c>
      <c r="D187" s="179">
        <f t="shared" si="11"/>
        <v>2907.52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59</v>
      </c>
      <c r="B188" s="181">
        <f>'Données projet'!D176</f>
        <v>0</v>
      </c>
      <c r="C188" s="193">
        <f>50*'Données projet'!E176+19.4*('Données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66</v>
      </c>
      <c r="B189" s="181">
        <f>'Données projet'!D177</f>
        <v>87</v>
      </c>
      <c r="C189" s="193">
        <f>50*'Données projet'!E177+19.4*('Données projet'!F177+'Données projet'!G179)+10*'Données projet'!H177</f>
        <v>36.013999999999996</v>
      </c>
      <c r="D189" s="179">
        <f t="shared" si="11"/>
        <v>3133.2179999999998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68</v>
      </c>
      <c r="B190" s="181">
        <f>'Données projet'!D178</f>
        <v>0</v>
      </c>
      <c r="C190" s="193">
        <f>50*'Données projet'!E178+19.4*('Données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76</v>
      </c>
      <c r="B191" s="181">
        <f>'Données projet'!D179</f>
        <v>671.57</v>
      </c>
      <c r="C191" s="193">
        <f>50*'Données projet'!E179+19.4*('Données projet'!F179+'Données projet'!G181)+10*'Données projet'!H179</f>
        <v>42.134</v>
      </c>
      <c r="D191" s="179">
        <f t="shared" si="11"/>
        <v>28295.930380000002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50*'Données projet'!E180+19.4*('Données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50*'Données projet'!E181+19.4*('Données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Robinier faux-acacia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1125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15</v>
      </c>
      <c r="B209" s="181">
        <f>'Données projet'!D192</f>
        <v>49</v>
      </c>
      <c r="C209" s="193">
        <f>150*'Données projet'!E192+13.8*('Données projet'!F192+'Données projet'!G192)+10*'Données projet'!H192</f>
        <v>10</v>
      </c>
      <c r="D209" s="179">
        <f>B209*C209</f>
        <v>490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38</v>
      </c>
      <c r="C210" s="193">
        <f>50*'Données projet'!E193+13.8*('Données projet'!F193+'Données projet'!G193)+10*'Données projet'!H193</f>
        <v>10</v>
      </c>
      <c r="D210" s="179">
        <f t="shared" ref="D210:D228" si="12">B210*C210</f>
        <v>380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25</v>
      </c>
      <c r="B211" s="181">
        <f>'Données projet'!D194</f>
        <v>31</v>
      </c>
      <c r="C211" s="193">
        <f>50*'Données projet'!E194+13.8*('Données projet'!F194+'Données projet'!G194)+10*'Données projet'!H194</f>
        <v>10</v>
      </c>
      <c r="D211" s="179">
        <f t="shared" si="12"/>
        <v>310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30</v>
      </c>
      <c r="B212" s="181">
        <f>'Données projet'!D195</f>
        <v>26</v>
      </c>
      <c r="C212" s="193">
        <f>50*'Données projet'!E195+13.8*('Données projet'!F195+'Données projet'!G195)+10*'Données projet'!H195</f>
        <v>18</v>
      </c>
      <c r="D212" s="179">
        <f t="shared" si="12"/>
        <v>468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35</v>
      </c>
      <c r="B213" s="181">
        <f>'Données projet'!D196</f>
        <v>23</v>
      </c>
      <c r="C213" s="193">
        <f>50*'Données projet'!E196+13.8*('Données projet'!F196+'Données projet'!G196)+10*'Données projet'!H196</f>
        <v>18</v>
      </c>
      <c r="D213" s="179">
        <f t="shared" si="12"/>
        <v>414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40</v>
      </c>
      <c r="B214" s="181">
        <f>'Données projet'!D197</f>
        <v>20</v>
      </c>
      <c r="C214" s="193">
        <f>50*'Données projet'!E197+13.8*('Données projet'!F197+'Données projet'!G197)+10*'Données projet'!H197</f>
        <v>22</v>
      </c>
      <c r="D214" s="179">
        <f t="shared" si="12"/>
        <v>440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45</v>
      </c>
      <c r="B215" s="181">
        <f>'Données projet'!D198</f>
        <v>18</v>
      </c>
      <c r="C215" s="193">
        <f>50*'Données projet'!E198+13.8*('Données projet'!F198+'Données projet'!G198)+10*'Données projet'!H198</f>
        <v>22</v>
      </c>
      <c r="D215" s="179">
        <f t="shared" si="12"/>
        <v>396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50</v>
      </c>
      <c r="B216" s="181">
        <f>'Données projet'!D199</f>
        <v>16</v>
      </c>
      <c r="C216" s="193">
        <f>50*'Données projet'!E199+13.8*('Données projet'!F199+'Données projet'!G199)+10*'Données projet'!H199</f>
        <v>26</v>
      </c>
      <c r="D216" s="179">
        <f t="shared" si="12"/>
        <v>416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55</v>
      </c>
      <c r="B217" s="181">
        <f>'Données projet'!D200</f>
        <v>14</v>
      </c>
      <c r="C217" s="193">
        <f>50*'Données projet'!E200+13.8*('Données projet'!F200+'Données projet'!G200)+10*'Données projet'!H200</f>
        <v>26</v>
      </c>
      <c r="D217" s="179">
        <f t="shared" si="12"/>
        <v>364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60</v>
      </c>
      <c r="B218" s="181">
        <f>'Données projet'!D201</f>
        <v>418</v>
      </c>
      <c r="C218" s="193">
        <f>50*'Données projet'!E201+13.8*('Données projet'!F201+'Données projet'!G201)+10*'Données projet'!H201</f>
        <v>30</v>
      </c>
      <c r="D218" s="179">
        <f t="shared" si="12"/>
        <v>12540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3300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25</v>
      </c>
      <c r="B240" s="181">
        <f>'Données projet'!D218</f>
        <v>0</v>
      </c>
      <c r="C240" s="193">
        <f>80*'Données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0</v>
      </c>
      <c r="C241" s="193">
        <f>80*'Données projet'!E219+13.8*('Données projet'!F219+'Données projet'!G219)+10*'Données projet'!H219</f>
        <v>10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35</v>
      </c>
      <c r="B242" s="181">
        <f>'Données projet'!D220</f>
        <v>13</v>
      </c>
      <c r="C242" s="193">
        <f>80*'Données projet'!E220+13.8*('Données projet'!F220+'Données projet'!G220)+10*'Données projet'!H220</f>
        <v>10</v>
      </c>
      <c r="D242" s="179">
        <f t="shared" si="13"/>
        <v>130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40</v>
      </c>
      <c r="B243" s="181">
        <f>'Données projet'!D221</f>
        <v>14</v>
      </c>
      <c r="C243" s="193">
        <f>80*'Données projet'!E221+13.8*('Données projet'!F221+'Données projet'!G221)+10*'Données projet'!H221</f>
        <v>24</v>
      </c>
      <c r="D243" s="179">
        <f t="shared" si="13"/>
        <v>336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45</v>
      </c>
      <c r="B244" s="181">
        <f>'Données projet'!D222</f>
        <v>14</v>
      </c>
      <c r="C244" s="193">
        <f>80*'Données projet'!E222+13.8*('Données projet'!F222+'Données projet'!G222)+10*'Données projet'!H222</f>
        <v>24</v>
      </c>
      <c r="D244" s="179">
        <f t="shared" si="13"/>
        <v>336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50</v>
      </c>
      <c r="B245" s="181">
        <f>'Données projet'!D223</f>
        <v>14</v>
      </c>
      <c r="C245" s="193">
        <f>80*'Données projet'!E223+13.8*('Données projet'!F223+'Données projet'!G223)+10*'Données projet'!H223</f>
        <v>24</v>
      </c>
      <c r="D245" s="179">
        <f t="shared" si="13"/>
        <v>336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55</v>
      </c>
      <c r="B246" s="181">
        <f>'Données projet'!D224</f>
        <v>14</v>
      </c>
      <c r="C246" s="193">
        <f>80*'Données projet'!E224+13.8*('Données projet'!F224+'Données projet'!G224)+10*'Données projet'!H224</f>
        <v>31</v>
      </c>
      <c r="D246" s="179">
        <f t="shared" si="13"/>
        <v>434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60</v>
      </c>
      <c r="B247" s="181">
        <f>'Données projet'!D225</f>
        <v>14</v>
      </c>
      <c r="C247" s="193">
        <f>80*'Données projet'!E225+13.8*('Données projet'!F225+'Données projet'!G225)+10*'Données projet'!H225</f>
        <v>31</v>
      </c>
      <c r="D247" s="179">
        <f t="shared" si="13"/>
        <v>434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65</v>
      </c>
      <c r="B248" s="181">
        <f>'Données projet'!D226</f>
        <v>14</v>
      </c>
      <c r="C248" s="193">
        <f>80*'Données projet'!E226+13.8*('Données projet'!F226+'Données projet'!G226)+10*'Données projet'!H226</f>
        <v>38</v>
      </c>
      <c r="D248" s="179">
        <f t="shared" si="13"/>
        <v>532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70</v>
      </c>
      <c r="B249" s="181">
        <f>'Données projet'!D227</f>
        <v>14</v>
      </c>
      <c r="C249" s="193">
        <f>80*'Données projet'!E227+13.8*('Données projet'!F227+'Données projet'!G227)+10*'Données projet'!H227</f>
        <v>38</v>
      </c>
      <c r="D249" s="179">
        <f t="shared" si="13"/>
        <v>532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75</v>
      </c>
      <c r="B250" s="181">
        <f>'Données projet'!D228</f>
        <v>14</v>
      </c>
      <c r="C250" s="193">
        <f>80*'Données projet'!E228+13.8*('Données projet'!F228+'Données projet'!G228)+10*'Données projet'!H228</f>
        <v>45</v>
      </c>
      <c r="D250" s="179">
        <f t="shared" si="13"/>
        <v>630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80</v>
      </c>
      <c r="B251" s="181">
        <f>'Données projet'!D229</f>
        <v>14</v>
      </c>
      <c r="C251" s="193">
        <f>80*'Données projet'!E229+13.8*('Données projet'!F229+'Données projet'!G229)+10*'Données projet'!H229</f>
        <v>45</v>
      </c>
      <c r="D251" s="179">
        <f t="shared" si="13"/>
        <v>630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85</v>
      </c>
      <c r="B252" s="181">
        <f>'Données projet'!D230</f>
        <v>14</v>
      </c>
      <c r="C252" s="193">
        <f>80*'Données projet'!E230+13.8*('Données projet'!F230+'Données projet'!G230)+10*'Données projet'!H230</f>
        <v>52</v>
      </c>
      <c r="D252" s="179">
        <f t="shared" si="13"/>
        <v>728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90</v>
      </c>
      <c r="B253" s="181">
        <f>'Données projet'!D231</f>
        <v>14</v>
      </c>
      <c r="C253" s="193">
        <f>80*'Données projet'!E231+13.8*('Données projet'!F231+'Données projet'!G231)+10*'Données projet'!H231</f>
        <v>52</v>
      </c>
      <c r="D253" s="179">
        <f t="shared" si="13"/>
        <v>728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95</v>
      </c>
      <c r="B254" s="181">
        <f>'Données projet'!D232</f>
        <v>14</v>
      </c>
      <c r="C254" s="193">
        <f>80*'Données projet'!E232+13.8*('Données projet'!F232+'Données projet'!G232)+10*'Données projet'!H232</f>
        <v>59</v>
      </c>
      <c r="D254" s="179">
        <f t="shared" si="13"/>
        <v>826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100</v>
      </c>
      <c r="B255" s="181">
        <f>'Données projet'!D233</f>
        <v>14</v>
      </c>
      <c r="C255" s="193">
        <f>80*'Données projet'!E233+13.8*('Données projet'!F233+'Données projet'!G233)+10*'Données projet'!H233</f>
        <v>59</v>
      </c>
      <c r="D255" s="179">
        <f t="shared" si="13"/>
        <v>826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105</v>
      </c>
      <c r="B256" s="181">
        <f>'Données projet'!D234</f>
        <v>14</v>
      </c>
      <c r="C256" s="193">
        <f>80*'Données projet'!E234+13.8*('Données projet'!F234+'Données projet'!G234)+10*'Données projet'!H234</f>
        <v>59</v>
      </c>
      <c r="D256" s="179">
        <f t="shared" si="13"/>
        <v>826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110</v>
      </c>
      <c r="B257" s="181">
        <f>'Données projet'!D235</f>
        <v>13</v>
      </c>
      <c r="C257" s="193">
        <f>80*'Données projet'!E235+13.8*('Données projet'!F235+'Données projet'!G235)+10*'Données projet'!H235</f>
        <v>59</v>
      </c>
      <c r="D257" s="179">
        <f t="shared" si="13"/>
        <v>767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115</v>
      </c>
      <c r="B258" s="181">
        <f>'Données projet'!D236</f>
        <v>13</v>
      </c>
      <c r="C258" s="193">
        <f>80*'Données projet'!E236+13.8*('Données projet'!F236+'Données projet'!G236)+10*'Données projet'!H236</f>
        <v>59</v>
      </c>
      <c r="D258" s="179">
        <f t="shared" si="13"/>
        <v>767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120</v>
      </c>
      <c r="B259" s="181">
        <f>'Données projet'!D237</f>
        <v>221</v>
      </c>
      <c r="C259" s="193">
        <f>80*'Données projet'!E237+13.8*('Données projet'!F237+'Données projet'!G237)+10*'Données projet'!H237</f>
        <v>66</v>
      </c>
      <c r="D259" s="179">
        <f t="shared" si="13"/>
        <v>14586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Erable champêtre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v>2100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15</v>
      </c>
      <c r="B271" s="181">
        <f>'Données projet'!D244</f>
        <v>15</v>
      </c>
      <c r="C271" s="193">
        <f>60*'Données projet'!E244+13.8*('Données projet'!F244+'Données projet'!G244)+10*'Données projet'!H244</f>
        <v>10</v>
      </c>
      <c r="D271" s="179">
        <f>B271*C271</f>
        <v>150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20</v>
      </c>
      <c r="B272" s="181">
        <f>'Données projet'!D245</f>
        <v>28</v>
      </c>
      <c r="C272" s="193">
        <f>60*'Données projet'!E245+13.8*('Données projet'!F245+'Données projet'!G245)+10*'Données projet'!H245</f>
        <v>10</v>
      </c>
      <c r="D272" s="179">
        <f t="shared" ref="D272:D290" si="14">B272*C272</f>
        <v>280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25</v>
      </c>
      <c r="B273" s="181">
        <f>'Données projet'!D246</f>
        <v>28</v>
      </c>
      <c r="C273" s="193">
        <f>60*'Données projet'!E246+13.8*('Données projet'!F246+'Données projet'!G246)+10*'Données projet'!H246</f>
        <v>10</v>
      </c>
      <c r="D273" s="179">
        <f t="shared" si="14"/>
        <v>280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30</v>
      </c>
      <c r="B274" s="181">
        <f>'Données projet'!D247</f>
        <v>28</v>
      </c>
      <c r="C274" s="193">
        <f>60*'Données projet'!E247+13.8*('Données projet'!F247+'Données projet'!G247)+10*'Données projet'!H247</f>
        <v>20</v>
      </c>
      <c r="D274" s="179">
        <f t="shared" si="14"/>
        <v>560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35</v>
      </c>
      <c r="B275" s="181">
        <f>'Données projet'!D248</f>
        <v>28</v>
      </c>
      <c r="C275" s="193">
        <f>60*'Données projet'!E248+13.8*('Données projet'!F248+'Données projet'!G248)+10*'Données projet'!H248</f>
        <v>20</v>
      </c>
      <c r="D275" s="179">
        <f t="shared" si="14"/>
        <v>560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40</v>
      </c>
      <c r="B276" s="181">
        <f>'Données projet'!D249</f>
        <v>28</v>
      </c>
      <c r="C276" s="193">
        <f>60*'Données projet'!E249+13.8*('Données projet'!F249+'Données projet'!G249)+10*'Données projet'!H249</f>
        <v>25</v>
      </c>
      <c r="D276" s="179">
        <f t="shared" si="14"/>
        <v>700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45</v>
      </c>
      <c r="B277" s="181">
        <f>'Données projet'!D250</f>
        <v>22</v>
      </c>
      <c r="C277" s="193">
        <f>60*'Données projet'!E250+13.8*('Données projet'!F250+'Données projet'!G250)+10*'Données projet'!H250</f>
        <v>25</v>
      </c>
      <c r="D277" s="179">
        <f t="shared" si="14"/>
        <v>550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50</v>
      </c>
      <c r="B278" s="181">
        <f>'Données projet'!D251</f>
        <v>17</v>
      </c>
      <c r="C278" s="193">
        <f>60*'Données projet'!E251+13.8*('Données projet'!F251+'Données projet'!G251)+10*'Données projet'!H251</f>
        <v>30</v>
      </c>
      <c r="D278" s="179">
        <f t="shared" si="14"/>
        <v>510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55</v>
      </c>
      <c r="B279" s="181">
        <f>'Données projet'!D252</f>
        <v>13</v>
      </c>
      <c r="C279" s="193">
        <f>60*'Données projet'!E252+13.8*('Données projet'!F252+'Données projet'!G252)+10*'Données projet'!H252</f>
        <v>30</v>
      </c>
      <c r="D279" s="179">
        <f t="shared" si="14"/>
        <v>390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60</v>
      </c>
      <c r="B280" s="181">
        <f>'Données projet'!D253</f>
        <v>12</v>
      </c>
      <c r="C280" s="193">
        <f>60*'Données projet'!E253+13.8*('Données projet'!F253+'Données projet'!G253)+10*'Données projet'!H253</f>
        <v>35</v>
      </c>
      <c r="D280" s="179">
        <f t="shared" si="14"/>
        <v>420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65</v>
      </c>
      <c r="B281" s="181">
        <f>'Données projet'!D254</f>
        <v>11</v>
      </c>
      <c r="C281" s="193">
        <f>60*'Données projet'!E254+13.8*('Données projet'!F254+'Données projet'!G254)+10*'Données projet'!H254</f>
        <v>35</v>
      </c>
      <c r="D281" s="179">
        <f t="shared" si="14"/>
        <v>385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70</v>
      </c>
      <c r="B282" s="181">
        <f>'Données projet'!D255</f>
        <v>10</v>
      </c>
      <c r="C282" s="193">
        <f>60*'Données projet'!E255+13.8*('Données projet'!F255+'Données projet'!G255)+10*'Données projet'!H255</f>
        <v>40</v>
      </c>
      <c r="D282" s="179">
        <f t="shared" si="14"/>
        <v>400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75</v>
      </c>
      <c r="B283" s="181">
        <f>'Données projet'!D256</f>
        <v>9</v>
      </c>
      <c r="C283" s="193">
        <f>60*'Données projet'!E256+13.8*('Données projet'!F256+'Données projet'!G256)+10*'Données projet'!H256</f>
        <v>40</v>
      </c>
      <c r="D283" s="179">
        <f t="shared" si="14"/>
        <v>360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80</v>
      </c>
      <c r="B284" s="181">
        <f>'Données projet'!D257</f>
        <v>275</v>
      </c>
      <c r="C284" s="193">
        <f>60*'Données projet'!E257+13.8*('Données projet'!F257+'Données projet'!G257)+10*'Données projet'!H257</f>
        <v>45</v>
      </c>
      <c r="D284" s="179">
        <f t="shared" si="14"/>
        <v>12375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Tilleul</v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>
        <v>2550</v>
      </c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20</v>
      </c>
      <c r="B302" s="181">
        <f>'Données projet'!D270</f>
        <v>0</v>
      </c>
      <c r="C302" s="191">
        <f>80*'Données projet'!E270+13.8*('Données projet'!F270+'Données projet'!G270)+10*'Données projet'!H270</f>
        <v>10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25</v>
      </c>
      <c r="B303" s="181">
        <f>'Données projet'!D271</f>
        <v>0</v>
      </c>
      <c r="C303" s="191">
        <f>80*'Données projet'!E271+13.8*('Données projet'!F271+'Données projet'!G271)+10*'Données projet'!H271</f>
        <v>10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30</v>
      </c>
      <c r="B304" s="181">
        <f>'Données projet'!D272</f>
        <v>29</v>
      </c>
      <c r="C304" s="191">
        <f>80*'Données projet'!E272+13.8*('Données projet'!F272+'Données projet'!G272)+10*'Données projet'!H272</f>
        <v>10</v>
      </c>
      <c r="D304" s="182">
        <f t="shared" si="15"/>
        <v>290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35</v>
      </c>
      <c r="B305" s="181">
        <f>'Données projet'!D273</f>
        <v>21</v>
      </c>
      <c r="C305" s="191">
        <f>80*'Données projet'!E273+13.8*('Données projet'!F273+'Données projet'!G273)+10*'Données projet'!H273</f>
        <v>10</v>
      </c>
      <c r="D305" s="182">
        <f t="shared" si="15"/>
        <v>210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40</v>
      </c>
      <c r="B306" s="181">
        <f>'Données projet'!D274</f>
        <v>21</v>
      </c>
      <c r="C306" s="191">
        <f>80*'Données projet'!E274+13.8*('Données projet'!F274+'Données projet'!G274)+10*'Données projet'!H274</f>
        <v>24</v>
      </c>
      <c r="D306" s="182">
        <f t="shared" si="15"/>
        <v>504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45</v>
      </c>
      <c r="B307" s="181">
        <f>'Données projet'!D275</f>
        <v>21</v>
      </c>
      <c r="C307" s="191">
        <f>80*'Données projet'!E275+13.8*('Données projet'!F275+'Données projet'!G275)+10*'Données projet'!H275</f>
        <v>24</v>
      </c>
      <c r="D307" s="182">
        <f t="shared" si="15"/>
        <v>504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50</v>
      </c>
      <c r="B308" s="181">
        <f>'Données projet'!D276</f>
        <v>21</v>
      </c>
      <c r="C308" s="191">
        <f>80*'Données projet'!E276+13.8*('Données projet'!F276+'Données projet'!G276)+10*'Données projet'!H276</f>
        <v>31</v>
      </c>
      <c r="D308" s="182">
        <f t="shared" si="15"/>
        <v>651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55</v>
      </c>
      <c r="B309" s="181">
        <f>'Données projet'!D277</f>
        <v>21</v>
      </c>
      <c r="C309" s="191">
        <f>80*'Données projet'!E277+13.8*('Données projet'!F277+'Données projet'!G277)+10*'Données projet'!H277</f>
        <v>31</v>
      </c>
      <c r="D309" s="182">
        <f t="shared" si="15"/>
        <v>651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60</v>
      </c>
      <c r="B310" s="181">
        <f>'Données projet'!D278</f>
        <v>21</v>
      </c>
      <c r="C310" s="191">
        <f>80*'Données projet'!E278+13.8*('Données projet'!F278+'Données projet'!G278)+10*'Données projet'!H278</f>
        <v>38</v>
      </c>
      <c r="D310" s="182">
        <f t="shared" si="15"/>
        <v>798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65</v>
      </c>
      <c r="B311" s="181">
        <f>'Données projet'!D279</f>
        <v>21</v>
      </c>
      <c r="C311" s="191">
        <f>80*'Données projet'!E279+13.8*('Données projet'!F279+'Données projet'!G279)+10*'Données projet'!H279</f>
        <v>38</v>
      </c>
      <c r="D311" s="182">
        <f t="shared" si="15"/>
        <v>798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70</v>
      </c>
      <c r="B312" s="181">
        <f>'Données projet'!D280</f>
        <v>21</v>
      </c>
      <c r="C312" s="191">
        <f>80*'Données projet'!E280+13.8*('Données projet'!F280+'Données projet'!G280)+10*'Données projet'!H280</f>
        <v>45</v>
      </c>
      <c r="D312" s="182">
        <f t="shared" si="15"/>
        <v>945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75</v>
      </c>
      <c r="B313" s="181">
        <f>'Données projet'!D281</f>
        <v>21</v>
      </c>
      <c r="C313" s="191">
        <f>80*'Données projet'!E281+13.8*('Données projet'!F281+'Données projet'!G281)+10*'Données projet'!H281</f>
        <v>45</v>
      </c>
      <c r="D313" s="182">
        <f t="shared" si="15"/>
        <v>945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80</v>
      </c>
      <c r="B314" s="181">
        <f>'Données projet'!D282</f>
        <v>21</v>
      </c>
      <c r="C314" s="191">
        <f>80*'Données projet'!E282+13.8*('Données projet'!F282+'Données projet'!G282)+10*'Données projet'!H282</f>
        <v>52</v>
      </c>
      <c r="D314" s="182">
        <f t="shared" si="15"/>
        <v>1092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85</v>
      </c>
      <c r="B315" s="181">
        <f>'Données projet'!D283</f>
        <v>21</v>
      </c>
      <c r="C315" s="191">
        <f>80*'Données projet'!E283+13.8*('Données projet'!F283+'Données projet'!G283)+10*'Données projet'!H283</f>
        <v>52</v>
      </c>
      <c r="D315" s="182">
        <f t="shared" si="15"/>
        <v>1092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90</v>
      </c>
      <c r="B316" s="181">
        <f>'Données projet'!D284</f>
        <v>21</v>
      </c>
      <c r="C316" s="191">
        <f>80*'Données projet'!E284+13.8*('Données projet'!F284+'Données projet'!G284)+10*'Données projet'!H284</f>
        <v>59</v>
      </c>
      <c r="D316" s="182">
        <f t="shared" si="15"/>
        <v>1239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95</v>
      </c>
      <c r="B317" s="181">
        <f>'Données projet'!D285</f>
        <v>21</v>
      </c>
      <c r="C317" s="191">
        <f>80*'Données projet'!E285+13.8*('Données projet'!F285+'Données projet'!G285)+10*'Données projet'!H285</f>
        <v>59</v>
      </c>
      <c r="D317" s="182">
        <f>B317*C317</f>
        <v>1239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100</v>
      </c>
      <c r="B318" s="181">
        <f>'Données projet'!D286</f>
        <v>21</v>
      </c>
      <c r="C318" s="191">
        <f>80*'Données projet'!E286+13.8*('Données projet'!F286+'Données projet'!G286)+10*'Données projet'!H286</f>
        <v>59</v>
      </c>
      <c r="D318" s="182">
        <f t="shared" si="15"/>
        <v>1239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110</v>
      </c>
      <c r="B319" s="181">
        <f>'Données projet'!D287</f>
        <v>39</v>
      </c>
      <c r="C319" s="191">
        <f>80*'Données projet'!E287+13.8*('Données projet'!F287+'Données projet'!G287)+10*'Données projet'!H287</f>
        <v>66</v>
      </c>
      <c r="D319" s="182">
        <f t="shared" si="15"/>
        <v>2574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115</v>
      </c>
      <c r="B320" s="181">
        <f>'Données projet'!D288</f>
        <v>18</v>
      </c>
      <c r="C320" s="191">
        <f>80*'Données projet'!E288+13.8*('Données projet'!F288+'Données projet'!G288)+10*'Données projet'!H288</f>
        <v>66</v>
      </c>
      <c r="D320" s="182">
        <f t="shared" si="15"/>
        <v>1188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120</v>
      </c>
      <c r="B321" s="181">
        <f>'Données projet'!D289</f>
        <v>285</v>
      </c>
      <c r="C321" s="191">
        <f>80*'Données projet'!E289+13.8*('Données projet'!F289+'Données projet'!G289)+10*'Données projet'!H289</f>
        <v>66</v>
      </c>
      <c r="D321" s="182">
        <f t="shared" si="15"/>
        <v>18810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2024-06-04T15:55:29Z</dcterms:modified>
</cp:coreProperties>
</file>